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firstSheet="6" activeTab="18"/>
  </bookViews>
  <sheets>
    <sheet name="15.07.2020 3 изм." sheetId="9" r:id="rId1"/>
    <sheet name="07.10.2020 4 изм" sheetId="11" r:id="rId2"/>
    <sheet name="5  изм 2020" sheetId="14" r:id="rId3"/>
    <sheet name="2021" sheetId="15" r:id="rId4"/>
    <sheet name="1 изм. 2021" sheetId="16" r:id="rId5"/>
    <sheet name="2 изм 2021" sheetId="17" r:id="rId6"/>
    <sheet name="4 изм." sheetId="18" r:id="rId7"/>
    <sheet name="5 изм." sheetId="19" r:id="rId8"/>
    <sheet name="6 изм." sheetId="20" r:id="rId9"/>
    <sheet name="7 изм" sheetId="21" r:id="rId10"/>
    <sheet name="2022 год" sheetId="22" r:id="rId11"/>
    <sheet name="1 изменение" sheetId="23" r:id="rId12"/>
    <sheet name="2 изменение" sheetId="24" r:id="rId13"/>
    <sheet name="3 изменение" sheetId="25" r:id="rId14"/>
    <sheet name="4 изменение" sheetId="26" r:id="rId15"/>
    <sheet name="5 изменение" sheetId="27" r:id="rId16"/>
    <sheet name="6 изменение" sheetId="28" r:id="rId17"/>
    <sheet name="2023" sheetId="29" r:id="rId18"/>
    <sheet name="1 изменение 2023" sheetId="30" r:id="rId19"/>
  </sheets>
  <definedNames>
    <definedName name="_xlnm.Print_Area" localSheetId="4">'1 изм. 2021'!$A$1:$AD$110</definedName>
    <definedName name="_xlnm.Print_Area" localSheetId="0">'15.07.2020 3 изм.'!$A$1:$AD$106</definedName>
    <definedName name="_xlnm.Print_Area" localSheetId="3">'2021'!$A$1:$AD$110</definedName>
    <definedName name="_xlnm.Print_Area" localSheetId="2">'5  изм 2020'!$A$1:$AD$113</definedName>
  </definedNames>
  <calcPr calcId="124519"/>
</workbook>
</file>

<file path=xl/calcChain.xml><?xml version="1.0" encoding="utf-8"?>
<calcChain xmlns="http://schemas.openxmlformats.org/spreadsheetml/2006/main">
  <c r="U59" i="30"/>
  <c r="T59" s="1"/>
  <c r="U35"/>
  <c r="U52" s="1"/>
  <c r="U23"/>
  <c r="U29" s="1"/>
  <c r="P84"/>
  <c r="O83"/>
  <c r="AD83" s="1"/>
  <c r="AD84" s="1"/>
  <c r="AC81"/>
  <c r="AB81"/>
  <c r="AA81"/>
  <c r="Z81"/>
  <c r="Y81" s="1"/>
  <c r="X81"/>
  <c r="W81"/>
  <c r="V81"/>
  <c r="S81"/>
  <c r="R81"/>
  <c r="Q81"/>
  <c r="P81"/>
  <c r="O81"/>
  <c r="N81"/>
  <c r="M81"/>
  <c r="L81"/>
  <c r="K81"/>
  <c r="J81" s="1"/>
  <c r="AD81" s="1"/>
  <c r="I81"/>
  <c r="H81"/>
  <c r="G81"/>
  <c r="F81"/>
  <c r="E81"/>
  <c r="Y80"/>
  <c r="T80"/>
  <c r="K80"/>
  <c r="J80"/>
  <c r="AD80" s="1"/>
  <c r="Y79"/>
  <c r="T79"/>
  <c r="U81" s="1"/>
  <c r="T81" s="1"/>
  <c r="K79"/>
  <c r="J79"/>
  <c r="AD79" s="1"/>
  <c r="AC77"/>
  <c r="AB77"/>
  <c r="AA77"/>
  <c r="Z77"/>
  <c r="X77"/>
  <c r="W77"/>
  <c r="V77"/>
  <c r="U77"/>
  <c r="T77"/>
  <c r="S77"/>
  <c r="R77"/>
  <c r="Q77"/>
  <c r="N77"/>
  <c r="M77"/>
  <c r="L77"/>
  <c r="K77"/>
  <c r="Y76"/>
  <c r="Y77" s="1"/>
  <c r="T76"/>
  <c r="P76"/>
  <c r="P77" s="1"/>
  <c r="O76"/>
  <c r="O77" s="1"/>
  <c r="K76"/>
  <c r="J76" s="1"/>
  <c r="J77" s="1"/>
  <c r="F76"/>
  <c r="F77" s="1"/>
  <c r="E76"/>
  <c r="AD76" s="1"/>
  <c r="Z74"/>
  <c r="U74"/>
  <c r="K74"/>
  <c r="AC73"/>
  <c r="AB73"/>
  <c r="AA73"/>
  <c r="Z73"/>
  <c r="X73"/>
  <c r="W73"/>
  <c r="V73"/>
  <c r="U73"/>
  <c r="S73"/>
  <c r="R73"/>
  <c r="Q73"/>
  <c r="N73"/>
  <c r="M73"/>
  <c r="L73"/>
  <c r="K73"/>
  <c r="I73"/>
  <c r="H73"/>
  <c r="G73"/>
  <c r="F73"/>
  <c r="Y72"/>
  <c r="Y74" s="1"/>
  <c r="T72"/>
  <c r="T74" s="1"/>
  <c r="O72"/>
  <c r="J72"/>
  <c r="E72"/>
  <c r="AD72" s="1"/>
  <c r="Y71"/>
  <c r="T71"/>
  <c r="P71"/>
  <c r="O71"/>
  <c r="K71"/>
  <c r="J71" s="1"/>
  <c r="AD71" s="1"/>
  <c r="E71"/>
  <c r="Y70"/>
  <c r="Y73" s="1"/>
  <c r="T70"/>
  <c r="T73" s="1"/>
  <c r="P70"/>
  <c r="P74" s="1"/>
  <c r="O70"/>
  <c r="O73" s="1"/>
  <c r="O74" s="1"/>
  <c r="K70"/>
  <c r="J70" s="1"/>
  <c r="F70"/>
  <c r="F74" s="1"/>
  <c r="E70"/>
  <c r="E73" s="1"/>
  <c r="AC68"/>
  <c r="AB68"/>
  <c r="AA68"/>
  <c r="Z68"/>
  <c r="X68"/>
  <c r="W68"/>
  <c r="V68"/>
  <c r="U68"/>
  <c r="T68"/>
  <c r="S68"/>
  <c r="R68"/>
  <c r="Q68"/>
  <c r="P68"/>
  <c r="O68"/>
  <c r="N68"/>
  <c r="M68"/>
  <c r="L68"/>
  <c r="I68"/>
  <c r="H68"/>
  <c r="G68"/>
  <c r="F68"/>
  <c r="Y67"/>
  <c r="Y68" s="1"/>
  <c r="T67"/>
  <c r="P67"/>
  <c r="O67"/>
  <c r="K67"/>
  <c r="J67" s="1"/>
  <c r="J68" s="1"/>
  <c r="F67"/>
  <c r="E67"/>
  <c r="AD67" s="1"/>
  <c r="AD68" s="1"/>
  <c r="AC65"/>
  <c r="AB65"/>
  <c r="AA65"/>
  <c r="Z65"/>
  <c r="X65"/>
  <c r="W65"/>
  <c r="V65"/>
  <c r="U65"/>
  <c r="S65"/>
  <c r="R65"/>
  <c r="Q65"/>
  <c r="N65"/>
  <c r="M65"/>
  <c r="L65"/>
  <c r="I65"/>
  <c r="H65"/>
  <c r="G65"/>
  <c r="F65"/>
  <c r="Y64"/>
  <c r="Y65" s="1"/>
  <c r="T64"/>
  <c r="T65" s="1"/>
  <c r="P64"/>
  <c r="P65" s="1"/>
  <c r="K64"/>
  <c r="K65" s="1"/>
  <c r="J64"/>
  <c r="J65" s="1"/>
  <c r="F64"/>
  <c r="E64" s="1"/>
  <c r="Z62"/>
  <c r="Y62" s="1"/>
  <c r="F61"/>
  <c r="E61"/>
  <c r="Z60"/>
  <c r="Y60"/>
  <c r="K60"/>
  <c r="J60" s="1"/>
  <c r="Y59"/>
  <c r="P59"/>
  <c r="O59"/>
  <c r="K59"/>
  <c r="J59" s="1"/>
  <c r="F59"/>
  <c r="F60" s="1"/>
  <c r="F62" s="1"/>
  <c r="E62" s="1"/>
  <c r="E59"/>
  <c r="Y58"/>
  <c r="T58"/>
  <c r="P58"/>
  <c r="O58" s="1"/>
  <c r="K58"/>
  <c r="J58"/>
  <c r="E58"/>
  <c r="Y57"/>
  <c r="T57"/>
  <c r="O57"/>
  <c r="J57"/>
  <c r="F57"/>
  <c r="E57"/>
  <c r="AD57" s="1"/>
  <c r="AD61" s="1"/>
  <c r="AC55"/>
  <c r="AB55"/>
  <c r="AA55"/>
  <c r="Z55"/>
  <c r="X55"/>
  <c r="W55"/>
  <c r="V55"/>
  <c r="U55"/>
  <c r="S55"/>
  <c r="R55"/>
  <c r="Q55"/>
  <c r="N55"/>
  <c r="M55"/>
  <c r="L55"/>
  <c r="I55"/>
  <c r="H55"/>
  <c r="G55"/>
  <c r="F55"/>
  <c r="Y54"/>
  <c r="Y55" s="1"/>
  <c r="T54"/>
  <c r="T55" s="1"/>
  <c r="P54"/>
  <c r="P55" s="1"/>
  <c r="K54"/>
  <c r="K55" s="1"/>
  <c r="J54"/>
  <c r="J55" s="1"/>
  <c r="F54"/>
  <c r="E54" s="1"/>
  <c r="Z52"/>
  <c r="H52"/>
  <c r="AC51"/>
  <c r="AB51"/>
  <c r="AA51"/>
  <c r="Z51"/>
  <c r="Y51"/>
  <c r="Y50" s="1"/>
  <c r="X51"/>
  <c r="W51"/>
  <c r="V51"/>
  <c r="U51"/>
  <c r="S51"/>
  <c r="R51"/>
  <c r="Q51"/>
  <c r="N51"/>
  <c r="M51"/>
  <c r="L51"/>
  <c r="I51"/>
  <c r="I50" s="1"/>
  <c r="H51"/>
  <c r="H50" s="1"/>
  <c r="Z50"/>
  <c r="W50"/>
  <c r="U50"/>
  <c r="S50"/>
  <c r="R50"/>
  <c r="N50"/>
  <c r="M50"/>
  <c r="L50"/>
  <c r="G50"/>
  <c r="Y49"/>
  <c r="T49"/>
  <c r="O49"/>
  <c r="J49"/>
  <c r="F49"/>
  <c r="E49"/>
  <c r="AD49" s="1"/>
  <c r="Y48"/>
  <c r="T48"/>
  <c r="T51" s="1"/>
  <c r="P48"/>
  <c r="P51" s="1"/>
  <c r="K48"/>
  <c r="K51" s="1"/>
  <c r="J48"/>
  <c r="J51" s="1"/>
  <c r="F48"/>
  <c r="E48" s="1"/>
  <c r="Y47"/>
  <c r="T47"/>
  <c r="O47"/>
  <c r="K47"/>
  <c r="J47"/>
  <c r="G47"/>
  <c r="F47"/>
  <c r="E47" s="1"/>
  <c r="AD47" s="1"/>
  <c r="Y46"/>
  <c r="T46"/>
  <c r="P46"/>
  <c r="O46"/>
  <c r="K46"/>
  <c r="J46" s="1"/>
  <c r="F46"/>
  <c r="E46"/>
  <c r="AD46" s="1"/>
  <c r="Y45"/>
  <c r="T45"/>
  <c r="O45"/>
  <c r="J45"/>
  <c r="AD45" s="1"/>
  <c r="E45"/>
  <c r="Y44"/>
  <c r="T44"/>
  <c r="O44"/>
  <c r="J44"/>
  <c r="E44"/>
  <c r="AD44" s="1"/>
  <c r="Y43"/>
  <c r="T43"/>
  <c r="P43"/>
  <c r="O43"/>
  <c r="K43"/>
  <c r="J43" s="1"/>
  <c r="F43"/>
  <c r="F52" s="1"/>
  <c r="E43"/>
  <c r="Y42"/>
  <c r="T42"/>
  <c r="P42"/>
  <c r="O42" s="1"/>
  <c r="J42"/>
  <c r="E42"/>
  <c r="Y41"/>
  <c r="T41"/>
  <c r="O41"/>
  <c r="J41"/>
  <c r="AD41" s="1"/>
  <c r="E41"/>
  <c r="Y40"/>
  <c r="T40"/>
  <c r="O40"/>
  <c r="J40"/>
  <c r="E40"/>
  <c r="AD40" s="1"/>
  <c r="Y39"/>
  <c r="T39"/>
  <c r="P39"/>
  <c r="O39"/>
  <c r="K39"/>
  <c r="J39" s="1"/>
  <c r="AD39" s="1"/>
  <c r="E39"/>
  <c r="Y38"/>
  <c r="T38"/>
  <c r="P38"/>
  <c r="O38"/>
  <c r="K38"/>
  <c r="J38" s="1"/>
  <c r="AD38" s="1"/>
  <c r="E38"/>
  <c r="Y37"/>
  <c r="T37"/>
  <c r="O37"/>
  <c r="J37"/>
  <c r="AD37" s="1"/>
  <c r="E37"/>
  <c r="Y36"/>
  <c r="T36"/>
  <c r="O36"/>
  <c r="J36"/>
  <c r="E36"/>
  <c r="AD36" s="1"/>
  <c r="AC35"/>
  <c r="AC50" s="1"/>
  <c r="AB35"/>
  <c r="AB50" s="1"/>
  <c r="AA35"/>
  <c r="AA50" s="1"/>
  <c r="Y35"/>
  <c r="Y52" s="1"/>
  <c r="X35"/>
  <c r="X50" s="1"/>
  <c r="W35"/>
  <c r="V35"/>
  <c r="V50" s="1"/>
  <c r="T35"/>
  <c r="T52" s="1"/>
  <c r="S35"/>
  <c r="R35"/>
  <c r="Q35"/>
  <c r="Q50" s="1"/>
  <c r="P35"/>
  <c r="O35" s="1"/>
  <c r="K35"/>
  <c r="K52" s="1"/>
  <c r="J35"/>
  <c r="E35"/>
  <c r="E52" s="1"/>
  <c r="AC33"/>
  <c r="AB33"/>
  <c r="AA33"/>
  <c r="Z33"/>
  <c r="X33"/>
  <c r="W33"/>
  <c r="V33"/>
  <c r="U33"/>
  <c r="T33"/>
  <c r="S33"/>
  <c r="R33"/>
  <c r="Q33"/>
  <c r="P33"/>
  <c r="N33"/>
  <c r="M33"/>
  <c r="L33"/>
  <c r="I33"/>
  <c r="H33"/>
  <c r="G33"/>
  <c r="F33"/>
  <c r="Y32"/>
  <c r="Y33" s="1"/>
  <c r="T32"/>
  <c r="P32"/>
  <c r="O32"/>
  <c r="O33" s="1"/>
  <c r="K32"/>
  <c r="J32" s="1"/>
  <c r="J33" s="1"/>
  <c r="F32"/>
  <c r="E32"/>
  <c r="AD32" s="1"/>
  <c r="AD33" s="1"/>
  <c r="AC30"/>
  <c r="AB30"/>
  <c r="AA30"/>
  <c r="Z30"/>
  <c r="X30"/>
  <c r="W30"/>
  <c r="V30"/>
  <c r="U30"/>
  <c r="S30"/>
  <c r="R30"/>
  <c r="P30"/>
  <c r="N30"/>
  <c r="M30"/>
  <c r="K30"/>
  <c r="I30"/>
  <c r="H30"/>
  <c r="G30"/>
  <c r="F30"/>
  <c r="E30"/>
  <c r="AC29"/>
  <c r="AB29"/>
  <c r="AA29"/>
  <c r="Z29"/>
  <c r="X29"/>
  <c r="W29"/>
  <c r="V29"/>
  <c r="S29"/>
  <c r="R29"/>
  <c r="Q29"/>
  <c r="P29"/>
  <c r="N29"/>
  <c r="M29"/>
  <c r="L29"/>
  <c r="I29"/>
  <c r="H29"/>
  <c r="G29"/>
  <c r="AC28"/>
  <c r="AB28"/>
  <c r="AA28"/>
  <c r="AA27" s="1"/>
  <c r="AA85" s="1"/>
  <c r="Z28"/>
  <c r="Z27" s="1"/>
  <c r="Z85" s="1"/>
  <c r="X28"/>
  <c r="W28"/>
  <c r="V28"/>
  <c r="V27" s="1"/>
  <c r="V85" s="1"/>
  <c r="U28"/>
  <c r="S28"/>
  <c r="R28"/>
  <c r="Q28"/>
  <c r="N28"/>
  <c r="M28"/>
  <c r="L28"/>
  <c r="K28"/>
  <c r="H28"/>
  <c r="G28"/>
  <c r="G27" s="1"/>
  <c r="G85" s="1"/>
  <c r="AC27"/>
  <c r="AC85" s="1"/>
  <c r="AB27"/>
  <c r="AB85" s="1"/>
  <c r="X27"/>
  <c r="W27"/>
  <c r="W85" s="1"/>
  <c r="S27"/>
  <c r="S85" s="1"/>
  <c r="R27"/>
  <c r="R85" s="1"/>
  <c r="N27"/>
  <c r="N85" s="1"/>
  <c r="M27"/>
  <c r="M85" s="1"/>
  <c r="L27"/>
  <c r="L85" s="1"/>
  <c r="H27"/>
  <c r="H85" s="1"/>
  <c r="Y26"/>
  <c r="T26"/>
  <c r="O26"/>
  <c r="J26"/>
  <c r="F26"/>
  <c r="E26" s="1"/>
  <c r="AD26" s="1"/>
  <c r="T25"/>
  <c r="Q25"/>
  <c r="O25" s="1"/>
  <c r="J25"/>
  <c r="Y24"/>
  <c r="Y30" s="1"/>
  <c r="T24"/>
  <c r="T30" s="1"/>
  <c r="Q24"/>
  <c r="Q30" s="1"/>
  <c r="Q27" s="1"/>
  <c r="Q85" s="1"/>
  <c r="L24"/>
  <c r="L30" s="1"/>
  <c r="P23"/>
  <c r="O23" s="1"/>
  <c r="K23"/>
  <c r="J23" s="1"/>
  <c r="Y22"/>
  <c r="T22"/>
  <c r="O22"/>
  <c r="J22"/>
  <c r="F22"/>
  <c r="E22"/>
  <c r="AD22" s="1"/>
  <c r="Y21"/>
  <c r="T21"/>
  <c r="O21"/>
  <c r="J21"/>
  <c r="AD21" s="1"/>
  <c r="E21"/>
  <c r="Y20"/>
  <c r="T20"/>
  <c r="O20"/>
  <c r="J20"/>
  <c r="E20"/>
  <c r="AD20" s="1"/>
  <c r="AD19"/>
  <c r="J19"/>
  <c r="E19"/>
  <c r="Y18"/>
  <c r="T18"/>
  <c r="P18"/>
  <c r="O18"/>
  <c r="K18"/>
  <c r="K29" s="1"/>
  <c r="F18"/>
  <c r="E18"/>
  <c r="Y17"/>
  <c r="T17"/>
  <c r="O17"/>
  <c r="J17"/>
  <c r="AD17" s="1"/>
  <c r="E17"/>
  <c r="I16"/>
  <c r="I27" s="1"/>
  <c r="I85" s="1"/>
  <c r="F16"/>
  <c r="E16" s="1"/>
  <c r="AD16" s="1"/>
  <c r="Y15"/>
  <c r="Y29" s="1"/>
  <c r="T15"/>
  <c r="O15"/>
  <c r="J15"/>
  <c r="F15"/>
  <c r="F29" s="1"/>
  <c r="Y14"/>
  <c r="T14"/>
  <c r="I14"/>
  <c r="I28" s="1"/>
  <c r="F14"/>
  <c r="E14" s="1"/>
  <c r="AD14" s="1"/>
  <c r="Y13"/>
  <c r="Y28" s="1"/>
  <c r="Y27" s="1"/>
  <c r="T13"/>
  <c r="T28" s="1"/>
  <c r="P13"/>
  <c r="P28" s="1"/>
  <c r="P27" s="1"/>
  <c r="O13"/>
  <c r="O28" s="1"/>
  <c r="O88" s="1"/>
  <c r="K13"/>
  <c r="J13" s="1"/>
  <c r="J28" s="1"/>
  <c r="F13"/>
  <c r="F27" s="1"/>
  <c r="E13"/>
  <c r="AD85" i="29"/>
  <c r="P84"/>
  <c r="O83"/>
  <c r="AD83" s="1"/>
  <c r="AD84" s="1"/>
  <c r="AC81"/>
  <c r="AB81"/>
  <c r="AA81"/>
  <c r="Y81" s="1"/>
  <c r="Z81"/>
  <c r="X81"/>
  <c r="W81"/>
  <c r="V81"/>
  <c r="S81"/>
  <c r="R81"/>
  <c r="Q81"/>
  <c r="P81"/>
  <c r="O81"/>
  <c r="N81"/>
  <c r="M81"/>
  <c r="L81"/>
  <c r="K81"/>
  <c r="J81" s="1"/>
  <c r="I81"/>
  <c r="H81"/>
  <c r="G81"/>
  <c r="F81"/>
  <c r="E81"/>
  <c r="AD81" s="1"/>
  <c r="Y80"/>
  <c r="T80"/>
  <c r="K80"/>
  <c r="J80" s="1"/>
  <c r="AD80" s="1"/>
  <c r="Y79"/>
  <c r="T79"/>
  <c r="U81" s="1"/>
  <c r="T81" s="1"/>
  <c r="K79"/>
  <c r="J79"/>
  <c r="AD79" s="1"/>
  <c r="AC77"/>
  <c r="AB77"/>
  <c r="AA77"/>
  <c r="Z77"/>
  <c r="X77"/>
  <c r="W77"/>
  <c r="V77"/>
  <c r="U77"/>
  <c r="S77"/>
  <c r="R77"/>
  <c r="Q77"/>
  <c r="N77"/>
  <c r="M77"/>
  <c r="L77"/>
  <c r="K77"/>
  <c r="Y76"/>
  <c r="Y77" s="1"/>
  <c r="T76"/>
  <c r="T77" s="1"/>
  <c r="P76"/>
  <c r="P77" s="1"/>
  <c r="O76"/>
  <c r="O77" s="1"/>
  <c r="K76"/>
  <c r="J76" s="1"/>
  <c r="J77" s="1"/>
  <c r="F76"/>
  <c r="F77" s="1"/>
  <c r="E76"/>
  <c r="Z74"/>
  <c r="U74"/>
  <c r="K74"/>
  <c r="AC73"/>
  <c r="AB73"/>
  <c r="AA73"/>
  <c r="Z73"/>
  <c r="X73"/>
  <c r="W73"/>
  <c r="V73"/>
  <c r="U73"/>
  <c r="S73"/>
  <c r="R73"/>
  <c r="Q73"/>
  <c r="N73"/>
  <c r="M73"/>
  <c r="L73"/>
  <c r="I73"/>
  <c r="H73"/>
  <c r="G73"/>
  <c r="F73"/>
  <c r="Y72"/>
  <c r="T72"/>
  <c r="O72"/>
  <c r="J72"/>
  <c r="E72"/>
  <c r="AD72" s="1"/>
  <c r="Y71"/>
  <c r="T71"/>
  <c r="P71"/>
  <c r="O71"/>
  <c r="K71"/>
  <c r="J71" s="1"/>
  <c r="AD71" s="1"/>
  <c r="E71"/>
  <c r="Y70"/>
  <c r="Y73" s="1"/>
  <c r="T70"/>
  <c r="T74" s="1"/>
  <c r="P70"/>
  <c r="P74" s="1"/>
  <c r="O70"/>
  <c r="O73" s="1"/>
  <c r="O74" s="1"/>
  <c r="K70"/>
  <c r="K73" s="1"/>
  <c r="F70"/>
  <c r="F74" s="1"/>
  <c r="E70"/>
  <c r="E73" s="1"/>
  <c r="AC68"/>
  <c r="AB68"/>
  <c r="AA68"/>
  <c r="Z68"/>
  <c r="X68"/>
  <c r="W68"/>
  <c r="V68"/>
  <c r="U68"/>
  <c r="S68"/>
  <c r="R68"/>
  <c r="Q68"/>
  <c r="O68"/>
  <c r="N68"/>
  <c r="M68"/>
  <c r="L68"/>
  <c r="I68"/>
  <c r="H68"/>
  <c r="G68"/>
  <c r="F68"/>
  <c r="Y67"/>
  <c r="Y68" s="1"/>
  <c r="T67"/>
  <c r="T68" s="1"/>
  <c r="P67"/>
  <c r="P68" s="1"/>
  <c r="O67"/>
  <c r="K67"/>
  <c r="J67" s="1"/>
  <c r="J68" s="1"/>
  <c r="F67"/>
  <c r="E67"/>
  <c r="AC65"/>
  <c r="AB65"/>
  <c r="AA65"/>
  <c r="Z65"/>
  <c r="X65"/>
  <c r="W65"/>
  <c r="V65"/>
  <c r="U65"/>
  <c r="S65"/>
  <c r="R65"/>
  <c r="Q65"/>
  <c r="N65"/>
  <c r="M65"/>
  <c r="L65"/>
  <c r="I65"/>
  <c r="H65"/>
  <c r="G65"/>
  <c r="F65"/>
  <c r="Y64"/>
  <c r="Y65" s="1"/>
  <c r="T64"/>
  <c r="T65" s="1"/>
  <c r="P64"/>
  <c r="P65" s="1"/>
  <c r="K64"/>
  <c r="K65" s="1"/>
  <c r="J64"/>
  <c r="J65" s="1"/>
  <c r="F64"/>
  <c r="E64" s="1"/>
  <c r="Z62"/>
  <c r="Y62" s="1"/>
  <c r="Z60"/>
  <c r="U60"/>
  <c r="U62" s="1"/>
  <c r="T62" s="1"/>
  <c r="K60"/>
  <c r="J60" s="1"/>
  <c r="Y59"/>
  <c r="T59"/>
  <c r="P59"/>
  <c r="O59"/>
  <c r="K59"/>
  <c r="J59" s="1"/>
  <c r="F59"/>
  <c r="F60" s="1"/>
  <c r="E59"/>
  <c r="Y58"/>
  <c r="Y60" s="1"/>
  <c r="T58"/>
  <c r="T60" s="1"/>
  <c r="P58"/>
  <c r="O58" s="1"/>
  <c r="K58"/>
  <c r="J58"/>
  <c r="E58"/>
  <c r="Y57"/>
  <c r="T57"/>
  <c r="O57"/>
  <c r="J57"/>
  <c r="F57"/>
  <c r="F61" s="1"/>
  <c r="E61" s="1"/>
  <c r="E57"/>
  <c r="AD57" s="1"/>
  <c r="AD61" s="1"/>
  <c r="AC55"/>
  <c r="AB55"/>
  <c r="AA55"/>
  <c r="Z55"/>
  <c r="X55"/>
  <c r="W55"/>
  <c r="V55"/>
  <c r="U55"/>
  <c r="S55"/>
  <c r="R55"/>
  <c r="Q55"/>
  <c r="N55"/>
  <c r="M55"/>
  <c r="L55"/>
  <c r="I55"/>
  <c r="H55"/>
  <c r="G55"/>
  <c r="F55"/>
  <c r="Y54"/>
  <c r="Y55" s="1"/>
  <c r="T54"/>
  <c r="T55" s="1"/>
  <c r="P54"/>
  <c r="P55" s="1"/>
  <c r="K54"/>
  <c r="K55" s="1"/>
  <c r="J54"/>
  <c r="J55" s="1"/>
  <c r="F54"/>
  <c r="E54" s="1"/>
  <c r="Z52"/>
  <c r="U52"/>
  <c r="H52"/>
  <c r="H50" s="1"/>
  <c r="AC51"/>
  <c r="AB51"/>
  <c r="AA51"/>
  <c r="Z51"/>
  <c r="Y51"/>
  <c r="X51"/>
  <c r="W51"/>
  <c r="V51"/>
  <c r="U51"/>
  <c r="S51"/>
  <c r="R51"/>
  <c r="Q51"/>
  <c r="N51"/>
  <c r="M51"/>
  <c r="L51"/>
  <c r="I51"/>
  <c r="I50" s="1"/>
  <c r="H51"/>
  <c r="Z50"/>
  <c r="V50"/>
  <c r="U50"/>
  <c r="R50"/>
  <c r="N50"/>
  <c r="M50"/>
  <c r="L50"/>
  <c r="G50"/>
  <c r="Y49"/>
  <c r="T49"/>
  <c r="O49"/>
  <c r="J49"/>
  <c r="F49"/>
  <c r="E49"/>
  <c r="AD49" s="1"/>
  <c r="Y48"/>
  <c r="T48"/>
  <c r="T51" s="1"/>
  <c r="P48"/>
  <c r="P51" s="1"/>
  <c r="K48"/>
  <c r="J48" s="1"/>
  <c r="J51" s="1"/>
  <c r="F48"/>
  <c r="E48" s="1"/>
  <c r="Y47"/>
  <c r="T47"/>
  <c r="O47"/>
  <c r="K47"/>
  <c r="J47" s="1"/>
  <c r="G47"/>
  <c r="E47" s="1"/>
  <c r="F47"/>
  <c r="Y46"/>
  <c r="T46"/>
  <c r="P46"/>
  <c r="O46" s="1"/>
  <c r="K46"/>
  <c r="J46" s="1"/>
  <c r="F46"/>
  <c r="E46" s="1"/>
  <c r="Y45"/>
  <c r="T45"/>
  <c r="O45"/>
  <c r="J45"/>
  <c r="AD45" s="1"/>
  <c r="E45"/>
  <c r="Y44"/>
  <c r="T44"/>
  <c r="O44"/>
  <c r="J44"/>
  <c r="AD44" s="1"/>
  <c r="E44"/>
  <c r="Y43"/>
  <c r="T43"/>
  <c r="P43"/>
  <c r="O43"/>
  <c r="K43"/>
  <c r="J43" s="1"/>
  <c r="F43"/>
  <c r="F52" s="1"/>
  <c r="E43"/>
  <c r="AD43" s="1"/>
  <c r="Y42"/>
  <c r="T42"/>
  <c r="P42"/>
  <c r="O42" s="1"/>
  <c r="J42"/>
  <c r="AD42" s="1"/>
  <c r="E42"/>
  <c r="Y41"/>
  <c r="T41"/>
  <c r="O41"/>
  <c r="J41"/>
  <c r="AD41" s="1"/>
  <c r="E41"/>
  <c r="Y40"/>
  <c r="T40"/>
  <c r="O40"/>
  <c r="J40"/>
  <c r="AD40" s="1"/>
  <c r="E40"/>
  <c r="Y39"/>
  <c r="T39"/>
  <c r="P39"/>
  <c r="O39"/>
  <c r="K39"/>
  <c r="J39" s="1"/>
  <c r="AD39" s="1"/>
  <c r="E39"/>
  <c r="Y38"/>
  <c r="T38"/>
  <c r="P38"/>
  <c r="O38"/>
  <c r="K38"/>
  <c r="J38" s="1"/>
  <c r="AD38" s="1"/>
  <c r="E38"/>
  <c r="Y37"/>
  <c r="T37"/>
  <c r="O37"/>
  <c r="J37"/>
  <c r="AD37" s="1"/>
  <c r="E37"/>
  <c r="Y36"/>
  <c r="T36"/>
  <c r="O36"/>
  <c r="J36"/>
  <c r="AD36" s="1"/>
  <c r="E36"/>
  <c r="AC35"/>
  <c r="AC50" s="1"/>
  <c r="AB35"/>
  <c r="AB50" s="1"/>
  <c r="AA35"/>
  <c r="AA50" s="1"/>
  <c r="Y35"/>
  <c r="Y52" s="1"/>
  <c r="X35"/>
  <c r="X50" s="1"/>
  <c r="W35"/>
  <c r="W50" s="1"/>
  <c r="V35"/>
  <c r="T35"/>
  <c r="T52" s="1"/>
  <c r="S35"/>
  <c r="S50" s="1"/>
  <c r="R35"/>
  <c r="Q35"/>
  <c r="Q50" s="1"/>
  <c r="P35"/>
  <c r="O35" s="1"/>
  <c r="K35"/>
  <c r="J35" s="1"/>
  <c r="E35"/>
  <c r="AC33"/>
  <c r="AB33"/>
  <c r="AA33"/>
  <c r="Z33"/>
  <c r="X33"/>
  <c r="W33"/>
  <c r="V33"/>
  <c r="U33"/>
  <c r="S33"/>
  <c r="R33"/>
  <c r="Q33"/>
  <c r="N33"/>
  <c r="M33"/>
  <c r="L33"/>
  <c r="I33"/>
  <c r="H33"/>
  <c r="G33"/>
  <c r="Y32"/>
  <c r="Y33" s="1"/>
  <c r="T32"/>
  <c r="T33" s="1"/>
  <c r="P32"/>
  <c r="P33" s="1"/>
  <c r="K32"/>
  <c r="J32" s="1"/>
  <c r="J33" s="1"/>
  <c r="F32"/>
  <c r="F33" s="1"/>
  <c r="AC30"/>
  <c r="AB30"/>
  <c r="AA30"/>
  <c r="Z30"/>
  <c r="X30"/>
  <c r="W30"/>
  <c r="V30"/>
  <c r="U30"/>
  <c r="S30"/>
  <c r="R30"/>
  <c r="P30"/>
  <c r="N30"/>
  <c r="M30"/>
  <c r="K30"/>
  <c r="I30"/>
  <c r="H30"/>
  <c r="G30"/>
  <c r="F30"/>
  <c r="E30"/>
  <c r="AC29"/>
  <c r="AB29"/>
  <c r="AA29"/>
  <c r="Z29"/>
  <c r="X29"/>
  <c r="W29"/>
  <c r="V29"/>
  <c r="U29"/>
  <c r="S29"/>
  <c r="R29"/>
  <c r="Q29"/>
  <c r="P29"/>
  <c r="N29"/>
  <c r="M29"/>
  <c r="L29"/>
  <c r="I29"/>
  <c r="H29"/>
  <c r="G29"/>
  <c r="AC28"/>
  <c r="AB28"/>
  <c r="AA28"/>
  <c r="Z28"/>
  <c r="Z27" s="1"/>
  <c r="Z85" s="1"/>
  <c r="X28"/>
  <c r="W28"/>
  <c r="V28"/>
  <c r="V27" s="1"/>
  <c r="V85" s="1"/>
  <c r="U28"/>
  <c r="S28"/>
  <c r="R28"/>
  <c r="Q28"/>
  <c r="N28"/>
  <c r="M28"/>
  <c r="L28"/>
  <c r="H28"/>
  <c r="G28"/>
  <c r="AC27"/>
  <c r="AC85" s="1"/>
  <c r="AB27"/>
  <c r="AB85" s="1"/>
  <c r="AA27"/>
  <c r="X27"/>
  <c r="X85" s="1"/>
  <c r="W27"/>
  <c r="W85" s="1"/>
  <c r="U27"/>
  <c r="U85" s="1"/>
  <c r="T85" s="1"/>
  <c r="S27"/>
  <c r="R27"/>
  <c r="R85" s="1"/>
  <c r="N27"/>
  <c r="N85" s="1"/>
  <c r="M27"/>
  <c r="M85" s="1"/>
  <c r="L27"/>
  <c r="L85" s="1"/>
  <c r="H27"/>
  <c r="G27"/>
  <c r="G85" s="1"/>
  <c r="Y26"/>
  <c r="T26"/>
  <c r="O26"/>
  <c r="J26"/>
  <c r="F26"/>
  <c r="E26" s="1"/>
  <c r="AD26" s="1"/>
  <c r="T25"/>
  <c r="Q25"/>
  <c r="O25" s="1"/>
  <c r="J25"/>
  <c r="Y24"/>
  <c r="Y30" s="1"/>
  <c r="T24"/>
  <c r="T30" s="1"/>
  <c r="Q24"/>
  <c r="Q30" s="1"/>
  <c r="Q27" s="1"/>
  <c r="O24"/>
  <c r="L24"/>
  <c r="L30" s="1"/>
  <c r="T23"/>
  <c r="P23"/>
  <c r="O23"/>
  <c r="K23"/>
  <c r="J23"/>
  <c r="AD23" s="1"/>
  <c r="Y22"/>
  <c r="T22"/>
  <c r="O22"/>
  <c r="J22"/>
  <c r="F22"/>
  <c r="E22"/>
  <c r="AD22" s="1"/>
  <c r="AD21"/>
  <c r="Y21"/>
  <c r="T21"/>
  <c r="O21"/>
  <c r="J21"/>
  <c r="E21"/>
  <c r="Y20"/>
  <c r="T20"/>
  <c r="O20"/>
  <c r="J20"/>
  <c r="E20"/>
  <c r="AD20" s="1"/>
  <c r="AD19"/>
  <c r="J19"/>
  <c r="E19"/>
  <c r="Y18"/>
  <c r="T18"/>
  <c r="P18"/>
  <c r="O18"/>
  <c r="K18"/>
  <c r="K29" s="1"/>
  <c r="F18"/>
  <c r="E18"/>
  <c r="Y17"/>
  <c r="T17"/>
  <c r="O17"/>
  <c r="J17"/>
  <c r="AD17" s="1"/>
  <c r="E17"/>
  <c r="I16"/>
  <c r="F16"/>
  <c r="E16" s="1"/>
  <c r="AD16" s="1"/>
  <c r="Y15"/>
  <c r="Y29" s="1"/>
  <c r="T15"/>
  <c r="T29" s="1"/>
  <c r="O15"/>
  <c r="O29" s="1"/>
  <c r="J15"/>
  <c r="F15"/>
  <c r="F29" s="1"/>
  <c r="E15"/>
  <c r="Y14"/>
  <c r="T14"/>
  <c r="I14"/>
  <c r="I28" s="1"/>
  <c r="F14"/>
  <c r="Y13"/>
  <c r="Y28" s="1"/>
  <c r="T13"/>
  <c r="T28" s="1"/>
  <c r="P13"/>
  <c r="P28" s="1"/>
  <c r="P27" s="1"/>
  <c r="O13"/>
  <c r="O28" s="1"/>
  <c r="O88" s="1"/>
  <c r="K13"/>
  <c r="J13" s="1"/>
  <c r="J28" s="1"/>
  <c r="F13"/>
  <c r="F27" s="1"/>
  <c r="E13"/>
  <c r="AD13" s="1"/>
  <c r="Q25" i="28"/>
  <c r="AD58" i="30" l="1"/>
  <c r="AD60" s="1"/>
  <c r="U60"/>
  <c r="U62" s="1"/>
  <c r="T62" s="1"/>
  <c r="T60"/>
  <c r="T23"/>
  <c r="T27" s="1"/>
  <c r="U27"/>
  <c r="U85" s="1"/>
  <c r="T85" s="1"/>
  <c r="E65"/>
  <c r="O27"/>
  <c r="E55"/>
  <c r="AD54"/>
  <c r="AD55" s="1"/>
  <c r="J74"/>
  <c r="J73"/>
  <c r="E51"/>
  <c r="O29"/>
  <c r="AD23"/>
  <c r="K27"/>
  <c r="K50"/>
  <c r="AD13"/>
  <c r="AD25"/>
  <c r="X85"/>
  <c r="Y85"/>
  <c r="AD43"/>
  <c r="AD59"/>
  <c r="O52"/>
  <c r="AD42"/>
  <c r="T50"/>
  <c r="J52"/>
  <c r="J50" s="1"/>
  <c r="E15"/>
  <c r="F28"/>
  <c r="E28" s="1"/>
  <c r="K33"/>
  <c r="AD35"/>
  <c r="J24"/>
  <c r="E33"/>
  <c r="F51"/>
  <c r="F50" s="1"/>
  <c r="F85" s="1"/>
  <c r="E85" s="1"/>
  <c r="O54"/>
  <c r="O55" s="1"/>
  <c r="P60"/>
  <c r="K62"/>
  <c r="J62" s="1"/>
  <c r="O64"/>
  <c r="O65" s="1"/>
  <c r="E68"/>
  <c r="P73"/>
  <c r="O84"/>
  <c r="E60"/>
  <c r="E74"/>
  <c r="E77"/>
  <c r="AD77" s="1"/>
  <c r="P52"/>
  <c r="P50" s="1"/>
  <c r="K68"/>
  <c r="AD70"/>
  <c r="AD73" s="1"/>
  <c r="AD74" s="1"/>
  <c r="O24"/>
  <c r="J18"/>
  <c r="AD18" s="1"/>
  <c r="O48"/>
  <c r="O51" s="1"/>
  <c r="O50" s="1"/>
  <c r="O27" i="29"/>
  <c r="E65"/>
  <c r="Y27"/>
  <c r="Q85"/>
  <c r="H85"/>
  <c r="J52"/>
  <c r="J50" s="1"/>
  <c r="P50"/>
  <c r="AD67"/>
  <c r="AD68" s="1"/>
  <c r="AD25"/>
  <c r="AD35"/>
  <c r="AD46"/>
  <c r="AD58"/>
  <c r="E51"/>
  <c r="E55"/>
  <c r="F62"/>
  <c r="E62" s="1"/>
  <c r="E29"/>
  <c r="S85"/>
  <c r="AA85"/>
  <c r="Y85" s="1"/>
  <c r="O52"/>
  <c r="AD47"/>
  <c r="T50"/>
  <c r="Y50"/>
  <c r="AD59"/>
  <c r="AD76"/>
  <c r="K33"/>
  <c r="E14"/>
  <c r="AD14" s="1"/>
  <c r="AD15"/>
  <c r="J24"/>
  <c r="F51"/>
  <c r="F50" s="1"/>
  <c r="K51"/>
  <c r="E52"/>
  <c r="AD52" s="1"/>
  <c r="K52"/>
  <c r="O54"/>
  <c r="O55" s="1"/>
  <c r="P60"/>
  <c r="K62"/>
  <c r="J62" s="1"/>
  <c r="O64"/>
  <c r="O65" s="1"/>
  <c r="E68"/>
  <c r="J70"/>
  <c r="P73"/>
  <c r="T73"/>
  <c r="O84"/>
  <c r="T27"/>
  <c r="F28"/>
  <c r="E28" s="1"/>
  <c r="I27"/>
  <c r="I85" s="1"/>
  <c r="K28"/>
  <c r="K27" s="1"/>
  <c r="O30"/>
  <c r="E32"/>
  <c r="O32"/>
  <c r="O33" s="1"/>
  <c r="O89" s="1"/>
  <c r="E60"/>
  <c r="E74"/>
  <c r="Y74"/>
  <c r="E77"/>
  <c r="AD77" s="1"/>
  <c r="P52"/>
  <c r="K68"/>
  <c r="J18"/>
  <c r="J29" s="1"/>
  <c r="O48"/>
  <c r="O51" s="1"/>
  <c r="O50" s="1"/>
  <c r="AA30" i="28"/>
  <c r="T64"/>
  <c r="T39"/>
  <c r="Y25"/>
  <c r="P18"/>
  <c r="P13"/>
  <c r="O48"/>
  <c r="P48"/>
  <c r="P76"/>
  <c r="T29" i="30" l="1"/>
  <c r="O30"/>
  <c r="P62"/>
  <c r="O62" s="1"/>
  <c r="O87" s="1"/>
  <c r="O90" s="1"/>
  <c r="O60"/>
  <c r="J30"/>
  <c r="AD30" s="1"/>
  <c r="AD24"/>
  <c r="E29"/>
  <c r="AD15"/>
  <c r="AD52"/>
  <c r="J29"/>
  <c r="K85"/>
  <c r="J85" s="1"/>
  <c r="AD48"/>
  <c r="AD28"/>
  <c r="E50"/>
  <c r="AD50" s="1"/>
  <c r="AD51"/>
  <c r="AD64"/>
  <c r="AD65" s="1"/>
  <c r="O89"/>
  <c r="J27" i="29"/>
  <c r="J74"/>
  <c r="J73"/>
  <c r="P62"/>
  <c r="O62" s="1"/>
  <c r="AD62" s="1"/>
  <c r="O60"/>
  <c r="K50"/>
  <c r="AD18"/>
  <c r="AD48"/>
  <c r="J30"/>
  <c r="AD30" s="1"/>
  <c r="AD24"/>
  <c r="AD32"/>
  <c r="AD33" s="1"/>
  <c r="E33"/>
  <c r="AD28"/>
  <c r="E27"/>
  <c r="E50"/>
  <c r="AD50" s="1"/>
  <c r="AD51"/>
  <c r="AD70"/>
  <c r="AD73" s="1"/>
  <c r="AD74" s="1"/>
  <c r="F85"/>
  <c r="E85" s="1"/>
  <c r="AD29"/>
  <c r="K85"/>
  <c r="J85" s="1"/>
  <c r="AD54"/>
  <c r="AD55" s="1"/>
  <c r="AD60"/>
  <c r="O87"/>
  <c r="O90" s="1"/>
  <c r="AD64"/>
  <c r="AD65" s="1"/>
  <c r="P64" i="28"/>
  <c r="P71"/>
  <c r="P70"/>
  <c r="P67"/>
  <c r="P59"/>
  <c r="P58"/>
  <c r="P46"/>
  <c r="P43"/>
  <c r="P42"/>
  <c r="P39"/>
  <c r="P38"/>
  <c r="P35"/>
  <c r="P32"/>
  <c r="AD29" i="30" l="1"/>
  <c r="AD62"/>
  <c r="AD27"/>
  <c r="E27"/>
  <c r="J27"/>
  <c r="P85"/>
  <c r="O85" s="1"/>
  <c r="AD85" s="1"/>
  <c r="AD27" i="29"/>
  <c r="P85"/>
  <c r="O85" s="1"/>
  <c r="D111" i="28"/>
  <c r="B100"/>
  <c r="P84"/>
  <c r="O83"/>
  <c r="O84" s="1"/>
  <c r="AC81"/>
  <c r="AB81"/>
  <c r="AA81"/>
  <c r="Z81"/>
  <c r="Y81" s="1"/>
  <c r="X81"/>
  <c r="W81"/>
  <c r="V81"/>
  <c r="S81"/>
  <c r="R81"/>
  <c r="Q81"/>
  <c r="P81"/>
  <c r="O81"/>
  <c r="N81"/>
  <c r="M81"/>
  <c r="L81"/>
  <c r="K81"/>
  <c r="J81" s="1"/>
  <c r="I81"/>
  <c r="H81"/>
  <c r="G81"/>
  <c r="F81"/>
  <c r="E81"/>
  <c r="Y80"/>
  <c r="T80"/>
  <c r="K80"/>
  <c r="J80"/>
  <c r="AD80" s="1"/>
  <c r="Y79"/>
  <c r="T79"/>
  <c r="U81" s="1"/>
  <c r="T81" s="1"/>
  <c r="K79"/>
  <c r="J79"/>
  <c r="AD79" s="1"/>
  <c r="AC77"/>
  <c r="AB77"/>
  <c r="AA77"/>
  <c r="Z77"/>
  <c r="X77"/>
  <c r="W77"/>
  <c r="V77"/>
  <c r="U77"/>
  <c r="T77"/>
  <c r="S77"/>
  <c r="R77"/>
  <c r="Q77"/>
  <c r="P77"/>
  <c r="N77"/>
  <c r="M77"/>
  <c r="L77"/>
  <c r="Y76"/>
  <c r="Y77" s="1"/>
  <c r="T76"/>
  <c r="O76"/>
  <c r="O77" s="1"/>
  <c r="K76"/>
  <c r="J76" s="1"/>
  <c r="F76"/>
  <c r="F77" s="1"/>
  <c r="E76"/>
  <c r="E77" s="1"/>
  <c r="Z74"/>
  <c r="U74"/>
  <c r="AC73"/>
  <c r="AB73"/>
  <c r="AA73"/>
  <c r="Z73"/>
  <c r="X73"/>
  <c r="W73"/>
  <c r="V73"/>
  <c r="U73"/>
  <c r="S73"/>
  <c r="R73"/>
  <c r="Q73"/>
  <c r="N73"/>
  <c r="M73"/>
  <c r="L73"/>
  <c r="I73"/>
  <c r="H73"/>
  <c r="G73"/>
  <c r="F73"/>
  <c r="E73"/>
  <c r="Y72"/>
  <c r="T72"/>
  <c r="O72"/>
  <c r="J72"/>
  <c r="E72"/>
  <c r="AD72" s="1"/>
  <c r="Y71"/>
  <c r="T71"/>
  <c r="O71"/>
  <c r="K71"/>
  <c r="J71" s="1"/>
  <c r="E71"/>
  <c r="Y70"/>
  <c r="Y74" s="1"/>
  <c r="T70"/>
  <c r="P74"/>
  <c r="O70"/>
  <c r="O73" s="1"/>
  <c r="O74" s="1"/>
  <c r="K70"/>
  <c r="K73" s="1"/>
  <c r="F70"/>
  <c r="F74" s="1"/>
  <c r="E70"/>
  <c r="E74" s="1"/>
  <c r="AC68"/>
  <c r="AB68"/>
  <c r="AA68"/>
  <c r="Z68"/>
  <c r="X68"/>
  <c r="W68"/>
  <c r="V68"/>
  <c r="U68"/>
  <c r="S68"/>
  <c r="R68"/>
  <c r="Q68"/>
  <c r="P68"/>
  <c r="N68"/>
  <c r="M68"/>
  <c r="L68"/>
  <c r="K68"/>
  <c r="J68"/>
  <c r="I68"/>
  <c r="H68"/>
  <c r="G68"/>
  <c r="Y67"/>
  <c r="Y68" s="1"/>
  <c r="T67"/>
  <c r="T68" s="1"/>
  <c r="O67"/>
  <c r="O68" s="1"/>
  <c r="K67"/>
  <c r="J67"/>
  <c r="F67"/>
  <c r="E67" s="1"/>
  <c r="AC65"/>
  <c r="AB65"/>
  <c r="AA65"/>
  <c r="Z65"/>
  <c r="Y65"/>
  <c r="X65"/>
  <c r="W65"/>
  <c r="V65"/>
  <c r="U65"/>
  <c r="T65"/>
  <c r="S65"/>
  <c r="R65"/>
  <c r="Q65"/>
  <c r="P65"/>
  <c r="N65"/>
  <c r="M65"/>
  <c r="L65"/>
  <c r="I65"/>
  <c r="H65"/>
  <c r="G65"/>
  <c r="Y64"/>
  <c r="O64"/>
  <c r="O65" s="1"/>
  <c r="K64"/>
  <c r="K65" s="1"/>
  <c r="F64"/>
  <c r="F65" s="1"/>
  <c r="E64"/>
  <c r="E65" s="1"/>
  <c r="F61"/>
  <c r="E61" s="1"/>
  <c r="Z60"/>
  <c r="Z62" s="1"/>
  <c r="Y62" s="1"/>
  <c r="U60"/>
  <c r="U62" s="1"/>
  <c r="T62" s="1"/>
  <c r="Y59"/>
  <c r="T59"/>
  <c r="O59"/>
  <c r="K59"/>
  <c r="J59"/>
  <c r="F59"/>
  <c r="E59" s="1"/>
  <c r="Y58"/>
  <c r="T58"/>
  <c r="O58"/>
  <c r="K58"/>
  <c r="K60" s="1"/>
  <c r="J58"/>
  <c r="E58"/>
  <c r="Y57"/>
  <c r="T57"/>
  <c r="O57"/>
  <c r="J57"/>
  <c r="F57"/>
  <c r="E57"/>
  <c r="AD57" s="1"/>
  <c r="AD61" s="1"/>
  <c r="AC55"/>
  <c r="AB55"/>
  <c r="AA55"/>
  <c r="Z55"/>
  <c r="X55"/>
  <c r="W55"/>
  <c r="V55"/>
  <c r="U55"/>
  <c r="S55"/>
  <c r="R55"/>
  <c r="Q55"/>
  <c r="P55"/>
  <c r="O55"/>
  <c r="N55"/>
  <c r="M55"/>
  <c r="L55"/>
  <c r="I55"/>
  <c r="H55"/>
  <c r="G55"/>
  <c r="F55"/>
  <c r="Y54"/>
  <c r="Y55" s="1"/>
  <c r="T54"/>
  <c r="T55" s="1"/>
  <c r="P54"/>
  <c r="O54"/>
  <c r="K54"/>
  <c r="J54" s="1"/>
  <c r="J55" s="1"/>
  <c r="F54"/>
  <c r="E54"/>
  <c r="E55" s="1"/>
  <c r="Z52"/>
  <c r="U52"/>
  <c r="U50" s="1"/>
  <c r="H52"/>
  <c r="AC51"/>
  <c r="AB51"/>
  <c r="AA51"/>
  <c r="Z51"/>
  <c r="Z50" s="1"/>
  <c r="X51"/>
  <c r="W51"/>
  <c r="V51"/>
  <c r="U51"/>
  <c r="S51"/>
  <c r="R51"/>
  <c r="Q51"/>
  <c r="P51"/>
  <c r="O51"/>
  <c r="N51"/>
  <c r="M51"/>
  <c r="L51"/>
  <c r="K51"/>
  <c r="J51"/>
  <c r="I51"/>
  <c r="H51"/>
  <c r="AA50"/>
  <c r="S50"/>
  <c r="N50"/>
  <c r="M50"/>
  <c r="L50"/>
  <c r="I50"/>
  <c r="H50"/>
  <c r="H85" s="1"/>
  <c r="G50"/>
  <c r="Y49"/>
  <c r="T49"/>
  <c r="O49"/>
  <c r="J49"/>
  <c r="F49"/>
  <c r="E49" s="1"/>
  <c r="AD49" s="1"/>
  <c r="Y48"/>
  <c r="Y51" s="1"/>
  <c r="T48"/>
  <c r="T51" s="1"/>
  <c r="K48"/>
  <c r="J48"/>
  <c r="F48"/>
  <c r="F51" s="1"/>
  <c r="E48"/>
  <c r="AD48" s="1"/>
  <c r="Y47"/>
  <c r="T47"/>
  <c r="O47"/>
  <c r="K47"/>
  <c r="J47"/>
  <c r="G47"/>
  <c r="F47"/>
  <c r="E47" s="1"/>
  <c r="AD47" s="1"/>
  <c r="Y46"/>
  <c r="T46"/>
  <c r="O46"/>
  <c r="K46"/>
  <c r="J46"/>
  <c r="F46"/>
  <c r="E46" s="1"/>
  <c r="Y45"/>
  <c r="T45"/>
  <c r="O45"/>
  <c r="J45"/>
  <c r="E45"/>
  <c r="Y44"/>
  <c r="T44"/>
  <c r="O44"/>
  <c r="J44"/>
  <c r="E44"/>
  <c r="Y43"/>
  <c r="T43"/>
  <c r="O43"/>
  <c r="K43"/>
  <c r="J43"/>
  <c r="F43"/>
  <c r="F52" s="1"/>
  <c r="Y42"/>
  <c r="T42"/>
  <c r="O42"/>
  <c r="J42"/>
  <c r="E42"/>
  <c r="Y41"/>
  <c r="T41"/>
  <c r="O41"/>
  <c r="J41"/>
  <c r="AD41" s="1"/>
  <c r="E41"/>
  <c r="Y40"/>
  <c r="T40"/>
  <c r="O40"/>
  <c r="J40"/>
  <c r="E40"/>
  <c r="AD40" s="1"/>
  <c r="Y39"/>
  <c r="O39"/>
  <c r="K39"/>
  <c r="J39" s="1"/>
  <c r="E39"/>
  <c r="Y38"/>
  <c r="T38"/>
  <c r="O38"/>
  <c r="K38"/>
  <c r="J38"/>
  <c r="E38"/>
  <c r="Y37"/>
  <c r="T37"/>
  <c r="O37"/>
  <c r="J37"/>
  <c r="E37"/>
  <c r="AD37" s="1"/>
  <c r="Y36"/>
  <c r="T36"/>
  <c r="O36"/>
  <c r="J36"/>
  <c r="AD36" s="1"/>
  <c r="E36"/>
  <c r="AC35"/>
  <c r="AC50" s="1"/>
  <c r="AB35"/>
  <c r="Y35" s="1"/>
  <c r="Y52" s="1"/>
  <c r="AA35"/>
  <c r="X35"/>
  <c r="X50" s="1"/>
  <c r="X85" s="1"/>
  <c r="W35"/>
  <c r="T35" s="1"/>
  <c r="V35"/>
  <c r="V50" s="1"/>
  <c r="S35"/>
  <c r="R35"/>
  <c r="R50" s="1"/>
  <c r="Q35"/>
  <c r="Q50" s="1"/>
  <c r="P52"/>
  <c r="K35"/>
  <c r="J35" s="1"/>
  <c r="J52" s="1"/>
  <c r="J50" s="1"/>
  <c r="E35"/>
  <c r="AC33"/>
  <c r="AB33"/>
  <c r="AA33"/>
  <c r="Z33"/>
  <c r="Y33"/>
  <c r="X33"/>
  <c r="W33"/>
  <c r="V33"/>
  <c r="U33"/>
  <c r="S33"/>
  <c r="R33"/>
  <c r="Q33"/>
  <c r="N33"/>
  <c r="M33"/>
  <c r="L33"/>
  <c r="I33"/>
  <c r="H33"/>
  <c r="G33"/>
  <c r="Y32"/>
  <c r="T32"/>
  <c r="T33" s="1"/>
  <c r="P33"/>
  <c r="K32"/>
  <c r="K33" s="1"/>
  <c r="J32"/>
  <c r="J33" s="1"/>
  <c r="F32"/>
  <c r="E32" s="1"/>
  <c r="AC30"/>
  <c r="AB30"/>
  <c r="Z30"/>
  <c r="X30"/>
  <c r="W30"/>
  <c r="V30"/>
  <c r="U30"/>
  <c r="S30"/>
  <c r="R30"/>
  <c r="P30"/>
  <c r="N30"/>
  <c r="M30"/>
  <c r="L30"/>
  <c r="K30"/>
  <c r="I30"/>
  <c r="H30"/>
  <c r="G30"/>
  <c r="F30"/>
  <c r="E30"/>
  <c r="AC29"/>
  <c r="AB29"/>
  <c r="AA29"/>
  <c r="Z29"/>
  <c r="X29"/>
  <c r="W29"/>
  <c r="V29"/>
  <c r="U29"/>
  <c r="S29"/>
  <c r="R29"/>
  <c r="Q29"/>
  <c r="N29"/>
  <c r="M29"/>
  <c r="L29"/>
  <c r="K29"/>
  <c r="I29"/>
  <c r="H29"/>
  <c r="G29"/>
  <c r="G27" s="1"/>
  <c r="G85" s="1"/>
  <c r="AC28"/>
  <c r="AB28"/>
  <c r="AA28"/>
  <c r="Z28"/>
  <c r="X28"/>
  <c r="W28"/>
  <c r="V28"/>
  <c r="U28"/>
  <c r="T28"/>
  <c r="S28"/>
  <c r="R28"/>
  <c r="Q28"/>
  <c r="P28"/>
  <c r="N28"/>
  <c r="M28"/>
  <c r="L28"/>
  <c r="I28"/>
  <c r="H28"/>
  <c r="G28"/>
  <c r="AC27"/>
  <c r="AC85" s="1"/>
  <c r="AB27"/>
  <c r="AA27"/>
  <c r="AA85" s="1"/>
  <c r="Z27"/>
  <c r="Z85" s="1"/>
  <c r="X27"/>
  <c r="W27"/>
  <c r="U27"/>
  <c r="S27"/>
  <c r="S85" s="1"/>
  <c r="R27"/>
  <c r="R85" s="1"/>
  <c r="N27"/>
  <c r="N85" s="1"/>
  <c r="M27"/>
  <c r="M85" s="1"/>
  <c r="I27"/>
  <c r="I85" s="1"/>
  <c r="C95" s="1"/>
  <c r="H27"/>
  <c r="Y26"/>
  <c r="T26"/>
  <c r="O26"/>
  <c r="J26"/>
  <c r="F26"/>
  <c r="E26"/>
  <c r="AD26" s="1"/>
  <c r="T25"/>
  <c r="O25"/>
  <c r="J25"/>
  <c r="Y24"/>
  <c r="Y30" s="1"/>
  <c r="Y27" s="1"/>
  <c r="T24"/>
  <c r="Q24"/>
  <c r="O24" s="1"/>
  <c r="O30" s="1"/>
  <c r="L24"/>
  <c r="L27" s="1"/>
  <c r="L85" s="1"/>
  <c r="J24"/>
  <c r="J30" s="1"/>
  <c r="Y23"/>
  <c r="T23"/>
  <c r="P23"/>
  <c r="O23"/>
  <c r="K23"/>
  <c r="J23" s="1"/>
  <c r="Y22"/>
  <c r="T22"/>
  <c r="O22"/>
  <c r="J22"/>
  <c r="F22"/>
  <c r="E22" s="1"/>
  <c r="AD22" s="1"/>
  <c r="Y21"/>
  <c r="T21"/>
  <c r="O21"/>
  <c r="J21"/>
  <c r="E21"/>
  <c r="AD21" s="1"/>
  <c r="Y20"/>
  <c r="T20"/>
  <c r="O20"/>
  <c r="J20"/>
  <c r="AD20" s="1"/>
  <c r="E20"/>
  <c r="J19"/>
  <c r="E19"/>
  <c r="AD19" s="1"/>
  <c r="Y18"/>
  <c r="T18"/>
  <c r="P29"/>
  <c r="K18"/>
  <c r="J18"/>
  <c r="F18"/>
  <c r="E18" s="1"/>
  <c r="Y17"/>
  <c r="T17"/>
  <c r="O17"/>
  <c r="J17"/>
  <c r="E17"/>
  <c r="AD17" s="1"/>
  <c r="AD16"/>
  <c r="I16"/>
  <c r="F16"/>
  <c r="E16"/>
  <c r="Y15"/>
  <c r="Y29" s="1"/>
  <c r="T15"/>
  <c r="O15"/>
  <c r="J15"/>
  <c r="J29" s="1"/>
  <c r="F15"/>
  <c r="E15" s="1"/>
  <c r="Y14"/>
  <c r="Y28" s="1"/>
  <c r="T14"/>
  <c r="I14"/>
  <c r="F14"/>
  <c r="E14"/>
  <c r="AD14" s="1"/>
  <c r="Y13"/>
  <c r="T13"/>
  <c r="O13"/>
  <c r="O28" s="1"/>
  <c r="K13"/>
  <c r="J13" s="1"/>
  <c r="J28" s="1"/>
  <c r="F13"/>
  <c r="F28" s="1"/>
  <c r="E28" s="1"/>
  <c r="E13"/>
  <c r="AD13" s="1"/>
  <c r="P59" i="27"/>
  <c r="O59" s="1"/>
  <c r="P58"/>
  <c r="O58" s="1"/>
  <c r="Q25"/>
  <c r="D111"/>
  <c r="B100"/>
  <c r="P84"/>
  <c r="O84"/>
  <c r="O83"/>
  <c r="AD83" s="1"/>
  <c r="AD84" s="1"/>
  <c r="AC81"/>
  <c r="AB81"/>
  <c r="AA81"/>
  <c r="Z81"/>
  <c r="Y81" s="1"/>
  <c r="X81"/>
  <c r="W81"/>
  <c r="V81"/>
  <c r="S81"/>
  <c r="R81"/>
  <c r="Q81"/>
  <c r="P81"/>
  <c r="O81" s="1"/>
  <c r="N81"/>
  <c r="M81"/>
  <c r="L81"/>
  <c r="I81"/>
  <c r="H81"/>
  <c r="G81"/>
  <c r="F81"/>
  <c r="E81"/>
  <c r="Y80"/>
  <c r="T80"/>
  <c r="K80"/>
  <c r="J80" s="1"/>
  <c r="AD80" s="1"/>
  <c r="Y79"/>
  <c r="T79"/>
  <c r="U81" s="1"/>
  <c r="T81" s="1"/>
  <c r="K79"/>
  <c r="K81" s="1"/>
  <c r="J81" s="1"/>
  <c r="AC77"/>
  <c r="AB77"/>
  <c r="AA77"/>
  <c r="Z77"/>
  <c r="X77"/>
  <c r="W77"/>
  <c r="V77"/>
  <c r="U77"/>
  <c r="S77"/>
  <c r="R77"/>
  <c r="Q77"/>
  <c r="P77"/>
  <c r="N77"/>
  <c r="M77"/>
  <c r="L77"/>
  <c r="Y76"/>
  <c r="Y77" s="1"/>
  <c r="T76"/>
  <c r="T77" s="1"/>
  <c r="O76"/>
  <c r="O77" s="1"/>
  <c r="K76"/>
  <c r="K77" s="1"/>
  <c r="J76"/>
  <c r="J77" s="1"/>
  <c r="F76"/>
  <c r="F77" s="1"/>
  <c r="Z74"/>
  <c r="U74"/>
  <c r="P74"/>
  <c r="F74"/>
  <c r="AC73"/>
  <c r="AB73"/>
  <c r="AA73"/>
  <c r="Z73"/>
  <c r="X73"/>
  <c r="W73"/>
  <c r="V73"/>
  <c r="U73"/>
  <c r="S73"/>
  <c r="R73"/>
  <c r="Q73"/>
  <c r="P73"/>
  <c r="N73"/>
  <c r="M73"/>
  <c r="L73"/>
  <c r="K73"/>
  <c r="I73"/>
  <c r="H73"/>
  <c r="G73"/>
  <c r="Y72"/>
  <c r="Y74" s="1"/>
  <c r="T72"/>
  <c r="O72"/>
  <c r="J72"/>
  <c r="AD72" s="1"/>
  <c r="E72"/>
  <c r="Y71"/>
  <c r="T71"/>
  <c r="P71"/>
  <c r="O71" s="1"/>
  <c r="K71"/>
  <c r="J71"/>
  <c r="E71"/>
  <c r="Y70"/>
  <c r="Y73" s="1"/>
  <c r="T70"/>
  <c r="T73" s="1"/>
  <c r="P70"/>
  <c r="O70" s="1"/>
  <c r="O73" s="1"/>
  <c r="O74" s="1"/>
  <c r="K70"/>
  <c r="K74" s="1"/>
  <c r="J70"/>
  <c r="J74" s="1"/>
  <c r="F70"/>
  <c r="F73" s="1"/>
  <c r="AC68"/>
  <c r="AB68"/>
  <c r="AA68"/>
  <c r="Z68"/>
  <c r="Y68"/>
  <c r="X68"/>
  <c r="W68"/>
  <c r="V68"/>
  <c r="U68"/>
  <c r="T68"/>
  <c r="S68"/>
  <c r="R68"/>
  <c r="Q68"/>
  <c r="P68"/>
  <c r="N68"/>
  <c r="M68"/>
  <c r="L68"/>
  <c r="I68"/>
  <c r="H68"/>
  <c r="G68"/>
  <c r="Y67"/>
  <c r="T67"/>
  <c r="O67"/>
  <c r="O68" s="1"/>
  <c r="K67"/>
  <c r="K68" s="1"/>
  <c r="F67"/>
  <c r="F68" s="1"/>
  <c r="E67"/>
  <c r="AC65"/>
  <c r="AB65"/>
  <c r="AA65"/>
  <c r="Z65"/>
  <c r="X65"/>
  <c r="W65"/>
  <c r="V65"/>
  <c r="U65"/>
  <c r="T65"/>
  <c r="S65"/>
  <c r="R65"/>
  <c r="Q65"/>
  <c r="N65"/>
  <c r="M65"/>
  <c r="L65"/>
  <c r="K65"/>
  <c r="I65"/>
  <c r="H65"/>
  <c r="G65"/>
  <c r="Y64"/>
  <c r="Y65" s="1"/>
  <c r="P64"/>
  <c r="P65" s="1"/>
  <c r="K64"/>
  <c r="J64"/>
  <c r="J65" s="1"/>
  <c r="F64"/>
  <c r="F65" s="1"/>
  <c r="Z62"/>
  <c r="Y62" s="1"/>
  <c r="Z60"/>
  <c r="U60"/>
  <c r="U62" s="1"/>
  <c r="T62" s="1"/>
  <c r="T60"/>
  <c r="K60"/>
  <c r="J60" s="1"/>
  <c r="Y59"/>
  <c r="T59"/>
  <c r="K59"/>
  <c r="J59" s="1"/>
  <c r="F59"/>
  <c r="F60" s="1"/>
  <c r="E59"/>
  <c r="Y58"/>
  <c r="Y60" s="1"/>
  <c r="T58"/>
  <c r="K58"/>
  <c r="J58" s="1"/>
  <c r="E58"/>
  <c r="Y57"/>
  <c r="T57"/>
  <c r="O57"/>
  <c r="AD57" s="1"/>
  <c r="AD61" s="1"/>
  <c r="J57"/>
  <c r="F57"/>
  <c r="F61" s="1"/>
  <c r="E61" s="1"/>
  <c r="E57"/>
  <c r="AC55"/>
  <c r="AB55"/>
  <c r="AA55"/>
  <c r="Z55"/>
  <c r="Y55"/>
  <c r="X55"/>
  <c r="W55"/>
  <c r="V55"/>
  <c r="U55"/>
  <c r="S55"/>
  <c r="R55"/>
  <c r="Q55"/>
  <c r="N55"/>
  <c r="M55"/>
  <c r="L55"/>
  <c r="I55"/>
  <c r="H55"/>
  <c r="G55"/>
  <c r="F55"/>
  <c r="Y54"/>
  <c r="T54"/>
  <c r="T55" s="1"/>
  <c r="P54"/>
  <c r="P55" s="1"/>
  <c r="K54"/>
  <c r="K55" s="1"/>
  <c r="J54"/>
  <c r="J55" s="1"/>
  <c r="F54"/>
  <c r="E54" s="1"/>
  <c r="Z52"/>
  <c r="U52"/>
  <c r="P52"/>
  <c r="H52"/>
  <c r="AC51"/>
  <c r="AB51"/>
  <c r="AA51"/>
  <c r="Z51"/>
  <c r="Y51"/>
  <c r="X51"/>
  <c r="W51"/>
  <c r="V51"/>
  <c r="U51"/>
  <c r="U50" s="1"/>
  <c r="T51"/>
  <c r="T50" s="1"/>
  <c r="S51"/>
  <c r="R51"/>
  <c r="Q51"/>
  <c r="P51"/>
  <c r="P50" s="1"/>
  <c r="O51"/>
  <c r="N51"/>
  <c r="M51"/>
  <c r="L51"/>
  <c r="I51"/>
  <c r="I50" s="1"/>
  <c r="H51"/>
  <c r="H50" s="1"/>
  <c r="Z50"/>
  <c r="R50"/>
  <c r="N50"/>
  <c r="M50"/>
  <c r="L50"/>
  <c r="G50"/>
  <c r="Y49"/>
  <c r="T49"/>
  <c r="O49"/>
  <c r="J49"/>
  <c r="F49"/>
  <c r="E49"/>
  <c r="AD49" s="1"/>
  <c r="Y48"/>
  <c r="T48"/>
  <c r="K48"/>
  <c r="J48" s="1"/>
  <c r="J51" s="1"/>
  <c r="F48"/>
  <c r="E48" s="1"/>
  <c r="Y47"/>
  <c r="T47"/>
  <c r="O47"/>
  <c r="K47"/>
  <c r="J47" s="1"/>
  <c r="G47"/>
  <c r="F47"/>
  <c r="E47"/>
  <c r="AD47" s="1"/>
  <c r="Y46"/>
  <c r="T46"/>
  <c r="O46"/>
  <c r="K46"/>
  <c r="J46" s="1"/>
  <c r="F46"/>
  <c r="E46"/>
  <c r="Y45"/>
  <c r="T45"/>
  <c r="O45"/>
  <c r="J45"/>
  <c r="AD45" s="1"/>
  <c r="E45"/>
  <c r="Y44"/>
  <c r="T44"/>
  <c r="O44"/>
  <c r="J44"/>
  <c r="E44"/>
  <c r="AD44" s="1"/>
  <c r="Y43"/>
  <c r="T43"/>
  <c r="O43"/>
  <c r="K43"/>
  <c r="J43" s="1"/>
  <c r="F43"/>
  <c r="F52" s="1"/>
  <c r="E43"/>
  <c r="Y42"/>
  <c r="T42"/>
  <c r="O42"/>
  <c r="J42"/>
  <c r="AD42" s="1"/>
  <c r="E42"/>
  <c r="Y41"/>
  <c r="T41"/>
  <c r="O41"/>
  <c r="J41"/>
  <c r="E41"/>
  <c r="AD41" s="1"/>
  <c r="Y40"/>
  <c r="T40"/>
  <c r="O40"/>
  <c r="J40"/>
  <c r="AD40" s="1"/>
  <c r="E40"/>
  <c r="Y39"/>
  <c r="T39"/>
  <c r="O39"/>
  <c r="K39"/>
  <c r="J39"/>
  <c r="E39"/>
  <c r="AD39" s="1"/>
  <c r="Y38"/>
  <c r="T38"/>
  <c r="O38"/>
  <c r="K38"/>
  <c r="J38" s="1"/>
  <c r="E38"/>
  <c r="Y37"/>
  <c r="T37"/>
  <c r="O37"/>
  <c r="J37"/>
  <c r="AD37" s="1"/>
  <c r="E37"/>
  <c r="Y36"/>
  <c r="T36"/>
  <c r="O36"/>
  <c r="J36"/>
  <c r="E36"/>
  <c r="AD36" s="1"/>
  <c r="AC35"/>
  <c r="AC50" s="1"/>
  <c r="AB35"/>
  <c r="AB50" s="1"/>
  <c r="AA35"/>
  <c r="Y35" s="1"/>
  <c r="Y52" s="1"/>
  <c r="X35"/>
  <c r="X50" s="1"/>
  <c r="W35"/>
  <c r="W50" s="1"/>
  <c r="V35"/>
  <c r="T35" s="1"/>
  <c r="T52" s="1"/>
  <c r="S35"/>
  <c r="S50" s="1"/>
  <c r="R35"/>
  <c r="Q35"/>
  <c r="Q50" s="1"/>
  <c r="P35"/>
  <c r="O35" s="1"/>
  <c r="O52" s="1"/>
  <c r="O50" s="1"/>
  <c r="K35"/>
  <c r="K52" s="1"/>
  <c r="J35"/>
  <c r="E35"/>
  <c r="AD35" s="1"/>
  <c r="AC33"/>
  <c r="AB33"/>
  <c r="AA33"/>
  <c r="Z33"/>
  <c r="X33"/>
  <c r="W33"/>
  <c r="V33"/>
  <c r="U33"/>
  <c r="T33"/>
  <c r="S33"/>
  <c r="R33"/>
  <c r="Q33"/>
  <c r="P33"/>
  <c r="N33"/>
  <c r="M33"/>
  <c r="L33"/>
  <c r="I33"/>
  <c r="H33"/>
  <c r="G33"/>
  <c r="F33"/>
  <c r="Y32"/>
  <c r="Y33" s="1"/>
  <c r="T32"/>
  <c r="P32"/>
  <c r="O32"/>
  <c r="O33" s="1"/>
  <c r="K32"/>
  <c r="K33" s="1"/>
  <c r="F32"/>
  <c r="E32"/>
  <c r="AC30"/>
  <c r="AB30"/>
  <c r="AA30"/>
  <c r="Z30"/>
  <c r="X30"/>
  <c r="W30"/>
  <c r="V30"/>
  <c r="U30"/>
  <c r="S30"/>
  <c r="R30"/>
  <c r="P30"/>
  <c r="N30"/>
  <c r="M30"/>
  <c r="K30"/>
  <c r="I30"/>
  <c r="H30"/>
  <c r="G30"/>
  <c r="F30"/>
  <c r="E30"/>
  <c r="AC29"/>
  <c r="AB29"/>
  <c r="AA29"/>
  <c r="Z29"/>
  <c r="X29"/>
  <c r="W29"/>
  <c r="V29"/>
  <c r="U29"/>
  <c r="S29"/>
  <c r="R29"/>
  <c r="Q29"/>
  <c r="N29"/>
  <c r="M29"/>
  <c r="L29"/>
  <c r="I29"/>
  <c r="H29"/>
  <c r="G29"/>
  <c r="AC28"/>
  <c r="AB28"/>
  <c r="AA28"/>
  <c r="AA27" s="1"/>
  <c r="Z28"/>
  <c r="X28"/>
  <c r="W28"/>
  <c r="V28"/>
  <c r="V27" s="1"/>
  <c r="U28"/>
  <c r="S28"/>
  <c r="R28"/>
  <c r="Q28"/>
  <c r="P28"/>
  <c r="O28"/>
  <c r="N28"/>
  <c r="M28"/>
  <c r="L28"/>
  <c r="K28"/>
  <c r="H28"/>
  <c r="G28"/>
  <c r="G27" s="1"/>
  <c r="G85" s="1"/>
  <c r="AC27"/>
  <c r="AC85" s="1"/>
  <c r="AB27"/>
  <c r="AB85" s="1"/>
  <c r="Z27"/>
  <c r="Z85" s="1"/>
  <c r="X27"/>
  <c r="X85" s="1"/>
  <c r="W27"/>
  <c r="W85" s="1"/>
  <c r="U27"/>
  <c r="U85" s="1"/>
  <c r="S27"/>
  <c r="S85" s="1"/>
  <c r="R27"/>
  <c r="R85" s="1"/>
  <c r="N27"/>
  <c r="N85" s="1"/>
  <c r="M27"/>
  <c r="M85" s="1"/>
  <c r="H27"/>
  <c r="H85" s="1"/>
  <c r="Y26"/>
  <c r="T26"/>
  <c r="O26"/>
  <c r="J26"/>
  <c r="F26"/>
  <c r="E26" s="1"/>
  <c r="AD26" s="1"/>
  <c r="T25"/>
  <c r="O25"/>
  <c r="AD25" s="1"/>
  <c r="J25"/>
  <c r="Y24"/>
  <c r="Y30" s="1"/>
  <c r="T24"/>
  <c r="T30" s="1"/>
  <c r="Q24"/>
  <c r="Q30" s="1"/>
  <c r="O24"/>
  <c r="L24"/>
  <c r="J24" s="1"/>
  <c r="Y23"/>
  <c r="T23"/>
  <c r="P23"/>
  <c r="O23" s="1"/>
  <c r="K23"/>
  <c r="J23"/>
  <c r="AD23" s="1"/>
  <c r="Y22"/>
  <c r="T22"/>
  <c r="O22"/>
  <c r="J22"/>
  <c r="F22"/>
  <c r="E22"/>
  <c r="AD22" s="1"/>
  <c r="AD21"/>
  <c r="Y21"/>
  <c r="T21"/>
  <c r="O21"/>
  <c r="J21"/>
  <c r="E21"/>
  <c r="Y20"/>
  <c r="T20"/>
  <c r="O20"/>
  <c r="J20"/>
  <c r="E20"/>
  <c r="AD20" s="1"/>
  <c r="AD19"/>
  <c r="J19"/>
  <c r="E19"/>
  <c r="Y18"/>
  <c r="Y29" s="1"/>
  <c r="T18"/>
  <c r="P18"/>
  <c r="P29" s="1"/>
  <c r="P27" s="1"/>
  <c r="O18"/>
  <c r="K18"/>
  <c r="J18" s="1"/>
  <c r="F18"/>
  <c r="E18"/>
  <c r="AD17"/>
  <c r="Y17"/>
  <c r="T17"/>
  <c r="O17"/>
  <c r="J17"/>
  <c r="E17"/>
  <c r="I16"/>
  <c r="F16"/>
  <c r="E16" s="1"/>
  <c r="AD16" s="1"/>
  <c r="Y15"/>
  <c r="T15"/>
  <c r="T29" s="1"/>
  <c r="O15"/>
  <c r="O29" s="1"/>
  <c r="J15"/>
  <c r="F15"/>
  <c r="F29" s="1"/>
  <c r="E15"/>
  <c r="E29" s="1"/>
  <c r="Y14"/>
  <c r="T14"/>
  <c r="I14"/>
  <c r="I27" s="1"/>
  <c r="I85" s="1"/>
  <c r="C95" s="1"/>
  <c r="F14"/>
  <c r="E14" s="1"/>
  <c r="AD14" s="1"/>
  <c r="Y13"/>
  <c r="Y28" s="1"/>
  <c r="T13"/>
  <c r="T28" s="1"/>
  <c r="O13"/>
  <c r="K13"/>
  <c r="J13"/>
  <c r="J28" s="1"/>
  <c r="F13"/>
  <c r="F28" s="1"/>
  <c r="AD84" i="26"/>
  <c r="P84"/>
  <c r="O84"/>
  <c r="AD85"/>
  <c r="P64"/>
  <c r="AD83" i="25"/>
  <c r="P83"/>
  <c r="D111" i="26"/>
  <c r="B100"/>
  <c r="AD83"/>
  <c r="O83"/>
  <c r="AC81"/>
  <c r="AB81"/>
  <c r="AA81"/>
  <c r="Z81"/>
  <c r="Y81" s="1"/>
  <c r="X81"/>
  <c r="W81"/>
  <c r="V81"/>
  <c r="S81"/>
  <c r="R81"/>
  <c r="Q81"/>
  <c r="P81"/>
  <c r="O81" s="1"/>
  <c r="N81"/>
  <c r="M81"/>
  <c r="L81"/>
  <c r="I81"/>
  <c r="H81"/>
  <c r="G81"/>
  <c r="F81"/>
  <c r="E81"/>
  <c r="Y80"/>
  <c r="T80"/>
  <c r="K80"/>
  <c r="J80"/>
  <c r="AD80" s="1"/>
  <c r="Y79"/>
  <c r="T79"/>
  <c r="U81" s="1"/>
  <c r="T81" s="1"/>
  <c r="K79"/>
  <c r="K81" s="1"/>
  <c r="J81" s="1"/>
  <c r="AD81" s="1"/>
  <c r="AC77"/>
  <c r="AB77"/>
  <c r="AA77"/>
  <c r="Z77"/>
  <c r="X77"/>
  <c r="W77"/>
  <c r="V77"/>
  <c r="U77"/>
  <c r="T77"/>
  <c r="S77"/>
  <c r="R77"/>
  <c r="Q77"/>
  <c r="P77"/>
  <c r="N77"/>
  <c r="M77"/>
  <c r="L77"/>
  <c r="Y76"/>
  <c r="Y77" s="1"/>
  <c r="T76"/>
  <c r="O76"/>
  <c r="O77" s="1"/>
  <c r="K76"/>
  <c r="J76" s="1"/>
  <c r="J77" s="1"/>
  <c r="F76"/>
  <c r="F77" s="1"/>
  <c r="E76"/>
  <c r="Z74"/>
  <c r="U74"/>
  <c r="P74"/>
  <c r="F74"/>
  <c r="AC73"/>
  <c r="AB73"/>
  <c r="AA73"/>
  <c r="Z73"/>
  <c r="X73"/>
  <c r="W73"/>
  <c r="V73"/>
  <c r="U73"/>
  <c r="S73"/>
  <c r="R73"/>
  <c r="Q73"/>
  <c r="P73"/>
  <c r="N73"/>
  <c r="M73"/>
  <c r="L73"/>
  <c r="I73"/>
  <c r="H73"/>
  <c r="G73"/>
  <c r="F73"/>
  <c r="Y72"/>
  <c r="T72"/>
  <c r="T74" s="1"/>
  <c r="O72"/>
  <c r="J72"/>
  <c r="AD72" s="1"/>
  <c r="E72"/>
  <c r="Y71"/>
  <c r="T71"/>
  <c r="P71"/>
  <c r="O71"/>
  <c r="K71"/>
  <c r="J71" s="1"/>
  <c r="AD71" s="1"/>
  <c r="E71"/>
  <c r="Y70"/>
  <c r="Y73" s="1"/>
  <c r="T70"/>
  <c r="T73" s="1"/>
  <c r="P70"/>
  <c r="O70"/>
  <c r="O73" s="1"/>
  <c r="O74" s="1"/>
  <c r="K70"/>
  <c r="J70" s="1"/>
  <c r="F70"/>
  <c r="E70"/>
  <c r="E73" s="1"/>
  <c r="AC68"/>
  <c r="AB68"/>
  <c r="AA68"/>
  <c r="Z68"/>
  <c r="X68"/>
  <c r="W68"/>
  <c r="V68"/>
  <c r="U68"/>
  <c r="S68"/>
  <c r="R68"/>
  <c r="Q68"/>
  <c r="P68"/>
  <c r="O68"/>
  <c r="N68"/>
  <c r="M68"/>
  <c r="L68"/>
  <c r="K68"/>
  <c r="I68"/>
  <c r="H68"/>
  <c r="G68"/>
  <c r="Y67"/>
  <c r="Y68" s="1"/>
  <c r="T67"/>
  <c r="T68" s="1"/>
  <c r="O67"/>
  <c r="K67"/>
  <c r="J67"/>
  <c r="J68" s="1"/>
  <c r="F67"/>
  <c r="E67" s="1"/>
  <c r="AC65"/>
  <c r="AB65"/>
  <c r="AA65"/>
  <c r="Z65"/>
  <c r="Y65"/>
  <c r="X65"/>
  <c r="W65"/>
  <c r="V65"/>
  <c r="U65"/>
  <c r="T65"/>
  <c r="S65"/>
  <c r="R65"/>
  <c r="Q65"/>
  <c r="P65"/>
  <c r="N65"/>
  <c r="M65"/>
  <c r="L65"/>
  <c r="I65"/>
  <c r="H65"/>
  <c r="G65"/>
  <c r="Y64"/>
  <c r="O64"/>
  <c r="O65" s="1"/>
  <c r="K64"/>
  <c r="K65" s="1"/>
  <c r="F64"/>
  <c r="F65" s="1"/>
  <c r="E64"/>
  <c r="U62"/>
  <c r="T62" s="1"/>
  <c r="Z60"/>
  <c r="Z62" s="1"/>
  <c r="Y62" s="1"/>
  <c r="U60"/>
  <c r="P60"/>
  <c r="P62" s="1"/>
  <c r="O62" s="1"/>
  <c r="F60"/>
  <c r="Y59"/>
  <c r="T59"/>
  <c r="P59"/>
  <c r="O59" s="1"/>
  <c r="K59"/>
  <c r="J59"/>
  <c r="F59"/>
  <c r="E59" s="1"/>
  <c r="Y58"/>
  <c r="Y60" s="1"/>
  <c r="T58"/>
  <c r="T60" s="1"/>
  <c r="P58"/>
  <c r="O58" s="1"/>
  <c r="K58"/>
  <c r="K60" s="1"/>
  <c r="E58"/>
  <c r="Y57"/>
  <c r="T57"/>
  <c r="O57"/>
  <c r="J57"/>
  <c r="F57"/>
  <c r="F61" s="1"/>
  <c r="E61" s="1"/>
  <c r="AC55"/>
  <c r="AB55"/>
  <c r="AA55"/>
  <c r="Z55"/>
  <c r="X55"/>
  <c r="W55"/>
  <c r="V55"/>
  <c r="U55"/>
  <c r="T55"/>
  <c r="S55"/>
  <c r="R55"/>
  <c r="Q55"/>
  <c r="P55"/>
  <c r="N55"/>
  <c r="M55"/>
  <c r="L55"/>
  <c r="I55"/>
  <c r="H55"/>
  <c r="G55"/>
  <c r="F55"/>
  <c r="Y54"/>
  <c r="Y55" s="1"/>
  <c r="T54"/>
  <c r="P54"/>
  <c r="O54"/>
  <c r="O55" s="1"/>
  <c r="K54"/>
  <c r="J54" s="1"/>
  <c r="J55" s="1"/>
  <c r="F54"/>
  <c r="E54"/>
  <c r="Z52"/>
  <c r="U52"/>
  <c r="P52"/>
  <c r="H52"/>
  <c r="AC51"/>
  <c r="AB51"/>
  <c r="AA51"/>
  <c r="Z51"/>
  <c r="Z50" s="1"/>
  <c r="X51"/>
  <c r="W51"/>
  <c r="V51"/>
  <c r="U51"/>
  <c r="U50" s="1"/>
  <c r="S51"/>
  <c r="R51"/>
  <c r="Q51"/>
  <c r="P51"/>
  <c r="O51"/>
  <c r="N51"/>
  <c r="M51"/>
  <c r="L51"/>
  <c r="K51"/>
  <c r="I51"/>
  <c r="I50" s="1"/>
  <c r="H51"/>
  <c r="AA50"/>
  <c r="P50"/>
  <c r="N50"/>
  <c r="M50"/>
  <c r="L50"/>
  <c r="H50"/>
  <c r="G50"/>
  <c r="Y49"/>
  <c r="T49"/>
  <c r="O49"/>
  <c r="J49"/>
  <c r="F49"/>
  <c r="E49" s="1"/>
  <c r="AD49" s="1"/>
  <c r="Y48"/>
  <c r="Y51" s="1"/>
  <c r="T48"/>
  <c r="T51" s="1"/>
  <c r="K48"/>
  <c r="J48" s="1"/>
  <c r="J51" s="1"/>
  <c r="F48"/>
  <c r="E48" s="1"/>
  <c r="Y47"/>
  <c r="T47"/>
  <c r="O47"/>
  <c r="K47"/>
  <c r="J47" s="1"/>
  <c r="G47"/>
  <c r="F47"/>
  <c r="E47" s="1"/>
  <c r="AD47" s="1"/>
  <c r="Y46"/>
  <c r="T46"/>
  <c r="O46"/>
  <c r="K46"/>
  <c r="J46"/>
  <c r="F46"/>
  <c r="E46" s="1"/>
  <c r="AD46" s="1"/>
  <c r="Y45"/>
  <c r="T45"/>
  <c r="O45"/>
  <c r="J45"/>
  <c r="E45"/>
  <c r="AD45" s="1"/>
  <c r="Y44"/>
  <c r="T44"/>
  <c r="O44"/>
  <c r="J44"/>
  <c r="AD44" s="1"/>
  <c r="E44"/>
  <c r="Y43"/>
  <c r="T43"/>
  <c r="O43"/>
  <c r="K43"/>
  <c r="J43"/>
  <c r="F43"/>
  <c r="E43" s="1"/>
  <c r="AD43" s="1"/>
  <c r="Y42"/>
  <c r="T42"/>
  <c r="O42"/>
  <c r="J42"/>
  <c r="E42"/>
  <c r="AD42" s="1"/>
  <c r="Y41"/>
  <c r="T41"/>
  <c r="O41"/>
  <c r="J41"/>
  <c r="AD41" s="1"/>
  <c r="E41"/>
  <c r="Y40"/>
  <c r="T40"/>
  <c r="O40"/>
  <c r="J40"/>
  <c r="E40"/>
  <c r="AD40" s="1"/>
  <c r="Y39"/>
  <c r="T39"/>
  <c r="O39"/>
  <c r="K39"/>
  <c r="J39" s="1"/>
  <c r="AD39" s="1"/>
  <c r="E39"/>
  <c r="Y38"/>
  <c r="T38"/>
  <c r="O38"/>
  <c r="K38"/>
  <c r="J38" s="1"/>
  <c r="AD38" s="1"/>
  <c r="E38"/>
  <c r="Y37"/>
  <c r="T37"/>
  <c r="O37"/>
  <c r="J37"/>
  <c r="E37"/>
  <c r="E52" s="1"/>
  <c r="Y36"/>
  <c r="T36"/>
  <c r="O36"/>
  <c r="J36"/>
  <c r="AD36" s="1"/>
  <c r="E36"/>
  <c r="AC35"/>
  <c r="AC50" s="1"/>
  <c r="AB35"/>
  <c r="AB50" s="1"/>
  <c r="AA35"/>
  <c r="Y35" s="1"/>
  <c r="Y52" s="1"/>
  <c r="X35"/>
  <c r="X50" s="1"/>
  <c r="W35"/>
  <c r="W50" s="1"/>
  <c r="V35"/>
  <c r="V50" s="1"/>
  <c r="S35"/>
  <c r="S50" s="1"/>
  <c r="R35"/>
  <c r="R50" s="1"/>
  <c r="Q35"/>
  <c r="Q50" s="1"/>
  <c r="P35"/>
  <c r="O35"/>
  <c r="O52" s="1"/>
  <c r="K35"/>
  <c r="J35" s="1"/>
  <c r="J52" s="1"/>
  <c r="J50" s="1"/>
  <c r="E35"/>
  <c r="AC33"/>
  <c r="AB33"/>
  <c r="AA33"/>
  <c r="Z33"/>
  <c r="Y33"/>
  <c r="X33"/>
  <c r="W33"/>
  <c r="V33"/>
  <c r="U33"/>
  <c r="S33"/>
  <c r="R33"/>
  <c r="Q33"/>
  <c r="N33"/>
  <c r="M33"/>
  <c r="L33"/>
  <c r="J33"/>
  <c r="I33"/>
  <c r="H33"/>
  <c r="G33"/>
  <c r="F33"/>
  <c r="Y32"/>
  <c r="T32"/>
  <c r="T33" s="1"/>
  <c r="P32"/>
  <c r="P33" s="1"/>
  <c r="K32"/>
  <c r="K33" s="1"/>
  <c r="J32"/>
  <c r="F32"/>
  <c r="E32" s="1"/>
  <c r="AC30"/>
  <c r="AB30"/>
  <c r="AA30"/>
  <c r="Z30"/>
  <c r="Y30"/>
  <c r="X30"/>
  <c r="W30"/>
  <c r="V30"/>
  <c r="U30"/>
  <c r="T30"/>
  <c r="S30"/>
  <c r="R30"/>
  <c r="P30"/>
  <c r="N30"/>
  <c r="M30"/>
  <c r="L30"/>
  <c r="K30"/>
  <c r="I30"/>
  <c r="H30"/>
  <c r="G30"/>
  <c r="F30"/>
  <c r="E30"/>
  <c r="AC29"/>
  <c r="AB29"/>
  <c r="AA29"/>
  <c r="Z29"/>
  <c r="X29"/>
  <c r="W29"/>
  <c r="V29"/>
  <c r="U29"/>
  <c r="S29"/>
  <c r="R29"/>
  <c r="Q29"/>
  <c r="N29"/>
  <c r="M29"/>
  <c r="L29"/>
  <c r="K29"/>
  <c r="I29"/>
  <c r="H29"/>
  <c r="G29"/>
  <c r="AC28"/>
  <c r="AB28"/>
  <c r="AA28"/>
  <c r="Z28"/>
  <c r="X28"/>
  <c r="W28"/>
  <c r="V28"/>
  <c r="U28"/>
  <c r="S28"/>
  <c r="R28"/>
  <c r="Q28"/>
  <c r="P28"/>
  <c r="N28"/>
  <c r="M28"/>
  <c r="L28"/>
  <c r="I28"/>
  <c r="H28"/>
  <c r="G28"/>
  <c r="G27" s="1"/>
  <c r="G85" s="1"/>
  <c r="AC27"/>
  <c r="AB27"/>
  <c r="AB85" s="1"/>
  <c r="AA27"/>
  <c r="AA85" s="1"/>
  <c r="Z27"/>
  <c r="X27"/>
  <c r="W27"/>
  <c r="W85" s="1"/>
  <c r="V27"/>
  <c r="V85" s="1"/>
  <c r="U27"/>
  <c r="U85" s="1"/>
  <c r="S27"/>
  <c r="R27"/>
  <c r="R85" s="1"/>
  <c r="N27"/>
  <c r="N85" s="1"/>
  <c r="M27"/>
  <c r="M85" s="1"/>
  <c r="H27"/>
  <c r="H85" s="1"/>
  <c r="Y26"/>
  <c r="T26"/>
  <c r="O26"/>
  <c r="J26"/>
  <c r="F26"/>
  <c r="E26"/>
  <c r="AD26" s="1"/>
  <c r="T25"/>
  <c r="O25"/>
  <c r="J25"/>
  <c r="AD25" s="1"/>
  <c r="Y24"/>
  <c r="T24"/>
  <c r="Q24"/>
  <c r="O24" s="1"/>
  <c r="O30" s="1"/>
  <c r="L24"/>
  <c r="J24" s="1"/>
  <c r="Y23"/>
  <c r="T23"/>
  <c r="P23"/>
  <c r="O23"/>
  <c r="K23"/>
  <c r="J23" s="1"/>
  <c r="AD23" s="1"/>
  <c r="Y22"/>
  <c r="T22"/>
  <c r="O22"/>
  <c r="J22"/>
  <c r="F22"/>
  <c r="E22" s="1"/>
  <c r="AD22" s="1"/>
  <c r="Y21"/>
  <c r="T21"/>
  <c r="O21"/>
  <c r="J21"/>
  <c r="AD21" s="1"/>
  <c r="E21"/>
  <c r="Y20"/>
  <c r="T20"/>
  <c r="O20"/>
  <c r="J20"/>
  <c r="AD20" s="1"/>
  <c r="E20"/>
  <c r="J19"/>
  <c r="E19"/>
  <c r="AD19" s="1"/>
  <c r="Y18"/>
  <c r="T18"/>
  <c r="P18"/>
  <c r="O18" s="1"/>
  <c r="O29" s="1"/>
  <c r="K18"/>
  <c r="J18" s="1"/>
  <c r="F18"/>
  <c r="F27" s="1"/>
  <c r="Y17"/>
  <c r="T17"/>
  <c r="O17"/>
  <c r="J17"/>
  <c r="AD17" s="1"/>
  <c r="E17"/>
  <c r="I16"/>
  <c r="I27" s="1"/>
  <c r="I85" s="1"/>
  <c r="C95" s="1"/>
  <c r="F16"/>
  <c r="E16" s="1"/>
  <c r="AD16" s="1"/>
  <c r="Y15"/>
  <c r="Y29" s="1"/>
  <c r="T15"/>
  <c r="T29" s="1"/>
  <c r="O15"/>
  <c r="J15"/>
  <c r="F15"/>
  <c r="E15" s="1"/>
  <c r="Y14"/>
  <c r="Y28" s="1"/>
  <c r="T14"/>
  <c r="T28" s="1"/>
  <c r="I14"/>
  <c r="F14"/>
  <c r="E14"/>
  <c r="AD14" s="1"/>
  <c r="Y13"/>
  <c r="T13"/>
  <c r="O13"/>
  <c r="O28" s="1"/>
  <c r="K13"/>
  <c r="K28" s="1"/>
  <c r="K27" s="1"/>
  <c r="F13"/>
  <c r="F28" s="1"/>
  <c r="E28" s="1"/>
  <c r="E13"/>
  <c r="T60" i="28" l="1"/>
  <c r="AD44"/>
  <c r="AD24"/>
  <c r="AD25"/>
  <c r="V27"/>
  <c r="V85" s="1"/>
  <c r="T29"/>
  <c r="AD23"/>
  <c r="T27"/>
  <c r="T73"/>
  <c r="T74"/>
  <c r="AD45"/>
  <c r="AD46"/>
  <c r="T52"/>
  <c r="T50" s="1"/>
  <c r="Y60"/>
  <c r="T30"/>
  <c r="AD30" s="1"/>
  <c r="P50"/>
  <c r="AD71"/>
  <c r="AD58"/>
  <c r="AD42"/>
  <c r="AD39"/>
  <c r="AD38"/>
  <c r="E29"/>
  <c r="AD15"/>
  <c r="J60"/>
  <c r="K62"/>
  <c r="J62" s="1"/>
  <c r="AD59"/>
  <c r="E60"/>
  <c r="AD18"/>
  <c r="P27"/>
  <c r="AD81"/>
  <c r="E33"/>
  <c r="J77"/>
  <c r="AD76"/>
  <c r="J27"/>
  <c r="U85"/>
  <c r="F50"/>
  <c r="Y50"/>
  <c r="AD67"/>
  <c r="AD68" s="1"/>
  <c r="E68"/>
  <c r="AD28"/>
  <c r="E27"/>
  <c r="C89"/>
  <c r="AD77"/>
  <c r="F27"/>
  <c r="Q30"/>
  <c r="Q27" s="1"/>
  <c r="Q85" s="1"/>
  <c r="F33"/>
  <c r="O35"/>
  <c r="O52" s="1"/>
  <c r="O50" s="1"/>
  <c r="AB50"/>
  <c r="AB85" s="1"/>
  <c r="Y85" s="1"/>
  <c r="K52"/>
  <c r="K50" s="1"/>
  <c r="AD54"/>
  <c r="AD55" s="1"/>
  <c r="F60"/>
  <c r="F62" s="1"/>
  <c r="E62" s="1"/>
  <c r="P60"/>
  <c r="K74"/>
  <c r="AD83"/>
  <c r="AD84" s="1"/>
  <c r="F29"/>
  <c r="W50"/>
  <c r="W85" s="1"/>
  <c r="E51"/>
  <c r="K55"/>
  <c r="F68"/>
  <c r="Y73"/>
  <c r="K77"/>
  <c r="O18"/>
  <c r="O29" s="1"/>
  <c r="K28"/>
  <c r="K27" s="1"/>
  <c r="K85" s="1"/>
  <c r="J85" s="1"/>
  <c r="O32"/>
  <c r="O33" s="1"/>
  <c r="E43"/>
  <c r="AD43" s="1"/>
  <c r="J64"/>
  <c r="J70"/>
  <c r="P73"/>
  <c r="O30" i="27"/>
  <c r="AD48"/>
  <c r="E51"/>
  <c r="E55"/>
  <c r="AD54"/>
  <c r="AD55" s="1"/>
  <c r="AD38"/>
  <c r="F62"/>
  <c r="E62" s="1"/>
  <c r="Q27"/>
  <c r="Q85" s="1"/>
  <c r="AD59"/>
  <c r="AD71"/>
  <c r="O27"/>
  <c r="J30"/>
  <c r="AD24"/>
  <c r="J29"/>
  <c r="J27" s="1"/>
  <c r="AD18"/>
  <c r="V85"/>
  <c r="T85" s="1"/>
  <c r="AD32"/>
  <c r="AD33" s="1"/>
  <c r="J52"/>
  <c r="J50" s="1"/>
  <c r="AD43"/>
  <c r="AD46"/>
  <c r="Y50"/>
  <c r="AD58"/>
  <c r="AD81"/>
  <c r="AD29"/>
  <c r="E13"/>
  <c r="AD13" s="1"/>
  <c r="AD15"/>
  <c r="F27"/>
  <c r="I28"/>
  <c r="E28" s="1"/>
  <c r="K29"/>
  <c r="K27" s="1"/>
  <c r="K85" s="1"/>
  <c r="J85" s="1"/>
  <c r="J32"/>
  <c r="J33" s="1"/>
  <c r="F51"/>
  <c r="F50" s="1"/>
  <c r="K51"/>
  <c r="K50" s="1"/>
  <c r="E52"/>
  <c r="O54"/>
  <c r="O55" s="1"/>
  <c r="P60"/>
  <c r="K62"/>
  <c r="J62" s="1"/>
  <c r="E64"/>
  <c r="O64"/>
  <c r="O65" s="1"/>
  <c r="J67"/>
  <c r="J68" s="1"/>
  <c r="E70"/>
  <c r="J73"/>
  <c r="E76"/>
  <c r="L30"/>
  <c r="E33"/>
  <c r="AA50"/>
  <c r="AA85" s="1"/>
  <c r="Y85" s="1"/>
  <c r="E60"/>
  <c r="T74"/>
  <c r="J79"/>
  <c r="AD79" s="1"/>
  <c r="L27"/>
  <c r="L85" s="1"/>
  <c r="C97" s="1"/>
  <c r="T27"/>
  <c r="V50"/>
  <c r="E68"/>
  <c r="J30" i="26"/>
  <c r="AD24"/>
  <c r="AD32"/>
  <c r="AD33" s="1"/>
  <c r="E33"/>
  <c r="C89"/>
  <c r="AD28"/>
  <c r="E68"/>
  <c r="AD67"/>
  <c r="AD68" s="1"/>
  <c r="J74"/>
  <c r="J73"/>
  <c r="E51"/>
  <c r="AD48"/>
  <c r="K62"/>
  <c r="J62" s="1"/>
  <c r="J60"/>
  <c r="AD59"/>
  <c r="E60"/>
  <c r="AD15"/>
  <c r="T50"/>
  <c r="K50"/>
  <c r="K85" s="1"/>
  <c r="J85" s="1"/>
  <c r="O50"/>
  <c r="F62"/>
  <c r="E62" s="1"/>
  <c r="AD13"/>
  <c r="J29"/>
  <c r="Z85"/>
  <c r="C88"/>
  <c r="AD76"/>
  <c r="S85"/>
  <c r="X85"/>
  <c r="T85" s="1"/>
  <c r="AC85"/>
  <c r="Q27"/>
  <c r="Q85" s="1"/>
  <c r="C97" s="1"/>
  <c r="Y50"/>
  <c r="AD54"/>
  <c r="AD55" s="1"/>
  <c r="AD58"/>
  <c r="AD60" s="1"/>
  <c r="AD52"/>
  <c r="Q30"/>
  <c r="E18"/>
  <c r="AD18" s="1"/>
  <c r="F29"/>
  <c r="J13"/>
  <c r="J28" s="1"/>
  <c r="J27" s="1"/>
  <c r="L27"/>
  <c r="L85" s="1"/>
  <c r="T27"/>
  <c r="P29"/>
  <c r="P27" s="1"/>
  <c r="AD30"/>
  <c r="T35"/>
  <c r="T52" s="1"/>
  <c r="AD37"/>
  <c r="F52"/>
  <c r="E55"/>
  <c r="K73"/>
  <c r="E74"/>
  <c r="Y74"/>
  <c r="F51"/>
  <c r="K52"/>
  <c r="E65"/>
  <c r="AD70"/>
  <c r="K74"/>
  <c r="E77"/>
  <c r="AD77" s="1"/>
  <c r="K55"/>
  <c r="E57"/>
  <c r="AD57" s="1"/>
  <c r="AD61" s="1"/>
  <c r="J58"/>
  <c r="O60"/>
  <c r="F68"/>
  <c r="K77"/>
  <c r="J79"/>
  <c r="AD79" s="1"/>
  <c r="O32"/>
  <c r="O33" s="1"/>
  <c r="J64"/>
  <c r="J65" s="1"/>
  <c r="C97" i="28" l="1"/>
  <c r="T85"/>
  <c r="C96"/>
  <c r="AD60"/>
  <c r="AD51"/>
  <c r="O27"/>
  <c r="P62"/>
  <c r="O62" s="1"/>
  <c r="O60"/>
  <c r="C87"/>
  <c r="AD29"/>
  <c r="AD27" s="1"/>
  <c r="AD62"/>
  <c r="F85"/>
  <c r="E52"/>
  <c r="AD52" s="1"/>
  <c r="AD32"/>
  <c r="AD33" s="1"/>
  <c r="J74"/>
  <c r="J73"/>
  <c r="J65"/>
  <c r="AD64"/>
  <c r="AD65" s="1"/>
  <c r="C88"/>
  <c r="AD70"/>
  <c r="AD35"/>
  <c r="AD60" i="27"/>
  <c r="AD30"/>
  <c r="AD28"/>
  <c r="E27"/>
  <c r="C89"/>
  <c r="C88"/>
  <c r="E74"/>
  <c r="E73"/>
  <c r="AD70"/>
  <c r="AD76"/>
  <c r="E77"/>
  <c r="AD77" s="1"/>
  <c r="AD52"/>
  <c r="AD67"/>
  <c r="AD68" s="1"/>
  <c r="AD64"/>
  <c r="AD65" s="1"/>
  <c r="E65"/>
  <c r="C87" s="1"/>
  <c r="C91" s="1"/>
  <c r="P62"/>
  <c r="O60"/>
  <c r="E50"/>
  <c r="AD50" s="1"/>
  <c r="AD51"/>
  <c r="F85"/>
  <c r="P85" i="26"/>
  <c r="O85" s="1"/>
  <c r="O27"/>
  <c r="AD74"/>
  <c r="AD73"/>
  <c r="AD51"/>
  <c r="E50"/>
  <c r="AD50" s="1"/>
  <c r="Y85"/>
  <c r="E29"/>
  <c r="AD64"/>
  <c r="AD65" s="1"/>
  <c r="F50"/>
  <c r="F85" s="1"/>
  <c r="AD35"/>
  <c r="AD62"/>
  <c r="AD85" i="28" l="1"/>
  <c r="P85"/>
  <c r="O85" s="1"/>
  <c r="AD73"/>
  <c r="AD74" s="1"/>
  <c r="C91"/>
  <c r="E50"/>
  <c r="AD50" s="1"/>
  <c r="E85"/>
  <c r="AD27" i="27"/>
  <c r="E85"/>
  <c r="O62"/>
  <c r="AD62" s="1"/>
  <c r="P85"/>
  <c r="O85" s="1"/>
  <c r="AD74"/>
  <c r="AD73"/>
  <c r="C96" i="26"/>
  <c r="E85"/>
  <c r="C87"/>
  <c r="C91" s="1"/>
  <c r="AD29"/>
  <c r="AD27" s="1"/>
  <c r="E27"/>
  <c r="C99" i="28" l="1"/>
  <c r="C96" i="27"/>
  <c r="AD85"/>
  <c r="T96" i="26"/>
  <c r="C99"/>
  <c r="T96" i="27" l="1"/>
  <c r="C99"/>
  <c r="P59" i="25"/>
  <c r="O59" s="1"/>
  <c r="P23" l="1"/>
  <c r="O23" s="1"/>
  <c r="P18"/>
  <c r="O18" s="1"/>
  <c r="P71" i="24"/>
  <c r="P70"/>
  <c r="P59"/>
  <c r="P58"/>
  <c r="P54"/>
  <c r="P35"/>
  <c r="P32"/>
  <c r="D109" i="25"/>
  <c r="B98"/>
  <c r="AC81"/>
  <c r="AB81"/>
  <c r="AA81"/>
  <c r="Y81" s="1"/>
  <c r="Z81"/>
  <c r="X81"/>
  <c r="W81"/>
  <c r="V81"/>
  <c r="S81"/>
  <c r="R81"/>
  <c r="Q81"/>
  <c r="P81"/>
  <c r="O81" s="1"/>
  <c r="N81"/>
  <c r="M81"/>
  <c r="L81"/>
  <c r="I81"/>
  <c r="H81"/>
  <c r="G81"/>
  <c r="F81"/>
  <c r="E81"/>
  <c r="Y80"/>
  <c r="T80"/>
  <c r="K80"/>
  <c r="J80" s="1"/>
  <c r="AD80" s="1"/>
  <c r="Y79"/>
  <c r="T79"/>
  <c r="U81" s="1"/>
  <c r="T81" s="1"/>
  <c r="K79"/>
  <c r="J79" s="1"/>
  <c r="AD79" s="1"/>
  <c r="AC77"/>
  <c r="AB77"/>
  <c r="AA77"/>
  <c r="Z77"/>
  <c r="X77"/>
  <c r="W77"/>
  <c r="V77"/>
  <c r="U77"/>
  <c r="T77"/>
  <c r="S77"/>
  <c r="R77"/>
  <c r="Q77"/>
  <c r="P77"/>
  <c r="O77"/>
  <c r="N77"/>
  <c r="M77"/>
  <c r="L77"/>
  <c r="Y76"/>
  <c r="Y77" s="1"/>
  <c r="T76"/>
  <c r="O76"/>
  <c r="K76"/>
  <c r="J76" s="1"/>
  <c r="F76"/>
  <c r="F77" s="1"/>
  <c r="Z74"/>
  <c r="U74"/>
  <c r="AC73"/>
  <c r="AB73"/>
  <c r="AA73"/>
  <c r="Z73"/>
  <c r="X73"/>
  <c r="W73"/>
  <c r="V73"/>
  <c r="U73"/>
  <c r="S73"/>
  <c r="R73"/>
  <c r="Q73"/>
  <c r="N73"/>
  <c r="M73"/>
  <c r="L73"/>
  <c r="I73"/>
  <c r="H73"/>
  <c r="G73"/>
  <c r="F73"/>
  <c r="Y72"/>
  <c r="T72"/>
  <c r="T74" s="1"/>
  <c r="O72"/>
  <c r="J72"/>
  <c r="E72"/>
  <c r="Y71"/>
  <c r="T71"/>
  <c r="P71"/>
  <c r="O71" s="1"/>
  <c r="K71"/>
  <c r="J71" s="1"/>
  <c r="E71"/>
  <c r="Y70"/>
  <c r="T70"/>
  <c r="P70"/>
  <c r="P74" s="1"/>
  <c r="K70"/>
  <c r="J70" s="1"/>
  <c r="F70"/>
  <c r="F74" s="1"/>
  <c r="E70"/>
  <c r="E73" s="1"/>
  <c r="AC68"/>
  <c r="AB68"/>
  <c r="AA68"/>
  <c r="Z68"/>
  <c r="X68"/>
  <c r="W68"/>
  <c r="V68"/>
  <c r="U68"/>
  <c r="S68"/>
  <c r="R68"/>
  <c r="Q68"/>
  <c r="P68"/>
  <c r="N68"/>
  <c r="M68"/>
  <c r="L68"/>
  <c r="I68"/>
  <c r="H68"/>
  <c r="G68"/>
  <c r="Y67"/>
  <c r="Y68" s="1"/>
  <c r="T67"/>
  <c r="T68" s="1"/>
  <c r="O67"/>
  <c r="O68" s="1"/>
  <c r="K67"/>
  <c r="J67" s="1"/>
  <c r="J68" s="1"/>
  <c r="F67"/>
  <c r="E67" s="1"/>
  <c r="AC65"/>
  <c r="AB65"/>
  <c r="AA65"/>
  <c r="Z65"/>
  <c r="X65"/>
  <c r="W65"/>
  <c r="V65"/>
  <c r="U65"/>
  <c r="T65"/>
  <c r="S65"/>
  <c r="R65"/>
  <c r="Q65"/>
  <c r="N65"/>
  <c r="M65"/>
  <c r="L65"/>
  <c r="I65"/>
  <c r="H65"/>
  <c r="G65"/>
  <c r="Y64"/>
  <c r="Y65" s="1"/>
  <c r="P64"/>
  <c r="O64" s="1"/>
  <c r="O65" s="1"/>
  <c r="K64"/>
  <c r="K65" s="1"/>
  <c r="F64"/>
  <c r="F65" s="1"/>
  <c r="U62"/>
  <c r="T62" s="1"/>
  <c r="Z60"/>
  <c r="Z62" s="1"/>
  <c r="Y62" s="1"/>
  <c r="U60"/>
  <c r="Y59"/>
  <c r="T59"/>
  <c r="K59"/>
  <c r="J59" s="1"/>
  <c r="F59"/>
  <c r="F60" s="1"/>
  <c r="Y58"/>
  <c r="Y60" s="1"/>
  <c r="T58"/>
  <c r="P58"/>
  <c r="O58" s="1"/>
  <c r="K58"/>
  <c r="K60" s="1"/>
  <c r="E58"/>
  <c r="Y57"/>
  <c r="T57"/>
  <c r="O57"/>
  <c r="J57"/>
  <c r="F57"/>
  <c r="F61" s="1"/>
  <c r="E61" s="1"/>
  <c r="AC55"/>
  <c r="AB55"/>
  <c r="AA55"/>
  <c r="Z55"/>
  <c r="X55"/>
  <c r="W55"/>
  <c r="V55"/>
  <c r="U55"/>
  <c r="S55"/>
  <c r="R55"/>
  <c r="Q55"/>
  <c r="N55"/>
  <c r="M55"/>
  <c r="L55"/>
  <c r="I55"/>
  <c r="H55"/>
  <c r="G55"/>
  <c r="F55"/>
  <c r="Y54"/>
  <c r="Y55" s="1"/>
  <c r="T54"/>
  <c r="T55" s="1"/>
  <c r="P54"/>
  <c r="P55" s="1"/>
  <c r="O54"/>
  <c r="O55" s="1"/>
  <c r="K54"/>
  <c r="K55" s="1"/>
  <c r="F54"/>
  <c r="E54"/>
  <c r="E55" s="1"/>
  <c r="Z52"/>
  <c r="U52"/>
  <c r="H52"/>
  <c r="H50" s="1"/>
  <c r="AC51"/>
  <c r="AB51"/>
  <c r="AA51"/>
  <c r="Z51"/>
  <c r="X51"/>
  <c r="W51"/>
  <c r="V51"/>
  <c r="U51"/>
  <c r="U50" s="1"/>
  <c r="S51"/>
  <c r="R51"/>
  <c r="Q51"/>
  <c r="P51"/>
  <c r="O51"/>
  <c r="N51"/>
  <c r="M51"/>
  <c r="L51"/>
  <c r="I51"/>
  <c r="I50" s="1"/>
  <c r="H51"/>
  <c r="Z50"/>
  <c r="N50"/>
  <c r="M50"/>
  <c r="L50"/>
  <c r="G50"/>
  <c r="Y49"/>
  <c r="T49"/>
  <c r="O49"/>
  <c r="J49"/>
  <c r="F49"/>
  <c r="E49" s="1"/>
  <c r="AD49" s="1"/>
  <c r="Y48"/>
  <c r="Y51" s="1"/>
  <c r="T48"/>
  <c r="T51" s="1"/>
  <c r="K48"/>
  <c r="J48" s="1"/>
  <c r="J51" s="1"/>
  <c r="F48"/>
  <c r="F51" s="1"/>
  <c r="E48"/>
  <c r="AD48" s="1"/>
  <c r="Y47"/>
  <c r="T47"/>
  <c r="O47"/>
  <c r="K47"/>
  <c r="J47" s="1"/>
  <c r="G47"/>
  <c r="F47"/>
  <c r="E47" s="1"/>
  <c r="AD47" s="1"/>
  <c r="Y46"/>
  <c r="T46"/>
  <c r="O46"/>
  <c r="K46"/>
  <c r="J46" s="1"/>
  <c r="F46"/>
  <c r="E46" s="1"/>
  <c r="AD46" s="1"/>
  <c r="Y45"/>
  <c r="T45"/>
  <c r="O45"/>
  <c r="J45"/>
  <c r="E45"/>
  <c r="Y44"/>
  <c r="T44"/>
  <c r="O44"/>
  <c r="J44"/>
  <c r="E44"/>
  <c r="Y43"/>
  <c r="T43"/>
  <c r="O43"/>
  <c r="K43"/>
  <c r="J43" s="1"/>
  <c r="F43"/>
  <c r="F52" s="1"/>
  <c r="Y42"/>
  <c r="T42"/>
  <c r="O42"/>
  <c r="J42"/>
  <c r="E42"/>
  <c r="Y41"/>
  <c r="T41"/>
  <c r="O41"/>
  <c r="J41"/>
  <c r="E41"/>
  <c r="Y40"/>
  <c r="T40"/>
  <c r="O40"/>
  <c r="J40"/>
  <c r="E40"/>
  <c r="AD40" s="1"/>
  <c r="Y39"/>
  <c r="T39"/>
  <c r="O39"/>
  <c r="K39"/>
  <c r="J39" s="1"/>
  <c r="AD39" s="1"/>
  <c r="E39"/>
  <c r="Y38"/>
  <c r="T38"/>
  <c r="O38"/>
  <c r="K38"/>
  <c r="J38" s="1"/>
  <c r="E38"/>
  <c r="Y37"/>
  <c r="T37"/>
  <c r="O37"/>
  <c r="J37"/>
  <c r="E37"/>
  <c r="Y36"/>
  <c r="T36"/>
  <c r="O36"/>
  <c r="J36"/>
  <c r="E36"/>
  <c r="AC35"/>
  <c r="AC50" s="1"/>
  <c r="AB35"/>
  <c r="AB50" s="1"/>
  <c r="AA35"/>
  <c r="X35"/>
  <c r="X50" s="1"/>
  <c r="W35"/>
  <c r="W50" s="1"/>
  <c r="V35"/>
  <c r="T35" s="1"/>
  <c r="T52" s="1"/>
  <c r="S35"/>
  <c r="S50" s="1"/>
  <c r="R35"/>
  <c r="R50" s="1"/>
  <c r="Q35"/>
  <c r="Q50" s="1"/>
  <c r="P35"/>
  <c r="P52" s="1"/>
  <c r="P50" s="1"/>
  <c r="K35"/>
  <c r="J35" s="1"/>
  <c r="E35"/>
  <c r="AC33"/>
  <c r="AB33"/>
  <c r="AA33"/>
  <c r="Z33"/>
  <c r="X33"/>
  <c r="W33"/>
  <c r="V33"/>
  <c r="U33"/>
  <c r="S33"/>
  <c r="R33"/>
  <c r="Q33"/>
  <c r="P33"/>
  <c r="N33"/>
  <c r="M33"/>
  <c r="L33"/>
  <c r="I33"/>
  <c r="H33"/>
  <c r="G33"/>
  <c r="Y32"/>
  <c r="Y33" s="1"/>
  <c r="T32"/>
  <c r="T33" s="1"/>
  <c r="P32"/>
  <c r="O32" s="1"/>
  <c r="O33" s="1"/>
  <c r="K32"/>
  <c r="K33" s="1"/>
  <c r="F32"/>
  <c r="F33" s="1"/>
  <c r="AC30"/>
  <c r="AB30"/>
  <c r="AA30"/>
  <c r="Z30"/>
  <c r="X30"/>
  <c r="W30"/>
  <c r="V30"/>
  <c r="U30"/>
  <c r="S30"/>
  <c r="R30"/>
  <c r="P30"/>
  <c r="N30"/>
  <c r="M30"/>
  <c r="K30"/>
  <c r="I30"/>
  <c r="H30"/>
  <c r="G30"/>
  <c r="F30"/>
  <c r="E30"/>
  <c r="AC29"/>
  <c r="AB29"/>
  <c r="AA29"/>
  <c r="Z29"/>
  <c r="X29"/>
  <c r="W29"/>
  <c r="V29"/>
  <c r="U29"/>
  <c r="S29"/>
  <c r="R29"/>
  <c r="Q29"/>
  <c r="N29"/>
  <c r="M29"/>
  <c r="L29"/>
  <c r="I29"/>
  <c r="H29"/>
  <c r="G29"/>
  <c r="AC28"/>
  <c r="AB28"/>
  <c r="AA28"/>
  <c r="AA27" s="1"/>
  <c r="Z28"/>
  <c r="X28"/>
  <c r="W28"/>
  <c r="V28"/>
  <c r="V27" s="1"/>
  <c r="U28"/>
  <c r="S28"/>
  <c r="R28"/>
  <c r="Q28"/>
  <c r="P28"/>
  <c r="N28"/>
  <c r="M28"/>
  <c r="L28"/>
  <c r="H28"/>
  <c r="G28"/>
  <c r="G27" s="1"/>
  <c r="G83" s="1"/>
  <c r="AC27"/>
  <c r="AB27"/>
  <c r="Z27"/>
  <c r="Z83" s="1"/>
  <c r="X27"/>
  <c r="X83" s="1"/>
  <c r="W27"/>
  <c r="U27"/>
  <c r="U83" s="1"/>
  <c r="S27"/>
  <c r="R27"/>
  <c r="N27"/>
  <c r="M27"/>
  <c r="M83" s="1"/>
  <c r="H27"/>
  <c r="H83" s="1"/>
  <c r="Y26"/>
  <c r="T26"/>
  <c r="O26"/>
  <c r="J26"/>
  <c r="F26"/>
  <c r="E26" s="1"/>
  <c r="AD26" s="1"/>
  <c r="T25"/>
  <c r="O25"/>
  <c r="J25"/>
  <c r="Y24"/>
  <c r="Y30" s="1"/>
  <c r="T24"/>
  <c r="T30" s="1"/>
  <c r="Q24"/>
  <c r="Q30" s="1"/>
  <c r="Q27" s="1"/>
  <c r="L24"/>
  <c r="L27" s="1"/>
  <c r="Y23"/>
  <c r="T23"/>
  <c r="K23"/>
  <c r="J23" s="1"/>
  <c r="Y22"/>
  <c r="T22"/>
  <c r="O22"/>
  <c r="J22"/>
  <c r="F22"/>
  <c r="E22" s="1"/>
  <c r="AD22" s="1"/>
  <c r="Y21"/>
  <c r="T21"/>
  <c r="O21"/>
  <c r="J21"/>
  <c r="E21"/>
  <c r="Y20"/>
  <c r="T20"/>
  <c r="O20"/>
  <c r="J20"/>
  <c r="E20"/>
  <c r="J19"/>
  <c r="E19"/>
  <c r="AD19" s="1"/>
  <c r="Y18"/>
  <c r="T18"/>
  <c r="K18"/>
  <c r="J18" s="1"/>
  <c r="F18"/>
  <c r="E18" s="1"/>
  <c r="Y17"/>
  <c r="T17"/>
  <c r="O17"/>
  <c r="J17"/>
  <c r="E17"/>
  <c r="I16"/>
  <c r="F16"/>
  <c r="Y15"/>
  <c r="T15"/>
  <c r="O15"/>
  <c r="J15"/>
  <c r="F15"/>
  <c r="F29" s="1"/>
  <c r="Y14"/>
  <c r="T14"/>
  <c r="I14"/>
  <c r="I28" s="1"/>
  <c r="F14"/>
  <c r="Y13"/>
  <c r="Y28" s="1"/>
  <c r="T13"/>
  <c r="O13"/>
  <c r="O28" s="1"/>
  <c r="K13"/>
  <c r="J13" s="1"/>
  <c r="J28" s="1"/>
  <c r="F13"/>
  <c r="J52" l="1"/>
  <c r="J50" s="1"/>
  <c r="E15"/>
  <c r="AD15" s="1"/>
  <c r="Y29"/>
  <c r="Q83"/>
  <c r="AD37"/>
  <c r="E57"/>
  <c r="AD57" s="1"/>
  <c r="AD61" s="1"/>
  <c r="AD25"/>
  <c r="AC83"/>
  <c r="AD36"/>
  <c r="AD45"/>
  <c r="J54"/>
  <c r="J55" s="1"/>
  <c r="F28"/>
  <c r="E28" s="1"/>
  <c r="T27"/>
  <c r="E16"/>
  <c r="AD16" s="1"/>
  <c r="AD21"/>
  <c r="N83"/>
  <c r="AB83"/>
  <c r="K28"/>
  <c r="E32"/>
  <c r="E33" s="1"/>
  <c r="AD41"/>
  <c r="AD44"/>
  <c r="F50"/>
  <c r="T60"/>
  <c r="T73"/>
  <c r="AD72"/>
  <c r="AD38"/>
  <c r="F62"/>
  <c r="E62" s="1"/>
  <c r="AD71"/>
  <c r="E14"/>
  <c r="AD14" s="1"/>
  <c r="AD20"/>
  <c r="Y35"/>
  <c r="Y52" s="1"/>
  <c r="E43"/>
  <c r="AD43" s="1"/>
  <c r="P65"/>
  <c r="K81"/>
  <c r="J81" s="1"/>
  <c r="AD81" s="1"/>
  <c r="T29"/>
  <c r="S83"/>
  <c r="J32"/>
  <c r="J33" s="1"/>
  <c r="K52"/>
  <c r="T50"/>
  <c r="E59"/>
  <c r="AD59" s="1"/>
  <c r="E64"/>
  <c r="E65" s="1"/>
  <c r="K68"/>
  <c r="O70"/>
  <c r="O73" s="1"/>
  <c r="O74" s="1"/>
  <c r="L83"/>
  <c r="W83"/>
  <c r="L30"/>
  <c r="AD42"/>
  <c r="J58"/>
  <c r="AD58" s="1"/>
  <c r="AD60" s="1"/>
  <c r="Y73"/>
  <c r="E76"/>
  <c r="E77" s="1"/>
  <c r="AD23"/>
  <c r="P29"/>
  <c r="P27" s="1"/>
  <c r="O29"/>
  <c r="K62"/>
  <c r="J62" s="1"/>
  <c r="J60"/>
  <c r="J74"/>
  <c r="J73"/>
  <c r="C87"/>
  <c r="E68"/>
  <c r="AD67"/>
  <c r="AD68" s="1"/>
  <c r="J77"/>
  <c r="AD76"/>
  <c r="Y50"/>
  <c r="AD77"/>
  <c r="J29"/>
  <c r="AD18"/>
  <c r="R83"/>
  <c r="O24"/>
  <c r="O30" s="1"/>
  <c r="I27"/>
  <c r="I83" s="1"/>
  <c r="C93" s="1"/>
  <c r="J24"/>
  <c r="K29"/>
  <c r="K27" s="1"/>
  <c r="O35"/>
  <c r="O52" s="1"/>
  <c r="O50" s="1"/>
  <c r="K51"/>
  <c r="K50" s="1"/>
  <c r="AD54"/>
  <c r="AD55" s="1"/>
  <c r="K73"/>
  <c r="E74"/>
  <c r="Y74"/>
  <c r="AD17"/>
  <c r="F27"/>
  <c r="T28"/>
  <c r="AD28" s="1"/>
  <c r="AA50"/>
  <c r="AA83" s="1"/>
  <c r="Y83" s="1"/>
  <c r="E51"/>
  <c r="P60"/>
  <c r="AD70"/>
  <c r="K74"/>
  <c r="V50"/>
  <c r="V83" s="1"/>
  <c r="T83" s="1"/>
  <c r="F68"/>
  <c r="K77"/>
  <c r="E13"/>
  <c r="AD13" s="1"/>
  <c r="J64"/>
  <c r="P73"/>
  <c r="Q24" i="23"/>
  <c r="Q30" s="1"/>
  <c r="D108" i="24"/>
  <c r="B97"/>
  <c r="T93"/>
  <c r="C93"/>
  <c r="C92"/>
  <c r="AC81"/>
  <c r="AB81"/>
  <c r="AA81"/>
  <c r="Y81" s="1"/>
  <c r="Z81"/>
  <c r="X81"/>
  <c r="W81"/>
  <c r="V81"/>
  <c r="S81"/>
  <c r="R81"/>
  <c r="Q81"/>
  <c r="P81"/>
  <c r="O81" s="1"/>
  <c r="N81"/>
  <c r="M81"/>
  <c r="L81"/>
  <c r="K81"/>
  <c r="I81"/>
  <c r="H81"/>
  <c r="G81"/>
  <c r="F81"/>
  <c r="E81"/>
  <c r="Y80"/>
  <c r="T80"/>
  <c r="K80"/>
  <c r="J80"/>
  <c r="Y79"/>
  <c r="T79"/>
  <c r="U81" s="1"/>
  <c r="K79"/>
  <c r="J79"/>
  <c r="AC77"/>
  <c r="AB77"/>
  <c r="AA77"/>
  <c r="Z77"/>
  <c r="X77"/>
  <c r="W77"/>
  <c r="V77"/>
  <c r="U77"/>
  <c r="S77"/>
  <c r="R77"/>
  <c r="Q77"/>
  <c r="P77"/>
  <c r="N77"/>
  <c r="M77"/>
  <c r="L77"/>
  <c r="Y76"/>
  <c r="Y77" s="1"/>
  <c r="T76"/>
  <c r="T77" s="1"/>
  <c r="O76"/>
  <c r="O77" s="1"/>
  <c r="K76"/>
  <c r="J76" s="1"/>
  <c r="F76"/>
  <c r="F77" s="1"/>
  <c r="E76"/>
  <c r="E77" s="1"/>
  <c r="Z74"/>
  <c r="U74"/>
  <c r="P74"/>
  <c r="AC73"/>
  <c r="AB73"/>
  <c r="AA73"/>
  <c r="Z73"/>
  <c r="X73"/>
  <c r="W73"/>
  <c r="V73"/>
  <c r="U73"/>
  <c r="S73"/>
  <c r="R73"/>
  <c r="Q73"/>
  <c r="P73"/>
  <c r="N73"/>
  <c r="M73"/>
  <c r="L73"/>
  <c r="I73"/>
  <c r="H73"/>
  <c r="G73"/>
  <c r="Y72"/>
  <c r="T72"/>
  <c r="O72"/>
  <c r="J72"/>
  <c r="E72"/>
  <c r="Y71"/>
  <c r="T71"/>
  <c r="O71"/>
  <c r="K71"/>
  <c r="J71"/>
  <c r="E71"/>
  <c r="Y70"/>
  <c r="T70"/>
  <c r="O70"/>
  <c r="K70"/>
  <c r="K74" s="1"/>
  <c r="J70"/>
  <c r="F70"/>
  <c r="F74" s="1"/>
  <c r="AC68"/>
  <c r="AB68"/>
  <c r="AA68"/>
  <c r="Z68"/>
  <c r="X68"/>
  <c r="W68"/>
  <c r="V68"/>
  <c r="U68"/>
  <c r="S68"/>
  <c r="R68"/>
  <c r="Q68"/>
  <c r="P68"/>
  <c r="N68"/>
  <c r="M68"/>
  <c r="L68"/>
  <c r="I68"/>
  <c r="H68"/>
  <c r="G68"/>
  <c r="Y67"/>
  <c r="Y68" s="1"/>
  <c r="T67"/>
  <c r="T68" s="1"/>
  <c r="O67"/>
  <c r="O68" s="1"/>
  <c r="K67"/>
  <c r="K68" s="1"/>
  <c r="F67"/>
  <c r="F68" s="1"/>
  <c r="E67"/>
  <c r="E68" s="1"/>
  <c r="AC65"/>
  <c r="AB65"/>
  <c r="AA65"/>
  <c r="Z65"/>
  <c r="X65"/>
  <c r="W65"/>
  <c r="V65"/>
  <c r="U65"/>
  <c r="T65"/>
  <c r="S65"/>
  <c r="R65"/>
  <c r="Q65"/>
  <c r="N65"/>
  <c r="M65"/>
  <c r="L65"/>
  <c r="I65"/>
  <c r="H65"/>
  <c r="G65"/>
  <c r="Y64"/>
  <c r="Y65" s="1"/>
  <c r="P64"/>
  <c r="O64" s="1"/>
  <c r="O65" s="1"/>
  <c r="K64"/>
  <c r="K65" s="1"/>
  <c r="J64"/>
  <c r="J65" s="1"/>
  <c r="F64"/>
  <c r="E64" s="1"/>
  <c r="Z60"/>
  <c r="Z62" s="1"/>
  <c r="Y62" s="1"/>
  <c r="U60"/>
  <c r="U62" s="1"/>
  <c r="T62" s="1"/>
  <c r="P60"/>
  <c r="P62" s="1"/>
  <c r="O62" s="1"/>
  <c r="Y59"/>
  <c r="T59"/>
  <c r="K59"/>
  <c r="J59"/>
  <c r="F59"/>
  <c r="F60" s="1"/>
  <c r="Y58"/>
  <c r="Y60" s="1"/>
  <c r="T58"/>
  <c r="O58"/>
  <c r="K58"/>
  <c r="K60" s="1"/>
  <c r="J58"/>
  <c r="E58"/>
  <c r="Y57"/>
  <c r="T57"/>
  <c r="O57"/>
  <c r="J57"/>
  <c r="F57"/>
  <c r="F61" s="1"/>
  <c r="E61" s="1"/>
  <c r="E57"/>
  <c r="AC55"/>
  <c r="AB55"/>
  <c r="AA55"/>
  <c r="Z55"/>
  <c r="X55"/>
  <c r="W55"/>
  <c r="V55"/>
  <c r="U55"/>
  <c r="S55"/>
  <c r="R55"/>
  <c r="Q55"/>
  <c r="P55"/>
  <c r="N55"/>
  <c r="M55"/>
  <c r="L55"/>
  <c r="K55"/>
  <c r="I55"/>
  <c r="H55"/>
  <c r="G55"/>
  <c r="Y54"/>
  <c r="Y55" s="1"/>
  <c r="T54"/>
  <c r="T55" s="1"/>
  <c r="O54"/>
  <c r="O55" s="1"/>
  <c r="K54"/>
  <c r="J54"/>
  <c r="J55" s="1"/>
  <c r="F54"/>
  <c r="E54" s="1"/>
  <c r="Z52"/>
  <c r="U52"/>
  <c r="P52"/>
  <c r="H52"/>
  <c r="F52"/>
  <c r="AC51"/>
  <c r="AB51"/>
  <c r="AA51"/>
  <c r="Z51"/>
  <c r="Z50" s="1"/>
  <c r="X51"/>
  <c r="W51"/>
  <c r="V51"/>
  <c r="U51"/>
  <c r="U50" s="1"/>
  <c r="S51"/>
  <c r="R51"/>
  <c r="Q51"/>
  <c r="P51"/>
  <c r="O51"/>
  <c r="N51"/>
  <c r="M51"/>
  <c r="L51"/>
  <c r="I51"/>
  <c r="I50" s="1"/>
  <c r="H51"/>
  <c r="H50" s="1"/>
  <c r="Q50"/>
  <c r="N50"/>
  <c r="M50"/>
  <c r="L50"/>
  <c r="G50"/>
  <c r="Y49"/>
  <c r="T49"/>
  <c r="O49"/>
  <c r="J49"/>
  <c r="F49"/>
  <c r="E49"/>
  <c r="Y48"/>
  <c r="Y51" s="1"/>
  <c r="T48"/>
  <c r="T51" s="1"/>
  <c r="K48"/>
  <c r="K51" s="1"/>
  <c r="J48"/>
  <c r="J51" s="1"/>
  <c r="F48"/>
  <c r="F51" s="1"/>
  <c r="F50" s="1"/>
  <c r="Y47"/>
  <c r="T47"/>
  <c r="O47"/>
  <c r="K47"/>
  <c r="J47"/>
  <c r="G47"/>
  <c r="F47"/>
  <c r="E47"/>
  <c r="Y46"/>
  <c r="T46"/>
  <c r="O46"/>
  <c r="K46"/>
  <c r="J46" s="1"/>
  <c r="F46"/>
  <c r="E46"/>
  <c r="Y45"/>
  <c r="T45"/>
  <c r="O45"/>
  <c r="J45"/>
  <c r="E45"/>
  <c r="Y44"/>
  <c r="T44"/>
  <c r="O44"/>
  <c r="J44"/>
  <c r="E44"/>
  <c r="Y43"/>
  <c r="T43"/>
  <c r="O43"/>
  <c r="K43"/>
  <c r="J43" s="1"/>
  <c r="F43"/>
  <c r="E43"/>
  <c r="Y42"/>
  <c r="T42"/>
  <c r="O42"/>
  <c r="J42"/>
  <c r="E42"/>
  <c r="Y41"/>
  <c r="T41"/>
  <c r="O41"/>
  <c r="J41"/>
  <c r="E41"/>
  <c r="Y40"/>
  <c r="T40"/>
  <c r="O40"/>
  <c r="J40"/>
  <c r="E40"/>
  <c r="Y39"/>
  <c r="T39"/>
  <c r="O39"/>
  <c r="K39"/>
  <c r="J39"/>
  <c r="E39"/>
  <c r="Y38"/>
  <c r="T38"/>
  <c r="O38"/>
  <c r="K38"/>
  <c r="J38" s="1"/>
  <c r="E38"/>
  <c r="Y37"/>
  <c r="T37"/>
  <c r="O37"/>
  <c r="J37"/>
  <c r="E37"/>
  <c r="Y36"/>
  <c r="T36"/>
  <c r="O36"/>
  <c r="J36"/>
  <c r="E36"/>
  <c r="AC35"/>
  <c r="AC50" s="1"/>
  <c r="AB35"/>
  <c r="AB50" s="1"/>
  <c r="AA35"/>
  <c r="AA50" s="1"/>
  <c r="X35"/>
  <c r="X50" s="1"/>
  <c r="W35"/>
  <c r="W50" s="1"/>
  <c r="V35"/>
  <c r="V50" s="1"/>
  <c r="S35"/>
  <c r="S50" s="1"/>
  <c r="R35"/>
  <c r="R50" s="1"/>
  <c r="Q35"/>
  <c r="K35"/>
  <c r="K52" s="1"/>
  <c r="E35"/>
  <c r="E52" s="1"/>
  <c r="AC33"/>
  <c r="AB33"/>
  <c r="AA33"/>
  <c r="Z33"/>
  <c r="X33"/>
  <c r="W33"/>
  <c r="V33"/>
  <c r="U33"/>
  <c r="S33"/>
  <c r="R33"/>
  <c r="Q33"/>
  <c r="P33"/>
  <c r="N33"/>
  <c r="M33"/>
  <c r="L33"/>
  <c r="K33"/>
  <c r="I33"/>
  <c r="H33"/>
  <c r="G33"/>
  <c r="Y32"/>
  <c r="Y33" s="1"/>
  <c r="T32"/>
  <c r="T33" s="1"/>
  <c r="O32"/>
  <c r="O33" s="1"/>
  <c r="K32"/>
  <c r="J32"/>
  <c r="J33" s="1"/>
  <c r="F32"/>
  <c r="E32" s="1"/>
  <c r="AC30"/>
  <c r="AB30"/>
  <c r="AA30"/>
  <c r="Z30"/>
  <c r="X30"/>
  <c r="W30"/>
  <c r="V30"/>
  <c r="U30"/>
  <c r="S30"/>
  <c r="R30"/>
  <c r="P30"/>
  <c r="N30"/>
  <c r="M30"/>
  <c r="K30"/>
  <c r="I30"/>
  <c r="H30"/>
  <c r="G30"/>
  <c r="F30"/>
  <c r="E30"/>
  <c r="AC29"/>
  <c r="AB29"/>
  <c r="AA29"/>
  <c r="Z29"/>
  <c r="X29"/>
  <c r="W29"/>
  <c r="V29"/>
  <c r="U29"/>
  <c r="S29"/>
  <c r="R29"/>
  <c r="Q29"/>
  <c r="P29"/>
  <c r="N29"/>
  <c r="M29"/>
  <c r="L29"/>
  <c r="I29"/>
  <c r="H29"/>
  <c r="G29"/>
  <c r="AC28"/>
  <c r="AB28"/>
  <c r="AA28"/>
  <c r="AA27" s="1"/>
  <c r="Z28"/>
  <c r="X28"/>
  <c r="W28"/>
  <c r="V28"/>
  <c r="V27" s="1"/>
  <c r="U28"/>
  <c r="S28"/>
  <c r="R28"/>
  <c r="Q28"/>
  <c r="P28"/>
  <c r="N28"/>
  <c r="M28"/>
  <c r="L28"/>
  <c r="H28"/>
  <c r="G28"/>
  <c r="G27" s="1"/>
  <c r="G82" s="1"/>
  <c r="AC27"/>
  <c r="AB27"/>
  <c r="Z27"/>
  <c r="X27"/>
  <c r="W27"/>
  <c r="U27"/>
  <c r="S27"/>
  <c r="R27"/>
  <c r="N27"/>
  <c r="M27"/>
  <c r="M82" s="1"/>
  <c r="H27"/>
  <c r="Y26"/>
  <c r="T26"/>
  <c r="O26"/>
  <c r="J26"/>
  <c r="F26"/>
  <c r="E26"/>
  <c r="T25"/>
  <c r="O25"/>
  <c r="J25"/>
  <c r="Y24"/>
  <c r="Y30" s="1"/>
  <c r="T24"/>
  <c r="T30" s="1"/>
  <c r="Q24"/>
  <c r="O24" s="1"/>
  <c r="O30" s="1"/>
  <c r="L24"/>
  <c r="L30" s="1"/>
  <c r="J24"/>
  <c r="Y23"/>
  <c r="T23"/>
  <c r="O23"/>
  <c r="K23"/>
  <c r="J23" s="1"/>
  <c r="Y22"/>
  <c r="T22"/>
  <c r="O22"/>
  <c r="J22"/>
  <c r="F22"/>
  <c r="E22"/>
  <c r="Y21"/>
  <c r="T21"/>
  <c r="O21"/>
  <c r="J21"/>
  <c r="E21"/>
  <c r="Y20"/>
  <c r="T20"/>
  <c r="O20"/>
  <c r="J20"/>
  <c r="E20"/>
  <c r="J19"/>
  <c r="E19"/>
  <c r="Y18"/>
  <c r="T18"/>
  <c r="O18"/>
  <c r="K18"/>
  <c r="J18" s="1"/>
  <c r="F18"/>
  <c r="E18" s="1"/>
  <c r="Y17"/>
  <c r="T17"/>
  <c r="O17"/>
  <c r="J17"/>
  <c r="E17"/>
  <c r="I16"/>
  <c r="F16"/>
  <c r="E16" s="1"/>
  <c r="AD16" s="1"/>
  <c r="Y15"/>
  <c r="T15"/>
  <c r="O15"/>
  <c r="J15"/>
  <c r="F15"/>
  <c r="F29" s="1"/>
  <c r="E15"/>
  <c r="Y14"/>
  <c r="T14"/>
  <c r="I14"/>
  <c r="I27" s="1"/>
  <c r="F14"/>
  <c r="Y13"/>
  <c r="Y28" s="1"/>
  <c r="T13"/>
  <c r="T28" s="1"/>
  <c r="O13"/>
  <c r="O28" s="1"/>
  <c r="K13"/>
  <c r="K28" s="1"/>
  <c r="J13"/>
  <c r="J28" s="1"/>
  <c r="F13"/>
  <c r="F27" s="1"/>
  <c r="E13"/>
  <c r="P64" i="23"/>
  <c r="O64" s="1"/>
  <c r="O65" s="1"/>
  <c r="D108"/>
  <c r="B97"/>
  <c r="T93"/>
  <c r="C93"/>
  <c r="C92"/>
  <c r="AC81"/>
  <c r="AB81"/>
  <c r="AA81"/>
  <c r="Z81"/>
  <c r="X81"/>
  <c r="W81"/>
  <c r="V81"/>
  <c r="S81"/>
  <c r="R81"/>
  <c r="Q81"/>
  <c r="P81"/>
  <c r="N81"/>
  <c r="M81"/>
  <c r="L81"/>
  <c r="I81"/>
  <c r="H81"/>
  <c r="G81"/>
  <c r="F81"/>
  <c r="E81"/>
  <c r="Y80"/>
  <c r="T80"/>
  <c r="K80"/>
  <c r="J80" s="1"/>
  <c r="Y79"/>
  <c r="T79"/>
  <c r="U81" s="1"/>
  <c r="K79"/>
  <c r="K81" s="1"/>
  <c r="J79"/>
  <c r="AC77"/>
  <c r="AB77"/>
  <c r="AA77"/>
  <c r="Z77"/>
  <c r="X77"/>
  <c r="W77"/>
  <c r="V77"/>
  <c r="U77"/>
  <c r="S77"/>
  <c r="R77"/>
  <c r="Q77"/>
  <c r="P77"/>
  <c r="N77"/>
  <c r="M77"/>
  <c r="L77"/>
  <c r="Y76"/>
  <c r="Y77" s="1"/>
  <c r="T76"/>
  <c r="T77" s="1"/>
  <c r="O76"/>
  <c r="O77" s="1"/>
  <c r="K76"/>
  <c r="K77" s="1"/>
  <c r="J76"/>
  <c r="J77" s="1"/>
  <c r="F76"/>
  <c r="F77" s="1"/>
  <c r="E76"/>
  <c r="E77" s="1"/>
  <c r="Z74"/>
  <c r="U74"/>
  <c r="P74"/>
  <c r="AC73"/>
  <c r="AB73"/>
  <c r="AA73"/>
  <c r="Z73"/>
  <c r="X73"/>
  <c r="W73"/>
  <c r="V73"/>
  <c r="U73"/>
  <c r="S73"/>
  <c r="R73"/>
  <c r="Q73"/>
  <c r="P73"/>
  <c r="N73"/>
  <c r="M73"/>
  <c r="L73"/>
  <c r="I73"/>
  <c r="H73"/>
  <c r="G73"/>
  <c r="Y72"/>
  <c r="T72"/>
  <c r="O72"/>
  <c r="J72"/>
  <c r="E72"/>
  <c r="Y71"/>
  <c r="T71"/>
  <c r="O71"/>
  <c r="K71"/>
  <c r="K74" s="1"/>
  <c r="J71"/>
  <c r="E71"/>
  <c r="Y70"/>
  <c r="T70"/>
  <c r="O70"/>
  <c r="K70"/>
  <c r="K73" s="1"/>
  <c r="J70"/>
  <c r="F70"/>
  <c r="F73" s="1"/>
  <c r="E70"/>
  <c r="AC68"/>
  <c r="AB68"/>
  <c r="AA68"/>
  <c r="Z68"/>
  <c r="X68"/>
  <c r="W68"/>
  <c r="V68"/>
  <c r="U68"/>
  <c r="T68"/>
  <c r="S68"/>
  <c r="R68"/>
  <c r="Q68"/>
  <c r="P68"/>
  <c r="N68"/>
  <c r="M68"/>
  <c r="L68"/>
  <c r="I68"/>
  <c r="H68"/>
  <c r="G68"/>
  <c r="Y67"/>
  <c r="Y68" s="1"/>
  <c r="T67"/>
  <c r="O67"/>
  <c r="O68" s="1"/>
  <c r="K67"/>
  <c r="K68" s="1"/>
  <c r="J67"/>
  <c r="J68" s="1"/>
  <c r="F67"/>
  <c r="F68" s="1"/>
  <c r="E67"/>
  <c r="E68" s="1"/>
  <c r="AC65"/>
  <c r="AB65"/>
  <c r="AA65"/>
  <c r="Z65"/>
  <c r="X65"/>
  <c r="W65"/>
  <c r="V65"/>
  <c r="U65"/>
  <c r="T65"/>
  <c r="S65"/>
  <c r="R65"/>
  <c r="Q65"/>
  <c r="N65"/>
  <c r="M65"/>
  <c r="L65"/>
  <c r="I65"/>
  <c r="H65"/>
  <c r="G65"/>
  <c r="F65"/>
  <c r="Y64"/>
  <c r="Y65" s="1"/>
  <c r="K64"/>
  <c r="K65" s="1"/>
  <c r="F64"/>
  <c r="E64"/>
  <c r="Z60"/>
  <c r="Z62" s="1"/>
  <c r="Y62" s="1"/>
  <c r="U60"/>
  <c r="U62" s="1"/>
  <c r="T62" s="1"/>
  <c r="P60"/>
  <c r="P62" s="1"/>
  <c r="O62" s="1"/>
  <c r="F60"/>
  <c r="Y59"/>
  <c r="T59"/>
  <c r="K59"/>
  <c r="J59" s="1"/>
  <c r="F59"/>
  <c r="E59"/>
  <c r="AD59" s="1"/>
  <c r="Y58"/>
  <c r="T58"/>
  <c r="O58"/>
  <c r="K58"/>
  <c r="K60" s="1"/>
  <c r="E58"/>
  <c r="Y57"/>
  <c r="T57"/>
  <c r="O57"/>
  <c r="J57"/>
  <c r="F57"/>
  <c r="E57" s="1"/>
  <c r="AC55"/>
  <c r="AB55"/>
  <c r="AA55"/>
  <c r="Z55"/>
  <c r="X55"/>
  <c r="W55"/>
  <c r="V55"/>
  <c r="U55"/>
  <c r="S55"/>
  <c r="R55"/>
  <c r="Q55"/>
  <c r="P55"/>
  <c r="N55"/>
  <c r="M55"/>
  <c r="L55"/>
  <c r="I55"/>
  <c r="H55"/>
  <c r="G55"/>
  <c r="Y54"/>
  <c r="Y55" s="1"/>
  <c r="T54"/>
  <c r="T55" s="1"/>
  <c r="O54"/>
  <c r="O55" s="1"/>
  <c r="K54"/>
  <c r="K55" s="1"/>
  <c r="F54"/>
  <c r="F55" s="1"/>
  <c r="E54"/>
  <c r="E55" s="1"/>
  <c r="Z52"/>
  <c r="U52"/>
  <c r="P52"/>
  <c r="H52"/>
  <c r="AC51"/>
  <c r="AB51"/>
  <c r="AA51"/>
  <c r="Z51"/>
  <c r="Z50" s="1"/>
  <c r="X51"/>
  <c r="W51"/>
  <c r="V51"/>
  <c r="U51"/>
  <c r="S51"/>
  <c r="R51"/>
  <c r="Q51"/>
  <c r="P51"/>
  <c r="O51"/>
  <c r="N51"/>
  <c r="M51"/>
  <c r="L51"/>
  <c r="K51"/>
  <c r="I51"/>
  <c r="I50" s="1"/>
  <c r="H51"/>
  <c r="H50" s="1"/>
  <c r="N50"/>
  <c r="M50"/>
  <c r="L50"/>
  <c r="G50"/>
  <c r="Y49"/>
  <c r="T49"/>
  <c r="O49"/>
  <c r="J49"/>
  <c r="F49"/>
  <c r="E49" s="1"/>
  <c r="Y51"/>
  <c r="T51"/>
  <c r="K48"/>
  <c r="J48"/>
  <c r="J51" s="1"/>
  <c r="F48"/>
  <c r="F51" s="1"/>
  <c r="E48"/>
  <c r="Y47"/>
  <c r="T47"/>
  <c r="O47"/>
  <c r="K47"/>
  <c r="J47"/>
  <c r="G47"/>
  <c r="F47"/>
  <c r="E47" s="1"/>
  <c r="Y46"/>
  <c r="T46"/>
  <c r="O46"/>
  <c r="K46"/>
  <c r="J46"/>
  <c r="F46"/>
  <c r="E46" s="1"/>
  <c r="Y45"/>
  <c r="T45"/>
  <c r="O45"/>
  <c r="J45"/>
  <c r="E45"/>
  <c r="Y44"/>
  <c r="T44"/>
  <c r="O44"/>
  <c r="J44"/>
  <c r="E44"/>
  <c r="Y43"/>
  <c r="T43"/>
  <c r="O43"/>
  <c r="K43"/>
  <c r="J43"/>
  <c r="F43"/>
  <c r="F52" s="1"/>
  <c r="Y42"/>
  <c r="T42"/>
  <c r="O42"/>
  <c r="J42"/>
  <c r="E42"/>
  <c r="Y41"/>
  <c r="T41"/>
  <c r="O41"/>
  <c r="J41"/>
  <c r="E41"/>
  <c r="Y40"/>
  <c r="T40"/>
  <c r="O40"/>
  <c r="J40"/>
  <c r="E40"/>
  <c r="Y39"/>
  <c r="T39"/>
  <c r="O39"/>
  <c r="K39"/>
  <c r="J39" s="1"/>
  <c r="E39"/>
  <c r="Y38"/>
  <c r="T38"/>
  <c r="O38"/>
  <c r="K38"/>
  <c r="J38"/>
  <c r="E38"/>
  <c r="Y37"/>
  <c r="T37"/>
  <c r="O37"/>
  <c r="J37"/>
  <c r="E37"/>
  <c r="Y36"/>
  <c r="T36"/>
  <c r="O36"/>
  <c r="J36"/>
  <c r="E36"/>
  <c r="AC35"/>
  <c r="AC50" s="1"/>
  <c r="AB35"/>
  <c r="AA35"/>
  <c r="AA50" s="1"/>
  <c r="X35"/>
  <c r="X50" s="1"/>
  <c r="W35"/>
  <c r="V35"/>
  <c r="V50" s="1"/>
  <c r="S35"/>
  <c r="S50" s="1"/>
  <c r="R35"/>
  <c r="Q35"/>
  <c r="Q50" s="1"/>
  <c r="K35"/>
  <c r="K52" s="1"/>
  <c r="J35"/>
  <c r="E35"/>
  <c r="AC33"/>
  <c r="AB33"/>
  <c r="AA33"/>
  <c r="Z33"/>
  <c r="X33"/>
  <c r="W33"/>
  <c r="V33"/>
  <c r="U33"/>
  <c r="S33"/>
  <c r="R33"/>
  <c r="Q33"/>
  <c r="P33"/>
  <c r="N33"/>
  <c r="M33"/>
  <c r="L33"/>
  <c r="I33"/>
  <c r="H33"/>
  <c r="G33"/>
  <c r="Y32"/>
  <c r="Y33" s="1"/>
  <c r="T32"/>
  <c r="T33" s="1"/>
  <c r="O32"/>
  <c r="O33" s="1"/>
  <c r="K32"/>
  <c r="K33" s="1"/>
  <c r="F32"/>
  <c r="F33" s="1"/>
  <c r="E32"/>
  <c r="E33" s="1"/>
  <c r="AC30"/>
  <c r="AB30"/>
  <c r="AA30"/>
  <c r="Z30"/>
  <c r="X30"/>
  <c r="W30"/>
  <c r="V30"/>
  <c r="U30"/>
  <c r="S30"/>
  <c r="R30"/>
  <c r="P30"/>
  <c r="N30"/>
  <c r="M30"/>
  <c r="K30"/>
  <c r="I30"/>
  <c r="H30"/>
  <c r="G30"/>
  <c r="F30"/>
  <c r="E30"/>
  <c r="AC29"/>
  <c r="AB29"/>
  <c r="AA29"/>
  <c r="Z29"/>
  <c r="X29"/>
  <c r="W29"/>
  <c r="V29"/>
  <c r="U29"/>
  <c r="S29"/>
  <c r="R29"/>
  <c r="Q29"/>
  <c r="P29"/>
  <c r="N29"/>
  <c r="M29"/>
  <c r="L29"/>
  <c r="I29"/>
  <c r="H29"/>
  <c r="G29"/>
  <c r="AC28"/>
  <c r="AB28"/>
  <c r="AA28"/>
  <c r="AA27" s="1"/>
  <c r="Z28"/>
  <c r="Z27" s="1"/>
  <c r="X28"/>
  <c r="W28"/>
  <c r="V28"/>
  <c r="V27" s="1"/>
  <c r="V82" s="1"/>
  <c r="U28"/>
  <c r="S28"/>
  <c r="R28"/>
  <c r="Q28"/>
  <c r="P28"/>
  <c r="P27" s="1"/>
  <c r="N28"/>
  <c r="M28"/>
  <c r="L28"/>
  <c r="H28"/>
  <c r="G28"/>
  <c r="F28"/>
  <c r="AC27"/>
  <c r="AB27"/>
  <c r="X27"/>
  <c r="W27"/>
  <c r="U27"/>
  <c r="S27"/>
  <c r="R27"/>
  <c r="N27"/>
  <c r="M27"/>
  <c r="M82" s="1"/>
  <c r="L27"/>
  <c r="L82" s="1"/>
  <c r="H27"/>
  <c r="Y26"/>
  <c r="T26"/>
  <c r="O26"/>
  <c r="J26"/>
  <c r="F26"/>
  <c r="E26"/>
  <c r="T25"/>
  <c r="O25"/>
  <c r="J25"/>
  <c r="Y24"/>
  <c r="Y30" s="1"/>
  <c r="T24"/>
  <c r="T30" s="1"/>
  <c r="L24"/>
  <c r="L30" s="1"/>
  <c r="J24"/>
  <c r="Y23"/>
  <c r="T23"/>
  <c r="O23"/>
  <c r="K23"/>
  <c r="J23"/>
  <c r="Y22"/>
  <c r="T22"/>
  <c r="O22"/>
  <c r="J22"/>
  <c r="F22"/>
  <c r="E22" s="1"/>
  <c r="Y21"/>
  <c r="T21"/>
  <c r="O21"/>
  <c r="J21"/>
  <c r="E21"/>
  <c r="Y20"/>
  <c r="T20"/>
  <c r="O20"/>
  <c r="J20"/>
  <c r="E20"/>
  <c r="J19"/>
  <c r="E19"/>
  <c r="Y18"/>
  <c r="T18"/>
  <c r="O18"/>
  <c r="K18"/>
  <c r="K29" s="1"/>
  <c r="J18"/>
  <c r="F18"/>
  <c r="E18"/>
  <c r="Y17"/>
  <c r="T17"/>
  <c r="O17"/>
  <c r="J17"/>
  <c r="E17"/>
  <c r="I16"/>
  <c r="E16" s="1"/>
  <c r="AD16" s="1"/>
  <c r="F16"/>
  <c r="Y15"/>
  <c r="T15"/>
  <c r="O15"/>
  <c r="J15"/>
  <c r="F15"/>
  <c r="F29" s="1"/>
  <c r="Y14"/>
  <c r="T14"/>
  <c r="I14"/>
  <c r="I28" s="1"/>
  <c r="F14"/>
  <c r="E14"/>
  <c r="Y13"/>
  <c r="T13"/>
  <c r="O13"/>
  <c r="O28" s="1"/>
  <c r="K13"/>
  <c r="J13" s="1"/>
  <c r="F13"/>
  <c r="F27" s="1"/>
  <c r="E13"/>
  <c r="D108" i="22"/>
  <c r="B97"/>
  <c r="T93"/>
  <c r="C93"/>
  <c r="C92"/>
  <c r="AC81"/>
  <c r="AB81"/>
  <c r="AA81"/>
  <c r="Z81"/>
  <c r="Y81" s="1"/>
  <c r="X81"/>
  <c r="W81"/>
  <c r="V81"/>
  <c r="S81"/>
  <c r="R81"/>
  <c r="Q81"/>
  <c r="P81"/>
  <c r="O81"/>
  <c r="N81"/>
  <c r="M81"/>
  <c r="L81"/>
  <c r="K81"/>
  <c r="J81" s="1"/>
  <c r="I81"/>
  <c r="H81"/>
  <c r="G81"/>
  <c r="F81"/>
  <c r="E81"/>
  <c r="Y80"/>
  <c r="T80"/>
  <c r="O80"/>
  <c r="K80"/>
  <c r="J80"/>
  <c r="AD80" s="1"/>
  <c r="Y79"/>
  <c r="T79"/>
  <c r="U81" s="1"/>
  <c r="T81" s="1"/>
  <c r="O79"/>
  <c r="K79"/>
  <c r="J79" s="1"/>
  <c r="AD79" s="1"/>
  <c r="AC77"/>
  <c r="AB77"/>
  <c r="AA77"/>
  <c r="Z77"/>
  <c r="Y77"/>
  <c r="X77"/>
  <c r="W77"/>
  <c r="V77"/>
  <c r="U77"/>
  <c r="S77"/>
  <c r="R77"/>
  <c r="Q77"/>
  <c r="P77"/>
  <c r="N77"/>
  <c r="M77"/>
  <c r="L77"/>
  <c r="Y76"/>
  <c r="T76"/>
  <c r="T77" s="1"/>
  <c r="O76"/>
  <c r="O77" s="1"/>
  <c r="K76"/>
  <c r="K77" s="1"/>
  <c r="J76"/>
  <c r="J77" s="1"/>
  <c r="F76"/>
  <c r="E76" s="1"/>
  <c r="Z74"/>
  <c r="U74"/>
  <c r="P74"/>
  <c r="F74"/>
  <c r="AC73"/>
  <c r="AB73"/>
  <c r="AA73"/>
  <c r="Z73"/>
  <c r="X73"/>
  <c r="W73"/>
  <c r="V73"/>
  <c r="U73"/>
  <c r="S73"/>
  <c r="R73"/>
  <c r="Q73"/>
  <c r="P73"/>
  <c r="N73"/>
  <c r="M73"/>
  <c r="L73"/>
  <c r="I73"/>
  <c r="H73"/>
  <c r="G73"/>
  <c r="F73"/>
  <c r="Y72"/>
  <c r="Y74" s="1"/>
  <c r="T72"/>
  <c r="O72"/>
  <c r="J72"/>
  <c r="E72"/>
  <c r="AD72" s="1"/>
  <c r="Y71"/>
  <c r="T71"/>
  <c r="T73" s="1"/>
  <c r="O71"/>
  <c r="O73" s="1"/>
  <c r="O74" s="1"/>
  <c r="K71"/>
  <c r="J71" s="1"/>
  <c r="E71"/>
  <c r="AD71" s="1"/>
  <c r="Y70"/>
  <c r="Y73" s="1"/>
  <c r="T70"/>
  <c r="T74" s="1"/>
  <c r="O70"/>
  <c r="K70"/>
  <c r="K74" s="1"/>
  <c r="F70"/>
  <c r="E70"/>
  <c r="E74" s="1"/>
  <c r="AC68"/>
  <c r="AB68"/>
  <c r="AA68"/>
  <c r="Z68"/>
  <c r="X68"/>
  <c r="W68"/>
  <c r="V68"/>
  <c r="U68"/>
  <c r="S68"/>
  <c r="R68"/>
  <c r="Q68"/>
  <c r="P68"/>
  <c r="O68"/>
  <c r="N68"/>
  <c r="M68"/>
  <c r="L68"/>
  <c r="K68"/>
  <c r="J68"/>
  <c r="I68"/>
  <c r="H68"/>
  <c r="G68"/>
  <c r="Y67"/>
  <c r="Y68" s="1"/>
  <c r="T67"/>
  <c r="T68" s="1"/>
  <c r="O67"/>
  <c r="K67"/>
  <c r="J67"/>
  <c r="F67"/>
  <c r="E67" s="1"/>
  <c r="AC65"/>
  <c r="AC82" s="1"/>
  <c r="AB65"/>
  <c r="AA65"/>
  <c r="Z65"/>
  <c r="Y65"/>
  <c r="X65"/>
  <c r="W65"/>
  <c r="V65"/>
  <c r="U65"/>
  <c r="T65"/>
  <c r="S65"/>
  <c r="R65"/>
  <c r="Q65"/>
  <c r="P65"/>
  <c r="O65"/>
  <c r="N65"/>
  <c r="M65"/>
  <c r="M82" s="1"/>
  <c r="L65"/>
  <c r="I65"/>
  <c r="H65"/>
  <c r="G65"/>
  <c r="Y64"/>
  <c r="O64"/>
  <c r="K64"/>
  <c r="K65" s="1"/>
  <c r="J64"/>
  <c r="J65" s="1"/>
  <c r="F64"/>
  <c r="F65" s="1"/>
  <c r="Z62"/>
  <c r="Y62" s="1"/>
  <c r="P62"/>
  <c r="O62" s="1"/>
  <c r="Z60"/>
  <c r="U60"/>
  <c r="U62" s="1"/>
  <c r="T62" s="1"/>
  <c r="P60"/>
  <c r="O60"/>
  <c r="K60"/>
  <c r="J60" s="1"/>
  <c r="Y59"/>
  <c r="T59"/>
  <c r="K59"/>
  <c r="J59"/>
  <c r="F59"/>
  <c r="F60" s="1"/>
  <c r="Y58"/>
  <c r="Y60" s="1"/>
  <c r="T58"/>
  <c r="T60" s="1"/>
  <c r="O58"/>
  <c r="K58"/>
  <c r="J58"/>
  <c r="AD58" s="1"/>
  <c r="E58"/>
  <c r="Y57"/>
  <c r="T57"/>
  <c r="O57"/>
  <c r="J57"/>
  <c r="F57"/>
  <c r="F61" s="1"/>
  <c r="E61" s="1"/>
  <c r="E57"/>
  <c r="AD57" s="1"/>
  <c r="AD61" s="1"/>
  <c r="AC55"/>
  <c r="AB55"/>
  <c r="AA55"/>
  <c r="Z55"/>
  <c r="X55"/>
  <c r="W55"/>
  <c r="V55"/>
  <c r="U55"/>
  <c r="T55"/>
  <c r="S55"/>
  <c r="R55"/>
  <c r="Q55"/>
  <c r="P55"/>
  <c r="O55"/>
  <c r="N55"/>
  <c r="M55"/>
  <c r="L55"/>
  <c r="K55"/>
  <c r="I55"/>
  <c r="H55"/>
  <c r="G55"/>
  <c r="Y54"/>
  <c r="Y55" s="1"/>
  <c r="T54"/>
  <c r="O54"/>
  <c r="K54"/>
  <c r="J54"/>
  <c r="J55" s="1"/>
  <c r="F54"/>
  <c r="F55" s="1"/>
  <c r="Z52"/>
  <c r="U52"/>
  <c r="P52"/>
  <c r="H52"/>
  <c r="AC51"/>
  <c r="AB51"/>
  <c r="AA51"/>
  <c r="Z51"/>
  <c r="Y51"/>
  <c r="X51"/>
  <c r="W51"/>
  <c r="V51"/>
  <c r="U51"/>
  <c r="U50" s="1"/>
  <c r="U82" s="1"/>
  <c r="S51"/>
  <c r="R51"/>
  <c r="Q51"/>
  <c r="P51"/>
  <c r="P50" s="1"/>
  <c r="O51"/>
  <c r="N51"/>
  <c r="M51"/>
  <c r="L51"/>
  <c r="I51"/>
  <c r="I50" s="1"/>
  <c r="H51"/>
  <c r="H50" s="1"/>
  <c r="AC50"/>
  <c r="Z50"/>
  <c r="S50"/>
  <c r="N50"/>
  <c r="M50"/>
  <c r="L50"/>
  <c r="G50"/>
  <c r="Y49"/>
  <c r="T49"/>
  <c r="O49"/>
  <c r="J49"/>
  <c r="F49"/>
  <c r="E49"/>
  <c r="AD49" s="1"/>
  <c r="Y48"/>
  <c r="T48"/>
  <c r="T51" s="1"/>
  <c r="T50" s="1"/>
  <c r="K48"/>
  <c r="J48" s="1"/>
  <c r="J51" s="1"/>
  <c r="F48"/>
  <c r="F51" s="1"/>
  <c r="F50" s="1"/>
  <c r="E48"/>
  <c r="Y47"/>
  <c r="T47"/>
  <c r="O47"/>
  <c r="K47"/>
  <c r="J47" s="1"/>
  <c r="G47"/>
  <c r="F47"/>
  <c r="E47"/>
  <c r="AD47" s="1"/>
  <c r="Y46"/>
  <c r="T46"/>
  <c r="O46"/>
  <c r="K46"/>
  <c r="J46" s="1"/>
  <c r="F46"/>
  <c r="E46"/>
  <c r="AD46" s="1"/>
  <c r="Y45"/>
  <c r="T45"/>
  <c r="O45"/>
  <c r="J45"/>
  <c r="AD45" s="1"/>
  <c r="E45"/>
  <c r="Y44"/>
  <c r="T44"/>
  <c r="O44"/>
  <c r="J44"/>
  <c r="E44"/>
  <c r="AD44" s="1"/>
  <c r="Y43"/>
  <c r="T43"/>
  <c r="O43"/>
  <c r="K43"/>
  <c r="J43" s="1"/>
  <c r="F43"/>
  <c r="F52" s="1"/>
  <c r="E43"/>
  <c r="AD43" s="1"/>
  <c r="Y42"/>
  <c r="T42"/>
  <c r="O42"/>
  <c r="J42"/>
  <c r="AD42" s="1"/>
  <c r="E42"/>
  <c r="Y41"/>
  <c r="T41"/>
  <c r="O41"/>
  <c r="J41"/>
  <c r="E41"/>
  <c r="AD41" s="1"/>
  <c r="Y40"/>
  <c r="T40"/>
  <c r="O40"/>
  <c r="J40"/>
  <c r="AD40" s="1"/>
  <c r="E40"/>
  <c r="Y39"/>
  <c r="T39"/>
  <c r="O39"/>
  <c r="K39"/>
  <c r="J39"/>
  <c r="AD39" s="1"/>
  <c r="E39"/>
  <c r="Y38"/>
  <c r="T38"/>
  <c r="O38"/>
  <c r="K38"/>
  <c r="J38"/>
  <c r="E38"/>
  <c r="AD38" s="1"/>
  <c r="Y37"/>
  <c r="T37"/>
  <c r="O37"/>
  <c r="J37"/>
  <c r="AD37" s="1"/>
  <c r="E37"/>
  <c r="Y36"/>
  <c r="T36"/>
  <c r="O36"/>
  <c r="J36"/>
  <c r="E36"/>
  <c r="AD36" s="1"/>
  <c r="AC35"/>
  <c r="AB35"/>
  <c r="AB50" s="1"/>
  <c r="AA35"/>
  <c r="Y35" s="1"/>
  <c r="Y52" s="1"/>
  <c r="X35"/>
  <c r="X50" s="1"/>
  <c r="W35"/>
  <c r="W50" s="1"/>
  <c r="V35"/>
  <c r="T35" s="1"/>
  <c r="T52" s="1"/>
  <c r="S35"/>
  <c r="R35"/>
  <c r="R50" s="1"/>
  <c r="Q35"/>
  <c r="Q50" s="1"/>
  <c r="K35"/>
  <c r="K52" s="1"/>
  <c r="J35"/>
  <c r="J52" s="1"/>
  <c r="J50" s="1"/>
  <c r="E35"/>
  <c r="AC33"/>
  <c r="AB33"/>
  <c r="AA33"/>
  <c r="Z33"/>
  <c r="X33"/>
  <c r="W33"/>
  <c r="V33"/>
  <c r="U33"/>
  <c r="T33"/>
  <c r="S33"/>
  <c r="R33"/>
  <c r="Q33"/>
  <c r="P33"/>
  <c r="O33"/>
  <c r="N33"/>
  <c r="M33"/>
  <c r="L33"/>
  <c r="K33"/>
  <c r="I33"/>
  <c r="H33"/>
  <c r="G33"/>
  <c r="Y32"/>
  <c r="Y33" s="1"/>
  <c r="T32"/>
  <c r="O32"/>
  <c r="K32"/>
  <c r="J32"/>
  <c r="J33" s="1"/>
  <c r="F32"/>
  <c r="F33" s="1"/>
  <c r="AC30"/>
  <c r="AB30"/>
  <c r="AA30"/>
  <c r="Z30"/>
  <c r="X30"/>
  <c r="W30"/>
  <c r="V30"/>
  <c r="U30"/>
  <c r="S30"/>
  <c r="R30"/>
  <c r="Q30"/>
  <c r="P30"/>
  <c r="N30"/>
  <c r="M30"/>
  <c r="L30"/>
  <c r="K30"/>
  <c r="I30"/>
  <c r="H30"/>
  <c r="G30"/>
  <c r="F30"/>
  <c r="E30"/>
  <c r="AC29"/>
  <c r="AB29"/>
  <c r="AA29"/>
  <c r="Z29"/>
  <c r="X29"/>
  <c r="W29"/>
  <c r="V29"/>
  <c r="U29"/>
  <c r="S29"/>
  <c r="R29"/>
  <c r="Q29"/>
  <c r="P29"/>
  <c r="N29"/>
  <c r="M29"/>
  <c r="L29"/>
  <c r="I29"/>
  <c r="H29"/>
  <c r="G29"/>
  <c r="AC28"/>
  <c r="AB28"/>
  <c r="AA28"/>
  <c r="Z28"/>
  <c r="Z27" s="1"/>
  <c r="Z82" s="1"/>
  <c r="X28"/>
  <c r="W28"/>
  <c r="V28"/>
  <c r="V27" s="1"/>
  <c r="U28"/>
  <c r="S28"/>
  <c r="R28"/>
  <c r="Q28"/>
  <c r="Q27" s="1"/>
  <c r="Q82" s="1"/>
  <c r="P28"/>
  <c r="N28"/>
  <c r="M28"/>
  <c r="L28"/>
  <c r="H28"/>
  <c r="G28"/>
  <c r="AC27"/>
  <c r="AB27"/>
  <c r="AB82" s="1"/>
  <c r="AA27"/>
  <c r="X27"/>
  <c r="X82" s="1"/>
  <c r="W27"/>
  <c r="W82" s="1"/>
  <c r="U27"/>
  <c r="S27"/>
  <c r="S82" s="1"/>
  <c r="R27"/>
  <c r="R82" s="1"/>
  <c r="P27"/>
  <c r="P82" s="1"/>
  <c r="N27"/>
  <c r="N82" s="1"/>
  <c r="M27"/>
  <c r="L27"/>
  <c r="L82" s="1"/>
  <c r="H27"/>
  <c r="H82" s="1"/>
  <c r="G27"/>
  <c r="G82" s="1"/>
  <c r="Y26"/>
  <c r="T26"/>
  <c r="O26"/>
  <c r="J26"/>
  <c r="F26"/>
  <c r="E26" s="1"/>
  <c r="AD26" s="1"/>
  <c r="T25"/>
  <c r="O25"/>
  <c r="J25"/>
  <c r="AD25" s="1"/>
  <c r="Y24"/>
  <c r="Y30" s="1"/>
  <c r="T24"/>
  <c r="T30" s="1"/>
  <c r="O24"/>
  <c r="O30" s="1"/>
  <c r="L24"/>
  <c r="J24"/>
  <c r="J30" s="1"/>
  <c r="Y23"/>
  <c r="T23"/>
  <c r="O23"/>
  <c r="K23"/>
  <c r="J23" s="1"/>
  <c r="AD23" s="1"/>
  <c r="Y22"/>
  <c r="T22"/>
  <c r="O22"/>
  <c r="J22"/>
  <c r="F22"/>
  <c r="E22" s="1"/>
  <c r="AD22" s="1"/>
  <c r="Y21"/>
  <c r="T21"/>
  <c r="O21"/>
  <c r="J21"/>
  <c r="AD21" s="1"/>
  <c r="E21"/>
  <c r="Y20"/>
  <c r="T20"/>
  <c r="O20"/>
  <c r="J20"/>
  <c r="AD20" s="1"/>
  <c r="E20"/>
  <c r="J19"/>
  <c r="E19"/>
  <c r="AD19" s="1"/>
  <c r="Y18"/>
  <c r="T18"/>
  <c r="O18"/>
  <c r="K18"/>
  <c r="J18" s="1"/>
  <c r="F18"/>
  <c r="E18"/>
  <c r="Y17"/>
  <c r="T17"/>
  <c r="O17"/>
  <c r="O29" s="1"/>
  <c r="J17"/>
  <c r="E17"/>
  <c r="I16"/>
  <c r="F16"/>
  <c r="E16" s="1"/>
  <c r="AD16" s="1"/>
  <c r="Y15"/>
  <c r="Y29" s="1"/>
  <c r="T15"/>
  <c r="T29" s="1"/>
  <c r="O15"/>
  <c r="J15"/>
  <c r="F15"/>
  <c r="F29" s="1"/>
  <c r="Y14"/>
  <c r="T14"/>
  <c r="T27" s="1"/>
  <c r="I14"/>
  <c r="I28" s="1"/>
  <c r="F14"/>
  <c r="E14" s="1"/>
  <c r="AD14" s="1"/>
  <c r="Y13"/>
  <c r="Y28" s="1"/>
  <c r="T13"/>
  <c r="T28" s="1"/>
  <c r="O13"/>
  <c r="O28" s="1"/>
  <c r="K13"/>
  <c r="K28" s="1"/>
  <c r="F13"/>
  <c r="F27" s="1"/>
  <c r="T86" i="21"/>
  <c r="O86"/>
  <c r="AC84"/>
  <c r="AB84"/>
  <c r="AA84"/>
  <c r="Z84"/>
  <c r="Y84" s="1"/>
  <c r="X84"/>
  <c r="W84"/>
  <c r="V84"/>
  <c r="S84"/>
  <c r="R84"/>
  <c r="Q84"/>
  <c r="P84"/>
  <c r="O84"/>
  <c r="N84"/>
  <c r="M84"/>
  <c r="L84"/>
  <c r="K84"/>
  <c r="J84" s="1"/>
  <c r="I84"/>
  <c r="H84"/>
  <c r="G84"/>
  <c r="F84"/>
  <c r="E84"/>
  <c r="T83"/>
  <c r="K83"/>
  <c r="J83" s="1"/>
  <c r="AD83" s="1"/>
  <c r="T82"/>
  <c r="U84" s="1"/>
  <c r="T84" s="1"/>
  <c r="K82"/>
  <c r="J82" s="1"/>
  <c r="AD82" s="1"/>
  <c r="AC80"/>
  <c r="AB80"/>
  <c r="AA80"/>
  <c r="Z80"/>
  <c r="Y80"/>
  <c r="X80"/>
  <c r="W80"/>
  <c r="V80"/>
  <c r="U80"/>
  <c r="S80"/>
  <c r="R80"/>
  <c r="Q80"/>
  <c r="P80"/>
  <c r="N80"/>
  <c r="M80"/>
  <c r="M85" s="1"/>
  <c r="L80"/>
  <c r="Y79"/>
  <c r="T79"/>
  <c r="T80" s="1"/>
  <c r="O79"/>
  <c r="O80" s="1"/>
  <c r="K79"/>
  <c r="K80" s="1"/>
  <c r="J79"/>
  <c r="J80" s="1"/>
  <c r="F79"/>
  <c r="E79" s="1"/>
  <c r="Z77"/>
  <c r="U77"/>
  <c r="F77"/>
  <c r="AC76"/>
  <c r="AB76"/>
  <c r="AA76"/>
  <c r="Z76"/>
  <c r="X76"/>
  <c r="W76"/>
  <c r="V76"/>
  <c r="U76"/>
  <c r="S76"/>
  <c r="R76"/>
  <c r="Q76"/>
  <c r="P76"/>
  <c r="P77" s="1"/>
  <c r="N76"/>
  <c r="M76"/>
  <c r="L76"/>
  <c r="I76"/>
  <c r="H76"/>
  <c r="G76"/>
  <c r="F76"/>
  <c r="Y75"/>
  <c r="Y77" s="1"/>
  <c r="T75"/>
  <c r="O75"/>
  <c r="J75"/>
  <c r="E75"/>
  <c r="AD75" s="1"/>
  <c r="Y74"/>
  <c r="T74"/>
  <c r="T76" s="1"/>
  <c r="O74"/>
  <c r="O76" s="1"/>
  <c r="O77" s="1"/>
  <c r="K74"/>
  <c r="J74" s="1"/>
  <c r="E74"/>
  <c r="AD74" s="1"/>
  <c r="Y73"/>
  <c r="Y76" s="1"/>
  <c r="T73"/>
  <c r="T77" s="1"/>
  <c r="O73"/>
  <c r="K73"/>
  <c r="K76" s="1"/>
  <c r="F73"/>
  <c r="E73"/>
  <c r="E76" s="1"/>
  <c r="AC71"/>
  <c r="AB71"/>
  <c r="AA71"/>
  <c r="Z71"/>
  <c r="Y71"/>
  <c r="X71"/>
  <c r="W71"/>
  <c r="V71"/>
  <c r="U71"/>
  <c r="S71"/>
  <c r="R71"/>
  <c r="Q71"/>
  <c r="P71"/>
  <c r="N71"/>
  <c r="M71"/>
  <c r="L71"/>
  <c r="K71"/>
  <c r="I71"/>
  <c r="H71"/>
  <c r="G71"/>
  <c r="F71"/>
  <c r="T70"/>
  <c r="T71" s="1"/>
  <c r="O70"/>
  <c r="O71" s="1"/>
  <c r="K70"/>
  <c r="J70" s="1"/>
  <c r="J71" s="1"/>
  <c r="F70"/>
  <c r="E70"/>
  <c r="AC68"/>
  <c r="AB68"/>
  <c r="AA68"/>
  <c r="Z68"/>
  <c r="Y68"/>
  <c r="X68"/>
  <c r="W68"/>
  <c r="V68"/>
  <c r="U68"/>
  <c r="T68"/>
  <c r="S68"/>
  <c r="R68"/>
  <c r="Q68"/>
  <c r="P68"/>
  <c r="N68"/>
  <c r="M68"/>
  <c r="L68"/>
  <c r="K68"/>
  <c r="I68"/>
  <c r="H68"/>
  <c r="G68"/>
  <c r="O67"/>
  <c r="O68" s="1"/>
  <c r="K67"/>
  <c r="J67" s="1"/>
  <c r="J68" s="1"/>
  <c r="F67"/>
  <c r="F68" s="1"/>
  <c r="E67"/>
  <c r="AD67" s="1"/>
  <c r="AD68" s="1"/>
  <c r="F64"/>
  <c r="E64" s="1"/>
  <c r="Z63"/>
  <c r="F63"/>
  <c r="F61" s="1"/>
  <c r="F65" s="1"/>
  <c r="E65" s="1"/>
  <c r="Z62"/>
  <c r="Z86" s="1"/>
  <c r="Y86" s="1"/>
  <c r="Y62"/>
  <c r="T62"/>
  <c r="O62"/>
  <c r="AD62" s="1"/>
  <c r="AC61"/>
  <c r="AB61"/>
  <c r="AA61"/>
  <c r="X61"/>
  <c r="W61"/>
  <c r="V61"/>
  <c r="S61"/>
  <c r="R61"/>
  <c r="Q61"/>
  <c r="P61"/>
  <c r="P63" s="1"/>
  <c r="O63" s="1"/>
  <c r="N61"/>
  <c r="M61"/>
  <c r="L61"/>
  <c r="I61"/>
  <c r="H61"/>
  <c r="G61"/>
  <c r="AD60"/>
  <c r="Y60"/>
  <c r="T60"/>
  <c r="O60"/>
  <c r="Z59"/>
  <c r="Z61" s="1"/>
  <c r="Z65" s="1"/>
  <c r="Y65" s="1"/>
  <c r="U59"/>
  <c r="U61" s="1"/>
  <c r="U65" s="1"/>
  <c r="T65" s="1"/>
  <c r="T59"/>
  <c r="T61" s="1"/>
  <c r="P59"/>
  <c r="O59" s="1"/>
  <c r="K59"/>
  <c r="J59"/>
  <c r="F59"/>
  <c r="E59" s="1"/>
  <c r="Y58"/>
  <c r="T58"/>
  <c r="T63" s="1"/>
  <c r="O58"/>
  <c r="O61" s="1"/>
  <c r="K58"/>
  <c r="K63" s="1"/>
  <c r="J63" s="1"/>
  <c r="J58"/>
  <c r="AD58" s="1"/>
  <c r="E58"/>
  <c r="Y57"/>
  <c r="T57"/>
  <c r="O57"/>
  <c r="J57"/>
  <c r="F57"/>
  <c r="E57"/>
  <c r="AD57" s="1"/>
  <c r="AD64" s="1"/>
  <c r="AC55"/>
  <c r="AB55"/>
  <c r="AA55"/>
  <c r="Z55"/>
  <c r="X55"/>
  <c r="W55"/>
  <c r="V55"/>
  <c r="U55"/>
  <c r="T55"/>
  <c r="S55"/>
  <c r="R55"/>
  <c r="Q55"/>
  <c r="P55"/>
  <c r="O55"/>
  <c r="N55"/>
  <c r="M55"/>
  <c r="L55"/>
  <c r="K55"/>
  <c r="I55"/>
  <c r="H55"/>
  <c r="G55"/>
  <c r="Y54"/>
  <c r="Y55" s="1"/>
  <c r="T54"/>
  <c r="O54"/>
  <c r="K54"/>
  <c r="J54"/>
  <c r="J55" s="1"/>
  <c r="F54"/>
  <c r="E54" s="1"/>
  <c r="Z52"/>
  <c r="U52"/>
  <c r="P52"/>
  <c r="P50" s="1"/>
  <c r="H52"/>
  <c r="H50" s="1"/>
  <c r="AC51"/>
  <c r="AB51"/>
  <c r="AA51"/>
  <c r="Z51"/>
  <c r="Y51"/>
  <c r="X51"/>
  <c r="W51"/>
  <c r="V51"/>
  <c r="U51"/>
  <c r="U50" s="1"/>
  <c r="S51"/>
  <c r="R51"/>
  <c r="Q51"/>
  <c r="P51"/>
  <c r="O51"/>
  <c r="N51"/>
  <c r="M51"/>
  <c r="L51"/>
  <c r="I51"/>
  <c r="I50" s="1"/>
  <c r="H51"/>
  <c r="Z50"/>
  <c r="V50"/>
  <c r="R50"/>
  <c r="N50"/>
  <c r="M50"/>
  <c r="L50"/>
  <c r="G50"/>
  <c r="Y49"/>
  <c r="T49"/>
  <c r="O49"/>
  <c r="J49"/>
  <c r="F49"/>
  <c r="E49"/>
  <c r="AD49" s="1"/>
  <c r="Y48"/>
  <c r="T48"/>
  <c r="T51" s="1"/>
  <c r="K48"/>
  <c r="K51" s="1"/>
  <c r="F48"/>
  <c r="F51" s="1"/>
  <c r="F50" s="1"/>
  <c r="E48"/>
  <c r="E51" s="1"/>
  <c r="T47"/>
  <c r="O47"/>
  <c r="K47"/>
  <c r="J47"/>
  <c r="AD47" s="1"/>
  <c r="G47"/>
  <c r="F47"/>
  <c r="E47"/>
  <c r="Y46"/>
  <c r="T46"/>
  <c r="O46"/>
  <c r="K46"/>
  <c r="J46" s="1"/>
  <c r="AD46" s="1"/>
  <c r="F46"/>
  <c r="E46"/>
  <c r="Y45"/>
  <c r="T45"/>
  <c r="O45"/>
  <c r="J45"/>
  <c r="AD45" s="1"/>
  <c r="E45"/>
  <c r="Y44"/>
  <c r="T44"/>
  <c r="O44"/>
  <c r="J44"/>
  <c r="E44"/>
  <c r="AD44" s="1"/>
  <c r="Y43"/>
  <c r="T43"/>
  <c r="O43"/>
  <c r="K43"/>
  <c r="J43" s="1"/>
  <c r="AD43" s="1"/>
  <c r="F43"/>
  <c r="F52" s="1"/>
  <c r="E43"/>
  <c r="Y42"/>
  <c r="T42"/>
  <c r="O42"/>
  <c r="J42"/>
  <c r="AD42" s="1"/>
  <c r="E42"/>
  <c r="Y41"/>
  <c r="T41"/>
  <c r="O41"/>
  <c r="J41"/>
  <c r="E41"/>
  <c r="AD41" s="1"/>
  <c r="Y40"/>
  <c r="T40"/>
  <c r="O40"/>
  <c r="J40"/>
  <c r="AD40" s="1"/>
  <c r="E40"/>
  <c r="Y39"/>
  <c r="T39"/>
  <c r="O39"/>
  <c r="K39"/>
  <c r="J39"/>
  <c r="E39"/>
  <c r="AD39" s="1"/>
  <c r="Y38"/>
  <c r="T38"/>
  <c r="O38"/>
  <c r="K38"/>
  <c r="J38" s="1"/>
  <c r="E38"/>
  <c r="Y37"/>
  <c r="T37"/>
  <c r="O37"/>
  <c r="J37"/>
  <c r="AD37" s="1"/>
  <c r="E37"/>
  <c r="Y36"/>
  <c r="T36"/>
  <c r="O36"/>
  <c r="J36"/>
  <c r="E36"/>
  <c r="AD36" s="1"/>
  <c r="AC35"/>
  <c r="AC50" s="1"/>
  <c r="AC85" s="1"/>
  <c r="AB35"/>
  <c r="AB50" s="1"/>
  <c r="AA35"/>
  <c r="AA50" s="1"/>
  <c r="Y35"/>
  <c r="Y52" s="1"/>
  <c r="X35"/>
  <c r="X50" s="1"/>
  <c r="W35"/>
  <c r="W50" s="1"/>
  <c r="V35"/>
  <c r="T35"/>
  <c r="T52" s="1"/>
  <c r="S35"/>
  <c r="S50" s="1"/>
  <c r="R35"/>
  <c r="Q35"/>
  <c r="Q50" s="1"/>
  <c r="Q85" s="1"/>
  <c r="Q87" s="1"/>
  <c r="O35"/>
  <c r="O52" s="1"/>
  <c r="O50" s="1"/>
  <c r="K35"/>
  <c r="K52" s="1"/>
  <c r="E35"/>
  <c r="E52" s="1"/>
  <c r="AC33"/>
  <c r="AB33"/>
  <c r="AA33"/>
  <c r="Z33"/>
  <c r="X33"/>
  <c r="W33"/>
  <c r="V33"/>
  <c r="U33"/>
  <c r="S33"/>
  <c r="R33"/>
  <c r="Q33"/>
  <c r="P33"/>
  <c r="O33"/>
  <c r="N33"/>
  <c r="M33"/>
  <c r="L33"/>
  <c r="K33"/>
  <c r="J33"/>
  <c r="I33"/>
  <c r="H33"/>
  <c r="G33"/>
  <c r="Y32"/>
  <c r="Y33" s="1"/>
  <c r="T32"/>
  <c r="T33" s="1"/>
  <c r="O32"/>
  <c r="K32"/>
  <c r="J32"/>
  <c r="F32"/>
  <c r="F33" s="1"/>
  <c r="AC30"/>
  <c r="AB30"/>
  <c r="AA30"/>
  <c r="Z30"/>
  <c r="Y30"/>
  <c r="X30"/>
  <c r="W30"/>
  <c r="V30"/>
  <c r="U30"/>
  <c r="T30"/>
  <c r="S30"/>
  <c r="R30"/>
  <c r="Q30"/>
  <c r="P30"/>
  <c r="N30"/>
  <c r="M30"/>
  <c r="L30"/>
  <c r="K30"/>
  <c r="I30"/>
  <c r="H30"/>
  <c r="G30"/>
  <c r="F30"/>
  <c r="E30"/>
  <c r="AC29"/>
  <c r="AC87" s="1"/>
  <c r="AB29"/>
  <c r="AB87" s="1"/>
  <c r="AA29"/>
  <c r="AA87" s="1"/>
  <c r="Z29"/>
  <c r="X29"/>
  <c r="X87" s="1"/>
  <c r="W29"/>
  <c r="W87" s="1"/>
  <c r="V29"/>
  <c r="V87" s="1"/>
  <c r="U29"/>
  <c r="S29"/>
  <c r="S87" s="1"/>
  <c r="R29"/>
  <c r="R87" s="1"/>
  <c r="Q29"/>
  <c r="P29"/>
  <c r="N29"/>
  <c r="N87" s="1"/>
  <c r="M29"/>
  <c r="M87" s="1"/>
  <c r="L29"/>
  <c r="I29"/>
  <c r="H29"/>
  <c r="H87" s="1"/>
  <c r="G29"/>
  <c r="F29"/>
  <c r="AC28"/>
  <c r="AB28"/>
  <c r="AA28"/>
  <c r="Z28"/>
  <c r="X28"/>
  <c r="W28"/>
  <c r="V28"/>
  <c r="U28"/>
  <c r="T28"/>
  <c r="S28"/>
  <c r="R28"/>
  <c r="Q28"/>
  <c r="P28"/>
  <c r="P27" s="1"/>
  <c r="O28"/>
  <c r="N28"/>
  <c r="M28"/>
  <c r="L28"/>
  <c r="H28"/>
  <c r="G28"/>
  <c r="AC27"/>
  <c r="AB27"/>
  <c r="AA27"/>
  <c r="AA85" s="1"/>
  <c r="Z27"/>
  <c r="X27"/>
  <c r="W27"/>
  <c r="V27"/>
  <c r="V85" s="1"/>
  <c r="U27"/>
  <c r="S27"/>
  <c r="R27"/>
  <c r="R85" s="1"/>
  <c r="Q27"/>
  <c r="N27"/>
  <c r="N85" s="1"/>
  <c r="M27"/>
  <c r="L27"/>
  <c r="L85" s="1"/>
  <c r="L87" s="1"/>
  <c r="H27"/>
  <c r="H85" s="1"/>
  <c r="G27"/>
  <c r="G85" s="1"/>
  <c r="F27"/>
  <c r="Y26"/>
  <c r="T26"/>
  <c r="O26"/>
  <c r="O29" s="1"/>
  <c r="J26"/>
  <c r="F26"/>
  <c r="E26"/>
  <c r="AD26" s="1"/>
  <c r="T25"/>
  <c r="O25"/>
  <c r="J25"/>
  <c r="AD25" s="1"/>
  <c r="T24"/>
  <c r="O24"/>
  <c r="O27" s="1"/>
  <c r="J24"/>
  <c r="J30" s="1"/>
  <c r="T23"/>
  <c r="O23"/>
  <c r="K23"/>
  <c r="J23" s="1"/>
  <c r="AD23" s="1"/>
  <c r="Y22"/>
  <c r="T22"/>
  <c r="O22"/>
  <c r="J22"/>
  <c r="F22"/>
  <c r="E22"/>
  <c r="AD22" s="1"/>
  <c r="Y21"/>
  <c r="T21"/>
  <c r="O21"/>
  <c r="J21"/>
  <c r="E21"/>
  <c r="AD21" s="1"/>
  <c r="Y20"/>
  <c r="T20"/>
  <c r="O20"/>
  <c r="J20"/>
  <c r="E20"/>
  <c r="AD20" s="1"/>
  <c r="J19"/>
  <c r="E19"/>
  <c r="AD19" s="1"/>
  <c r="T18"/>
  <c r="O18"/>
  <c r="K18"/>
  <c r="K29" s="1"/>
  <c r="J18"/>
  <c r="AD18" s="1"/>
  <c r="F18"/>
  <c r="E18"/>
  <c r="Y17"/>
  <c r="Y29" s="1"/>
  <c r="T17"/>
  <c r="O17"/>
  <c r="J17"/>
  <c r="E17"/>
  <c r="AD17" s="1"/>
  <c r="I16"/>
  <c r="F16"/>
  <c r="E16"/>
  <c r="AD16" s="1"/>
  <c r="T15"/>
  <c r="T29" s="1"/>
  <c r="O15"/>
  <c r="J15"/>
  <c r="J29" s="1"/>
  <c r="F15"/>
  <c r="E15"/>
  <c r="E29" s="1"/>
  <c r="Y14"/>
  <c r="T14"/>
  <c r="I14"/>
  <c r="I28" s="1"/>
  <c r="F14"/>
  <c r="E14"/>
  <c r="AD14" s="1"/>
  <c r="Y13"/>
  <c r="Y28" s="1"/>
  <c r="Y27" s="1"/>
  <c r="T13"/>
  <c r="T27" s="1"/>
  <c r="K13"/>
  <c r="K28" s="1"/>
  <c r="K27" s="1"/>
  <c r="F13"/>
  <c r="E13" s="1"/>
  <c r="O27" i="25" l="1"/>
  <c r="C95"/>
  <c r="E52"/>
  <c r="AD52" s="1"/>
  <c r="K83"/>
  <c r="J83" s="1"/>
  <c r="AD35"/>
  <c r="AD32"/>
  <c r="AD33" s="1"/>
  <c r="E60"/>
  <c r="C86" s="1"/>
  <c r="E29"/>
  <c r="E29" i="24"/>
  <c r="T29"/>
  <c r="AD20"/>
  <c r="AD23"/>
  <c r="AD26"/>
  <c r="N82"/>
  <c r="P27"/>
  <c r="O35"/>
  <c r="O52" s="1"/>
  <c r="O50" s="1"/>
  <c r="AD39"/>
  <c r="AD49"/>
  <c r="J73"/>
  <c r="Y74"/>
  <c r="T81"/>
  <c r="U82"/>
  <c r="AD13"/>
  <c r="AD71"/>
  <c r="J29"/>
  <c r="AD19"/>
  <c r="AD22"/>
  <c r="R82"/>
  <c r="W82"/>
  <c r="AB82"/>
  <c r="T35"/>
  <c r="T52" s="1"/>
  <c r="Y35"/>
  <c r="Y52" s="1"/>
  <c r="AD36"/>
  <c r="AD42"/>
  <c r="AD45"/>
  <c r="K50"/>
  <c r="AD57"/>
  <c r="AD61" s="1"/>
  <c r="F62"/>
  <c r="E62" s="1"/>
  <c r="J74"/>
  <c r="Y73"/>
  <c r="I82"/>
  <c r="Y29"/>
  <c r="Y27" s="1"/>
  <c r="AD17"/>
  <c r="AD21"/>
  <c r="Z82"/>
  <c r="AD37"/>
  <c r="AD38"/>
  <c r="AD40"/>
  <c r="AD41"/>
  <c r="AD43"/>
  <c r="AD44"/>
  <c r="AD46"/>
  <c r="AD47"/>
  <c r="T60"/>
  <c r="J81"/>
  <c r="AD81" s="1"/>
  <c r="O29"/>
  <c r="AD29" s="1"/>
  <c r="H82"/>
  <c r="S82"/>
  <c r="X82"/>
  <c r="AC82"/>
  <c r="T73"/>
  <c r="AD72"/>
  <c r="AD79"/>
  <c r="AD80"/>
  <c r="E50" i="25"/>
  <c r="AD50" s="1"/>
  <c r="AD51"/>
  <c r="F83"/>
  <c r="P62"/>
  <c r="O60"/>
  <c r="AD29"/>
  <c r="C85"/>
  <c r="C89" s="1"/>
  <c r="E27"/>
  <c r="AD64"/>
  <c r="AD65" s="1"/>
  <c r="J65"/>
  <c r="AD74"/>
  <c r="AD73"/>
  <c r="J30"/>
  <c r="AD24"/>
  <c r="O73" i="24"/>
  <c r="O74" s="1"/>
  <c r="AD58"/>
  <c r="P50"/>
  <c r="AD25"/>
  <c r="AC82" i="23"/>
  <c r="O24"/>
  <c r="O30" s="1"/>
  <c r="Y28"/>
  <c r="T27"/>
  <c r="O29"/>
  <c r="AD20"/>
  <c r="AD21"/>
  <c r="N82"/>
  <c r="J73"/>
  <c r="Y74"/>
  <c r="AD79"/>
  <c r="AD80"/>
  <c r="Y60"/>
  <c r="Y81"/>
  <c r="AD36"/>
  <c r="AD37"/>
  <c r="AD39"/>
  <c r="AD40"/>
  <c r="P50"/>
  <c r="AD71"/>
  <c r="T28"/>
  <c r="AD14"/>
  <c r="AD17"/>
  <c r="AD19"/>
  <c r="AD22"/>
  <c r="AD26"/>
  <c r="H82"/>
  <c r="K50"/>
  <c r="Y35"/>
  <c r="Y52" s="1"/>
  <c r="AD47"/>
  <c r="E60"/>
  <c r="E74"/>
  <c r="O73"/>
  <c r="O74" s="1"/>
  <c r="J81"/>
  <c r="AA82"/>
  <c r="T29"/>
  <c r="J30"/>
  <c r="O35"/>
  <c r="O52" s="1"/>
  <c r="O50" s="1"/>
  <c r="AD46"/>
  <c r="O60"/>
  <c r="AD72"/>
  <c r="O81"/>
  <c r="J29"/>
  <c r="S82"/>
  <c r="Y29"/>
  <c r="Y27" s="1"/>
  <c r="AD18"/>
  <c r="AD23"/>
  <c r="AD25"/>
  <c r="X82"/>
  <c r="G27"/>
  <c r="G82" s="1"/>
  <c r="Q27"/>
  <c r="Q82" s="1"/>
  <c r="C94" s="1"/>
  <c r="C95" s="1"/>
  <c r="T35"/>
  <c r="T52" s="1"/>
  <c r="T50" s="1"/>
  <c r="AD38"/>
  <c r="AD41"/>
  <c r="AD42"/>
  <c r="AD44"/>
  <c r="AD45"/>
  <c r="AD49"/>
  <c r="AD57"/>
  <c r="AD61" s="1"/>
  <c r="T60"/>
  <c r="T73"/>
  <c r="T81"/>
  <c r="E55" i="24"/>
  <c r="AD54"/>
  <c r="AD55" s="1"/>
  <c r="AD24"/>
  <c r="Y50"/>
  <c r="J77"/>
  <c r="AD77" s="1"/>
  <c r="AD76"/>
  <c r="E33"/>
  <c r="AD32"/>
  <c r="AD33" s="1"/>
  <c r="K62"/>
  <c r="J62" s="1"/>
  <c r="AD62" s="1"/>
  <c r="J60"/>
  <c r="E65"/>
  <c r="AD64"/>
  <c r="AD65" s="1"/>
  <c r="T50"/>
  <c r="AD18"/>
  <c r="V82"/>
  <c r="T82" s="1"/>
  <c r="AA82"/>
  <c r="E14"/>
  <c r="AD14" s="1"/>
  <c r="AD15"/>
  <c r="L27"/>
  <c r="L82" s="1"/>
  <c r="T27"/>
  <c r="F28"/>
  <c r="J30"/>
  <c r="J27" s="1"/>
  <c r="J35"/>
  <c r="E48"/>
  <c r="O60"/>
  <c r="P65"/>
  <c r="K73"/>
  <c r="I28"/>
  <c r="K29"/>
  <c r="K27" s="1"/>
  <c r="K82" s="1"/>
  <c r="J82" s="1"/>
  <c r="Q30"/>
  <c r="Q27" s="1"/>
  <c r="Q82" s="1"/>
  <c r="F73"/>
  <c r="F33"/>
  <c r="F55"/>
  <c r="F65"/>
  <c r="T74"/>
  <c r="K77"/>
  <c r="E59"/>
  <c r="J67"/>
  <c r="E70"/>
  <c r="AD48" i="23"/>
  <c r="U50"/>
  <c r="U82" s="1"/>
  <c r="P65"/>
  <c r="P82" s="1"/>
  <c r="J60"/>
  <c r="K62"/>
  <c r="J62" s="1"/>
  <c r="Z82"/>
  <c r="AD81"/>
  <c r="AD30"/>
  <c r="AD77"/>
  <c r="J28"/>
  <c r="AD13"/>
  <c r="E28"/>
  <c r="F50"/>
  <c r="Y50"/>
  <c r="AD24"/>
  <c r="I27"/>
  <c r="I82" s="1"/>
  <c r="K28"/>
  <c r="K27" s="1"/>
  <c r="AB50"/>
  <c r="AB82" s="1"/>
  <c r="AD67"/>
  <c r="AD68" s="1"/>
  <c r="E73"/>
  <c r="Y73"/>
  <c r="J74"/>
  <c r="T74"/>
  <c r="AD76"/>
  <c r="W50"/>
  <c r="W82" s="1"/>
  <c r="E51"/>
  <c r="J52"/>
  <c r="J50" s="1"/>
  <c r="F61"/>
  <c r="E61" s="1"/>
  <c r="E65"/>
  <c r="F74"/>
  <c r="E15"/>
  <c r="O27"/>
  <c r="J32"/>
  <c r="E43"/>
  <c r="AD43" s="1"/>
  <c r="R50"/>
  <c r="R82" s="1"/>
  <c r="J54"/>
  <c r="J58"/>
  <c r="AD58" s="1"/>
  <c r="AD60" s="1"/>
  <c r="J64"/>
  <c r="J65" s="1"/>
  <c r="AD70"/>
  <c r="E68" i="22"/>
  <c r="AD67"/>
  <c r="AD68" s="1"/>
  <c r="E77"/>
  <c r="AD77" s="1"/>
  <c r="AD76"/>
  <c r="O82"/>
  <c r="AD35"/>
  <c r="K27"/>
  <c r="J29"/>
  <c r="AD18"/>
  <c r="F82"/>
  <c r="Y27"/>
  <c r="AD48"/>
  <c r="Y50"/>
  <c r="F62"/>
  <c r="E62" s="1"/>
  <c r="AD81"/>
  <c r="J13"/>
  <c r="J28" s="1"/>
  <c r="J27" s="1"/>
  <c r="K29"/>
  <c r="E13"/>
  <c r="AD13" s="1"/>
  <c r="AD24"/>
  <c r="I27"/>
  <c r="I82" s="1"/>
  <c r="E32"/>
  <c r="K51"/>
  <c r="K50" s="1"/>
  <c r="E52"/>
  <c r="AD52" s="1"/>
  <c r="E54"/>
  <c r="E59"/>
  <c r="K62"/>
  <c r="J62" s="1"/>
  <c r="E64"/>
  <c r="E73"/>
  <c r="F28"/>
  <c r="E28" s="1"/>
  <c r="AD30"/>
  <c r="AA50"/>
  <c r="AA82" s="1"/>
  <c r="Y82" s="1"/>
  <c r="E51"/>
  <c r="E15"/>
  <c r="V50"/>
  <c r="V82" s="1"/>
  <c r="F68"/>
  <c r="K73"/>
  <c r="F77"/>
  <c r="AD17"/>
  <c r="O27"/>
  <c r="O35"/>
  <c r="O52" s="1"/>
  <c r="O50" s="1"/>
  <c r="J70"/>
  <c r="C99" i="21"/>
  <c r="G87"/>
  <c r="D113"/>
  <c r="AD54"/>
  <c r="AD55" s="1"/>
  <c r="E55"/>
  <c r="AD79"/>
  <c r="E80"/>
  <c r="AD80" s="1"/>
  <c r="K50"/>
  <c r="K85" s="1"/>
  <c r="AD84"/>
  <c r="AD86"/>
  <c r="Z85"/>
  <c r="AD38"/>
  <c r="AD13"/>
  <c r="W85"/>
  <c r="AB85"/>
  <c r="P85"/>
  <c r="C90"/>
  <c r="T50"/>
  <c r="AD70"/>
  <c r="AD71" s="1"/>
  <c r="AD29"/>
  <c r="E50"/>
  <c r="E63"/>
  <c r="E61" s="1"/>
  <c r="F85"/>
  <c r="S85"/>
  <c r="X85"/>
  <c r="Y50"/>
  <c r="F80"/>
  <c r="J13"/>
  <c r="J28" s="1"/>
  <c r="J27" s="1"/>
  <c r="AD15"/>
  <c r="AD24"/>
  <c r="I27"/>
  <c r="I85" s="1"/>
  <c r="O30"/>
  <c r="E32"/>
  <c r="J48"/>
  <c r="J51" s="1"/>
  <c r="AD51" s="1"/>
  <c r="F55"/>
  <c r="K61"/>
  <c r="K65" s="1"/>
  <c r="J65" s="1"/>
  <c r="U63"/>
  <c r="U85" s="1"/>
  <c r="P65"/>
  <c r="O65" s="1"/>
  <c r="E71"/>
  <c r="J73"/>
  <c r="K77"/>
  <c r="F28"/>
  <c r="E28" s="1"/>
  <c r="AD30"/>
  <c r="J35"/>
  <c r="Y59"/>
  <c r="Y61" s="1"/>
  <c r="J61"/>
  <c r="E68"/>
  <c r="E77"/>
  <c r="Y82" i="24" l="1"/>
  <c r="F82"/>
  <c r="P82"/>
  <c r="O82" s="1"/>
  <c r="O62" i="25"/>
  <c r="AD62" s="1"/>
  <c r="J27"/>
  <c r="AD30"/>
  <c r="AD27" s="1"/>
  <c r="E83"/>
  <c r="C94" i="24"/>
  <c r="C95" s="1"/>
  <c r="J27" i="23"/>
  <c r="K82"/>
  <c r="J82" s="1"/>
  <c r="AD35"/>
  <c r="E82" i="24"/>
  <c r="AD67"/>
  <c r="AD68" s="1"/>
  <c r="J68"/>
  <c r="E73"/>
  <c r="E74"/>
  <c r="C84" s="1"/>
  <c r="AD70"/>
  <c r="AD35"/>
  <c r="J52"/>
  <c r="AD30"/>
  <c r="AD59"/>
  <c r="AD60" s="1"/>
  <c r="E60"/>
  <c r="AD48"/>
  <c r="E51"/>
  <c r="O27"/>
  <c r="E28"/>
  <c r="T82" i="23"/>
  <c r="O82"/>
  <c r="J55"/>
  <c r="AD54"/>
  <c r="AD55" s="1"/>
  <c r="F62"/>
  <c r="E62" s="1"/>
  <c r="AD62" s="1"/>
  <c r="J33"/>
  <c r="AD32"/>
  <c r="AD33" s="1"/>
  <c r="AD64"/>
  <c r="AD65" s="1"/>
  <c r="Y82"/>
  <c r="AD51"/>
  <c r="C86"/>
  <c r="AD28"/>
  <c r="E52"/>
  <c r="AD52" s="1"/>
  <c r="AD73"/>
  <c r="AD74"/>
  <c r="E29"/>
  <c r="AD15"/>
  <c r="C85"/>
  <c r="C94" i="22"/>
  <c r="C95" s="1"/>
  <c r="T82"/>
  <c r="E82"/>
  <c r="AD64"/>
  <c r="AD65" s="1"/>
  <c r="E65"/>
  <c r="E50"/>
  <c r="AD50" s="1"/>
  <c r="AD51"/>
  <c r="AD54"/>
  <c r="AD55" s="1"/>
  <c r="E55"/>
  <c r="J73"/>
  <c r="AD70"/>
  <c r="J74"/>
  <c r="E29"/>
  <c r="AD15"/>
  <c r="C86"/>
  <c r="AD28"/>
  <c r="E27"/>
  <c r="AD59"/>
  <c r="AD60" s="1"/>
  <c r="E60"/>
  <c r="C85" s="1"/>
  <c r="AD32"/>
  <c r="AD33" s="1"/>
  <c r="E33"/>
  <c r="K82"/>
  <c r="J82" s="1"/>
  <c r="AD62"/>
  <c r="K87" i="21"/>
  <c r="J87" s="1"/>
  <c r="J85"/>
  <c r="U87"/>
  <c r="T87" s="1"/>
  <c r="T85"/>
  <c r="F87"/>
  <c r="C98"/>
  <c r="B102"/>
  <c r="AD28"/>
  <c r="AD27" s="1"/>
  <c r="C91"/>
  <c r="E27"/>
  <c r="E85" s="1"/>
  <c r="E87" s="1"/>
  <c r="C97"/>
  <c r="I87"/>
  <c r="Z87"/>
  <c r="Y87" s="1"/>
  <c r="Y85"/>
  <c r="J52"/>
  <c r="AD35"/>
  <c r="J77"/>
  <c r="AD73"/>
  <c r="J76"/>
  <c r="AD32"/>
  <c r="AD33" s="1"/>
  <c r="E33"/>
  <c r="C89" s="1"/>
  <c r="C93" s="1"/>
  <c r="P87"/>
  <c r="O87" s="1"/>
  <c r="O85"/>
  <c r="AD48"/>
  <c r="AD59"/>
  <c r="AD63" s="1"/>
  <c r="AD61" s="1"/>
  <c r="Y63"/>
  <c r="O83" i="25" l="1"/>
  <c r="C94"/>
  <c r="C97" s="1"/>
  <c r="E93" i="24"/>
  <c r="E50" i="23"/>
  <c r="AD50" s="1"/>
  <c r="E27" i="24"/>
  <c r="C86"/>
  <c r="AD28"/>
  <c r="AD27" s="1"/>
  <c r="E50"/>
  <c r="AD51"/>
  <c r="C85"/>
  <c r="C88" s="1"/>
  <c r="AD74"/>
  <c r="AD73"/>
  <c r="J50"/>
  <c r="AD52"/>
  <c r="C96"/>
  <c r="AD82"/>
  <c r="AD29" i="23"/>
  <c r="AD27" s="1"/>
  <c r="C84"/>
  <c r="C88" s="1"/>
  <c r="F82"/>
  <c r="E27"/>
  <c r="AD29" i="22"/>
  <c r="C84"/>
  <c r="C88" s="1"/>
  <c r="AD73"/>
  <c r="AD74"/>
  <c r="C96"/>
  <c r="AD82"/>
  <c r="E93"/>
  <c r="AD27"/>
  <c r="AD77" i="21"/>
  <c r="AD76"/>
  <c r="AD85" s="1"/>
  <c r="AD87" s="1"/>
  <c r="T98"/>
  <c r="E98"/>
  <c r="J50"/>
  <c r="AD50" s="1"/>
  <c r="AD52"/>
  <c r="C100"/>
  <c r="T94" i="25" l="1"/>
  <c r="AD50" i="24"/>
  <c r="E93" i="23"/>
  <c r="E82"/>
  <c r="AD82" s="1"/>
  <c r="K64" i="20"/>
  <c r="K80"/>
  <c r="K81" s="1"/>
  <c r="J81" s="1"/>
  <c r="K79"/>
  <c r="K71"/>
  <c r="K58"/>
  <c r="J58" s="1"/>
  <c r="J60" s="1"/>
  <c r="K46"/>
  <c r="K23"/>
  <c r="J23" s="1"/>
  <c r="AD23" s="1"/>
  <c r="K18"/>
  <c r="Y101"/>
  <c r="AC81"/>
  <c r="AB81"/>
  <c r="AA81"/>
  <c r="Z81"/>
  <c r="Y81"/>
  <c r="X81"/>
  <c r="W81"/>
  <c r="V81"/>
  <c r="U81"/>
  <c r="T81" s="1"/>
  <c r="S81"/>
  <c r="R81"/>
  <c r="Q81"/>
  <c r="P81"/>
  <c r="O81" s="1"/>
  <c r="N81"/>
  <c r="M81"/>
  <c r="L81"/>
  <c r="I81"/>
  <c r="H81"/>
  <c r="G81"/>
  <c r="F81"/>
  <c r="E81"/>
  <c r="T80"/>
  <c r="T79"/>
  <c r="J79"/>
  <c r="AD79" s="1"/>
  <c r="AC77"/>
  <c r="AB77"/>
  <c r="AA77"/>
  <c r="Z77"/>
  <c r="Y77"/>
  <c r="X77"/>
  <c r="W77"/>
  <c r="V77"/>
  <c r="U77"/>
  <c r="S77"/>
  <c r="R77"/>
  <c r="Q77"/>
  <c r="P77"/>
  <c r="N77"/>
  <c r="M77"/>
  <c r="L77"/>
  <c r="K77"/>
  <c r="F77"/>
  <c r="Y76"/>
  <c r="T76"/>
  <c r="T77" s="1"/>
  <c r="O76"/>
  <c r="O77" s="1"/>
  <c r="J76"/>
  <c r="J77" s="1"/>
  <c r="F76"/>
  <c r="E76"/>
  <c r="E77" s="1"/>
  <c r="Z74"/>
  <c r="U74"/>
  <c r="AC73"/>
  <c r="AB73"/>
  <c r="AA73"/>
  <c r="Z73"/>
  <c r="X73"/>
  <c r="W73"/>
  <c r="V73"/>
  <c r="U73"/>
  <c r="S73"/>
  <c r="R73"/>
  <c r="Q73"/>
  <c r="P73"/>
  <c r="P74" s="1"/>
  <c r="N73"/>
  <c r="M73"/>
  <c r="L73"/>
  <c r="I73"/>
  <c r="H73"/>
  <c r="G73"/>
  <c r="F73"/>
  <c r="Y72"/>
  <c r="T72"/>
  <c r="O72"/>
  <c r="J72"/>
  <c r="E72"/>
  <c r="AD72" s="1"/>
  <c r="Y71"/>
  <c r="T71"/>
  <c r="O71"/>
  <c r="J71"/>
  <c r="AD71" s="1"/>
  <c r="E71"/>
  <c r="Y70"/>
  <c r="Y73" s="1"/>
  <c r="T70"/>
  <c r="T74" s="1"/>
  <c r="O70"/>
  <c r="O73" s="1"/>
  <c r="O74" s="1"/>
  <c r="K70"/>
  <c r="J70"/>
  <c r="F70"/>
  <c r="F74" s="1"/>
  <c r="AC68"/>
  <c r="AB68"/>
  <c r="AA68"/>
  <c r="Z68"/>
  <c r="Y68"/>
  <c r="X68"/>
  <c r="W68"/>
  <c r="V68"/>
  <c r="U68"/>
  <c r="T68"/>
  <c r="S68"/>
  <c r="R68"/>
  <c r="Q68"/>
  <c r="P68"/>
  <c r="N68"/>
  <c r="M68"/>
  <c r="L68"/>
  <c r="I68"/>
  <c r="H68"/>
  <c r="G68"/>
  <c r="E68"/>
  <c r="T67"/>
  <c r="O67"/>
  <c r="O68" s="1"/>
  <c r="K67"/>
  <c r="J67" s="1"/>
  <c r="F67"/>
  <c r="F68" s="1"/>
  <c r="E67"/>
  <c r="AC65"/>
  <c r="AB65"/>
  <c r="AA65"/>
  <c r="Z65"/>
  <c r="Y65"/>
  <c r="X65"/>
  <c r="W65"/>
  <c r="V65"/>
  <c r="U65"/>
  <c r="T65"/>
  <c r="S65"/>
  <c r="R65"/>
  <c r="Q65"/>
  <c r="P65"/>
  <c r="N65"/>
  <c r="M65"/>
  <c r="L65"/>
  <c r="I65"/>
  <c r="H65"/>
  <c r="G65"/>
  <c r="F65"/>
  <c r="E65"/>
  <c r="O64"/>
  <c r="O65" s="1"/>
  <c r="J64"/>
  <c r="J65" s="1"/>
  <c r="F64"/>
  <c r="E64"/>
  <c r="F62"/>
  <c r="E62" s="1"/>
  <c r="Z61"/>
  <c r="U61"/>
  <c r="P61"/>
  <c r="O61"/>
  <c r="F61"/>
  <c r="F60" s="1"/>
  <c r="AC60"/>
  <c r="AB60"/>
  <c r="AA60"/>
  <c r="Z60"/>
  <c r="X60"/>
  <c r="W60"/>
  <c r="V60"/>
  <c r="U60"/>
  <c r="T60"/>
  <c r="S60"/>
  <c r="R60"/>
  <c r="Q60"/>
  <c r="P60"/>
  <c r="O60"/>
  <c r="N60"/>
  <c r="M60"/>
  <c r="L60"/>
  <c r="I60"/>
  <c r="H60"/>
  <c r="G60"/>
  <c r="Y59"/>
  <c r="T59"/>
  <c r="O59"/>
  <c r="J59"/>
  <c r="F59"/>
  <c r="E59" s="1"/>
  <c r="Y58"/>
  <c r="Y61" s="1"/>
  <c r="T58"/>
  <c r="T61" s="1"/>
  <c r="O58"/>
  <c r="E58"/>
  <c r="Y57"/>
  <c r="T57"/>
  <c r="O57"/>
  <c r="J57"/>
  <c r="F57"/>
  <c r="E57"/>
  <c r="AD57" s="1"/>
  <c r="AD62" s="1"/>
  <c r="AC55"/>
  <c r="AB55"/>
  <c r="AA55"/>
  <c r="Z55"/>
  <c r="X55"/>
  <c r="W55"/>
  <c r="V55"/>
  <c r="U55"/>
  <c r="S55"/>
  <c r="R55"/>
  <c r="Q55"/>
  <c r="P55"/>
  <c r="O55"/>
  <c r="N55"/>
  <c r="M55"/>
  <c r="L55"/>
  <c r="K55"/>
  <c r="J55"/>
  <c r="I55"/>
  <c r="H55"/>
  <c r="G55"/>
  <c r="Y54"/>
  <c r="Y55" s="1"/>
  <c r="T54"/>
  <c r="T55" s="1"/>
  <c r="O54"/>
  <c r="J54"/>
  <c r="F54"/>
  <c r="F55" s="1"/>
  <c r="Z52"/>
  <c r="U52"/>
  <c r="P52"/>
  <c r="H52"/>
  <c r="F52"/>
  <c r="AC51"/>
  <c r="AB51"/>
  <c r="AA51"/>
  <c r="Z51"/>
  <c r="X51"/>
  <c r="W51"/>
  <c r="V51"/>
  <c r="U51"/>
  <c r="T51"/>
  <c r="S51"/>
  <c r="R51"/>
  <c r="Q51"/>
  <c r="P51"/>
  <c r="P50" s="1"/>
  <c r="O51"/>
  <c r="O50" s="1"/>
  <c r="N51"/>
  <c r="M51"/>
  <c r="L51"/>
  <c r="K51"/>
  <c r="J51"/>
  <c r="I51"/>
  <c r="H51"/>
  <c r="H50" s="1"/>
  <c r="F51"/>
  <c r="F50" s="1"/>
  <c r="AC50"/>
  <c r="AB50"/>
  <c r="Z50"/>
  <c r="X50"/>
  <c r="U50"/>
  <c r="N50"/>
  <c r="M50"/>
  <c r="L50"/>
  <c r="I50"/>
  <c r="G50"/>
  <c r="Y49"/>
  <c r="T49"/>
  <c r="O49"/>
  <c r="J49"/>
  <c r="AD49" s="1"/>
  <c r="F49"/>
  <c r="E49"/>
  <c r="AD48"/>
  <c r="Y48"/>
  <c r="Y51" s="1"/>
  <c r="Y50" s="1"/>
  <c r="T48"/>
  <c r="F48"/>
  <c r="E48"/>
  <c r="E51" s="1"/>
  <c r="T47"/>
  <c r="O47"/>
  <c r="K47"/>
  <c r="J47" s="1"/>
  <c r="G47"/>
  <c r="F47"/>
  <c r="E47"/>
  <c r="Y46"/>
  <c r="T46"/>
  <c r="O46"/>
  <c r="J46"/>
  <c r="F46"/>
  <c r="E46"/>
  <c r="Y45"/>
  <c r="T45"/>
  <c r="O45"/>
  <c r="J45"/>
  <c r="AD45" s="1"/>
  <c r="E45"/>
  <c r="Y44"/>
  <c r="T44"/>
  <c r="O44"/>
  <c r="J44"/>
  <c r="E44"/>
  <c r="AD44" s="1"/>
  <c r="Y43"/>
  <c r="T43"/>
  <c r="O43"/>
  <c r="K43"/>
  <c r="K52" s="1"/>
  <c r="F43"/>
  <c r="E43"/>
  <c r="Y42"/>
  <c r="T42"/>
  <c r="O42"/>
  <c r="J42"/>
  <c r="AD42" s="1"/>
  <c r="E42"/>
  <c r="Y41"/>
  <c r="T41"/>
  <c r="O41"/>
  <c r="J41"/>
  <c r="E41"/>
  <c r="AD41" s="1"/>
  <c r="Y40"/>
  <c r="T40"/>
  <c r="O40"/>
  <c r="J40"/>
  <c r="AD40" s="1"/>
  <c r="E40"/>
  <c r="Y39"/>
  <c r="T39"/>
  <c r="O39"/>
  <c r="K39"/>
  <c r="J39"/>
  <c r="E39"/>
  <c r="AD39" s="1"/>
  <c r="Y38"/>
  <c r="T38"/>
  <c r="O38"/>
  <c r="K38"/>
  <c r="J38"/>
  <c r="E38"/>
  <c r="AD38" s="1"/>
  <c r="Y37"/>
  <c r="T37"/>
  <c r="O37"/>
  <c r="J37"/>
  <c r="AD37" s="1"/>
  <c r="E37"/>
  <c r="Y36"/>
  <c r="T36"/>
  <c r="O36"/>
  <c r="J36"/>
  <c r="E36"/>
  <c r="AD36" s="1"/>
  <c r="AC35"/>
  <c r="AB35"/>
  <c r="AA35"/>
  <c r="Y35" s="1"/>
  <c r="Y52" s="1"/>
  <c r="X35"/>
  <c r="W35"/>
  <c r="W50" s="1"/>
  <c r="V35"/>
  <c r="T35" s="1"/>
  <c r="T52" s="1"/>
  <c r="S35"/>
  <c r="S50" s="1"/>
  <c r="R35"/>
  <c r="R50" s="1"/>
  <c r="Q35"/>
  <c r="O35" s="1"/>
  <c r="O52" s="1"/>
  <c r="K35"/>
  <c r="J35"/>
  <c r="E35"/>
  <c r="E52" s="1"/>
  <c r="AC33"/>
  <c r="AB33"/>
  <c r="AA33"/>
  <c r="Z33"/>
  <c r="X33"/>
  <c r="W33"/>
  <c r="V33"/>
  <c r="U33"/>
  <c r="S33"/>
  <c r="R33"/>
  <c r="Q33"/>
  <c r="P33"/>
  <c r="O33"/>
  <c r="N33"/>
  <c r="M33"/>
  <c r="L33"/>
  <c r="K33"/>
  <c r="I33"/>
  <c r="H33"/>
  <c r="G33"/>
  <c r="Y32"/>
  <c r="Y33" s="1"/>
  <c r="T32"/>
  <c r="T33" s="1"/>
  <c r="O32"/>
  <c r="K32"/>
  <c r="J32"/>
  <c r="J33" s="1"/>
  <c r="F32"/>
  <c r="F33" s="1"/>
  <c r="AC30"/>
  <c r="AB30"/>
  <c r="AA30"/>
  <c r="Z30"/>
  <c r="Y30"/>
  <c r="X30"/>
  <c r="W30"/>
  <c r="V30"/>
  <c r="U30"/>
  <c r="T30"/>
  <c r="T87" s="1"/>
  <c r="S30"/>
  <c r="R30"/>
  <c r="Q30"/>
  <c r="P30"/>
  <c r="N30"/>
  <c r="M30"/>
  <c r="L30"/>
  <c r="K30"/>
  <c r="I30"/>
  <c r="H30"/>
  <c r="G30"/>
  <c r="F30"/>
  <c r="E30"/>
  <c r="AC29"/>
  <c r="AB29"/>
  <c r="AA29"/>
  <c r="Z29"/>
  <c r="X29"/>
  <c r="W29"/>
  <c r="V29"/>
  <c r="U29"/>
  <c r="S29"/>
  <c r="R29"/>
  <c r="Q29"/>
  <c r="P29"/>
  <c r="N29"/>
  <c r="M29"/>
  <c r="L29"/>
  <c r="I29"/>
  <c r="H29"/>
  <c r="G29"/>
  <c r="AC28"/>
  <c r="AB28"/>
  <c r="AA28"/>
  <c r="Z28"/>
  <c r="Y28"/>
  <c r="Y88" s="1"/>
  <c r="X28"/>
  <c r="W28"/>
  <c r="V28"/>
  <c r="U28"/>
  <c r="S28"/>
  <c r="R28"/>
  <c r="Q28"/>
  <c r="Q27" s="1"/>
  <c r="P28"/>
  <c r="P27" s="1"/>
  <c r="P82" s="1"/>
  <c r="O28"/>
  <c r="N28"/>
  <c r="M28"/>
  <c r="L28"/>
  <c r="I28"/>
  <c r="H28"/>
  <c r="G28"/>
  <c r="AC27"/>
  <c r="AC82" s="1"/>
  <c r="AB27"/>
  <c r="AB82" s="1"/>
  <c r="AA27"/>
  <c r="Z27"/>
  <c r="Z82" s="1"/>
  <c r="X27"/>
  <c r="X82" s="1"/>
  <c r="W27"/>
  <c r="W82" s="1"/>
  <c r="V27"/>
  <c r="U27"/>
  <c r="U82" s="1"/>
  <c r="S27"/>
  <c r="S82" s="1"/>
  <c r="R27"/>
  <c r="R82" s="1"/>
  <c r="N27"/>
  <c r="N82" s="1"/>
  <c r="M27"/>
  <c r="M82" s="1"/>
  <c r="L27"/>
  <c r="L82" s="1"/>
  <c r="H27"/>
  <c r="H82" s="1"/>
  <c r="G27"/>
  <c r="G82" s="1"/>
  <c r="Y26"/>
  <c r="T26"/>
  <c r="O26"/>
  <c r="J26"/>
  <c r="F26"/>
  <c r="E26" s="1"/>
  <c r="AD26" s="1"/>
  <c r="T25"/>
  <c r="O25"/>
  <c r="J25"/>
  <c r="AD25" s="1"/>
  <c r="T24"/>
  <c r="O24"/>
  <c r="O30" s="1"/>
  <c r="O87" s="1"/>
  <c r="J24"/>
  <c r="J30" s="1"/>
  <c r="T23"/>
  <c r="O23"/>
  <c r="O29" s="1"/>
  <c r="Y22"/>
  <c r="T22"/>
  <c r="O22"/>
  <c r="J22"/>
  <c r="F22"/>
  <c r="F29" s="1"/>
  <c r="Y21"/>
  <c r="T21"/>
  <c r="O21"/>
  <c r="J21"/>
  <c r="E21"/>
  <c r="AD21" s="1"/>
  <c r="AD20"/>
  <c r="Y20"/>
  <c r="T20"/>
  <c r="O20"/>
  <c r="J20"/>
  <c r="E20"/>
  <c r="J19"/>
  <c r="E19"/>
  <c r="AD19" s="1"/>
  <c r="T18"/>
  <c r="O18"/>
  <c r="J18"/>
  <c r="AD18" s="1"/>
  <c r="F18"/>
  <c r="E18"/>
  <c r="Y17"/>
  <c r="Y29" s="1"/>
  <c r="T17"/>
  <c r="O17"/>
  <c r="J17"/>
  <c r="AD17" s="1"/>
  <c r="E17"/>
  <c r="I16"/>
  <c r="F16"/>
  <c r="E16" s="1"/>
  <c r="AD16" s="1"/>
  <c r="T15"/>
  <c r="T29" s="1"/>
  <c r="O15"/>
  <c r="J15"/>
  <c r="F15"/>
  <c r="E15"/>
  <c r="Y14"/>
  <c r="T14"/>
  <c r="I14"/>
  <c r="I27" s="1"/>
  <c r="I82" s="1"/>
  <c r="C94" s="1"/>
  <c r="F14"/>
  <c r="F27" s="1"/>
  <c r="Y13"/>
  <c r="T13"/>
  <c r="T27" s="1"/>
  <c r="K13"/>
  <c r="K28" s="1"/>
  <c r="F13"/>
  <c r="F28" s="1"/>
  <c r="E28" s="1"/>
  <c r="E13"/>
  <c r="K64" i="19"/>
  <c r="K23"/>
  <c r="K18"/>
  <c r="K71"/>
  <c r="K58"/>
  <c r="K46"/>
  <c r="K13"/>
  <c r="C96" i="23" l="1"/>
  <c r="J80" i="20"/>
  <c r="AD80" s="1"/>
  <c r="AD81"/>
  <c r="K73"/>
  <c r="AD64"/>
  <c r="AD65" s="1"/>
  <c r="K61"/>
  <c r="J61" s="1"/>
  <c r="K60"/>
  <c r="AD58"/>
  <c r="AD61" s="1"/>
  <c r="AD60" s="1"/>
  <c r="K50"/>
  <c r="J29"/>
  <c r="Y86"/>
  <c r="J74"/>
  <c r="AD77"/>
  <c r="E61"/>
  <c r="E60" s="1"/>
  <c r="AD59"/>
  <c r="AD67"/>
  <c r="AD68" s="1"/>
  <c r="J68"/>
  <c r="AA82"/>
  <c r="Y82" s="1"/>
  <c r="J87"/>
  <c r="AD30"/>
  <c r="AD47"/>
  <c r="T50"/>
  <c r="J88"/>
  <c r="C88"/>
  <c r="E50"/>
  <c r="AD51"/>
  <c r="V82"/>
  <c r="T82" s="1"/>
  <c r="F82"/>
  <c r="T86"/>
  <c r="O86"/>
  <c r="O89" s="1"/>
  <c r="Y87"/>
  <c r="AD46"/>
  <c r="O27"/>
  <c r="E22"/>
  <c r="AD22" s="1"/>
  <c r="T28"/>
  <c r="T88" s="1"/>
  <c r="J13"/>
  <c r="J28" s="1"/>
  <c r="J27" s="1"/>
  <c r="AD15"/>
  <c r="AD24"/>
  <c r="Y27"/>
  <c r="E32"/>
  <c r="J43"/>
  <c r="AD43" s="1"/>
  <c r="AA50"/>
  <c r="K68"/>
  <c r="E70"/>
  <c r="T73"/>
  <c r="AD76"/>
  <c r="C87"/>
  <c r="O88"/>
  <c r="K29"/>
  <c r="K27" s="1"/>
  <c r="E14"/>
  <c r="AD14" s="1"/>
  <c r="V50"/>
  <c r="Y60"/>
  <c r="K65"/>
  <c r="Y74"/>
  <c r="Q50"/>
  <c r="Q82" s="1"/>
  <c r="J73"/>
  <c r="K74"/>
  <c r="AD35"/>
  <c r="E54"/>
  <c r="Y101" i="19"/>
  <c r="B99"/>
  <c r="K82" i="20" l="1"/>
  <c r="J82" s="1"/>
  <c r="O82"/>
  <c r="C96"/>
  <c r="D110"/>
  <c r="Y91"/>
  <c r="J52"/>
  <c r="E29"/>
  <c r="AD32"/>
  <c r="AD33" s="1"/>
  <c r="E33"/>
  <c r="AD54"/>
  <c r="AD55" s="1"/>
  <c r="E55"/>
  <c r="AD28"/>
  <c r="AC87"/>
  <c r="AC88"/>
  <c r="AD13"/>
  <c r="E73"/>
  <c r="E74"/>
  <c r="AD70"/>
  <c r="B99"/>
  <c r="C90" i="19"/>
  <c r="O89"/>
  <c r="Y88"/>
  <c r="T88" s="1"/>
  <c r="O88" s="1"/>
  <c r="C88"/>
  <c r="C87"/>
  <c r="C95" i="20" l="1"/>
  <c r="C97" s="1"/>
  <c r="J50"/>
  <c r="AD50" s="1"/>
  <c r="AD52"/>
  <c r="J86"/>
  <c r="J90" s="1"/>
  <c r="AD74"/>
  <c r="AD73"/>
  <c r="AD29"/>
  <c r="AD27" s="1"/>
  <c r="C86"/>
  <c r="E27"/>
  <c r="E82" s="1"/>
  <c r="T86" i="19"/>
  <c r="O86"/>
  <c r="AD82" i="20" l="1"/>
  <c r="C90"/>
  <c r="AC86"/>
  <c r="AC91" s="1"/>
  <c r="AC97" s="1"/>
  <c r="AB82" i="19"/>
  <c r="AA82"/>
  <c r="Z82" s="1"/>
  <c r="Y82" s="1"/>
  <c r="X82" s="1"/>
  <c r="W82" s="1"/>
  <c r="V82"/>
  <c r="U82" s="1"/>
  <c r="T82" s="1"/>
  <c r="S82" s="1"/>
  <c r="R82" s="1"/>
  <c r="Q82" s="1"/>
  <c r="P82" s="1"/>
  <c r="O82"/>
  <c r="N82" s="1"/>
  <c r="M82" s="1"/>
  <c r="E82"/>
  <c r="AD81"/>
  <c r="AC81"/>
  <c r="AB81"/>
  <c r="AA81"/>
  <c r="Z81"/>
  <c r="Y81"/>
  <c r="X81"/>
  <c r="W81"/>
  <c r="V81"/>
  <c r="U81"/>
  <c r="T81" s="1"/>
  <c r="S81"/>
  <c r="R81"/>
  <c r="Q81"/>
  <c r="P81"/>
  <c r="O81" s="1"/>
  <c r="N81"/>
  <c r="M81"/>
  <c r="L81"/>
  <c r="K81"/>
  <c r="J81" s="1"/>
  <c r="I81"/>
  <c r="H81"/>
  <c r="G81"/>
  <c r="F81"/>
  <c r="E81"/>
  <c r="AD80" s="1"/>
  <c r="T80"/>
  <c r="J80"/>
  <c r="AD79"/>
  <c r="T79"/>
  <c r="J79"/>
  <c r="AD77"/>
  <c r="AC77"/>
  <c r="AB77"/>
  <c r="AA77"/>
  <c r="Z77"/>
  <c r="Y77"/>
  <c r="X77"/>
  <c r="W77"/>
  <c r="V77"/>
  <c r="U77"/>
  <c r="T77" s="1"/>
  <c r="S77"/>
  <c r="R77"/>
  <c r="Q77"/>
  <c r="P77"/>
  <c r="O77" s="1"/>
  <c r="N77"/>
  <c r="M77"/>
  <c r="L77"/>
  <c r="K77"/>
  <c r="J77" s="1"/>
  <c r="F77"/>
  <c r="E77" s="1"/>
  <c r="AD76"/>
  <c r="Y76"/>
  <c r="T76"/>
  <c r="O76"/>
  <c r="J76"/>
  <c r="F76"/>
  <c r="E76"/>
  <c r="Z74"/>
  <c r="Y74"/>
  <c r="U74"/>
  <c r="T74" s="1"/>
  <c r="P74" s="1"/>
  <c r="O74" s="1"/>
  <c r="K74"/>
  <c r="E74"/>
  <c r="AC73"/>
  <c r="AB73"/>
  <c r="AA73"/>
  <c r="Z73"/>
  <c r="Y73" s="1"/>
  <c r="X73"/>
  <c r="W73"/>
  <c r="V73"/>
  <c r="U73"/>
  <c r="T73"/>
  <c r="S73"/>
  <c r="R73"/>
  <c r="Q73"/>
  <c r="P73"/>
  <c r="O73" s="1"/>
  <c r="N73"/>
  <c r="M73"/>
  <c r="L73"/>
  <c r="K73" s="1"/>
  <c r="I73"/>
  <c r="H73"/>
  <c r="G73"/>
  <c r="F73"/>
  <c r="E73" s="1"/>
  <c r="AD72" s="1"/>
  <c r="Y72"/>
  <c r="T72"/>
  <c r="O72"/>
  <c r="J72"/>
  <c r="E72"/>
  <c r="Y71"/>
  <c r="T71"/>
  <c r="O71"/>
  <c r="J71"/>
  <c r="J73" s="1"/>
  <c r="E71"/>
  <c r="AD70"/>
  <c r="Y70"/>
  <c r="T70"/>
  <c r="O70"/>
  <c r="K70"/>
  <c r="J70"/>
  <c r="F70"/>
  <c r="E70"/>
  <c r="AD68" s="1"/>
  <c r="AC68"/>
  <c r="AB68"/>
  <c r="AA68"/>
  <c r="Z68"/>
  <c r="Y68"/>
  <c r="X68"/>
  <c r="W68"/>
  <c r="V68"/>
  <c r="U68"/>
  <c r="T68" s="1"/>
  <c r="S68"/>
  <c r="R68"/>
  <c r="Q68"/>
  <c r="P68"/>
  <c r="O68" s="1"/>
  <c r="N68"/>
  <c r="M68"/>
  <c r="L68"/>
  <c r="K68"/>
  <c r="J68" s="1"/>
  <c r="I68"/>
  <c r="H68"/>
  <c r="G68"/>
  <c r="F68" s="1"/>
  <c r="E68"/>
  <c r="AD67"/>
  <c r="T67"/>
  <c r="O67"/>
  <c r="K67"/>
  <c r="J67"/>
  <c r="F67"/>
  <c r="E67"/>
  <c r="AC65"/>
  <c r="AB65"/>
  <c r="AA65"/>
  <c r="Z65"/>
  <c r="Y65"/>
  <c r="X65"/>
  <c r="W65"/>
  <c r="V65"/>
  <c r="U65"/>
  <c r="T65"/>
  <c r="S65"/>
  <c r="R65"/>
  <c r="Q65"/>
  <c r="P65"/>
  <c r="O65" s="1"/>
  <c r="N65"/>
  <c r="M65"/>
  <c r="L65"/>
  <c r="K65"/>
  <c r="I65"/>
  <c r="H65"/>
  <c r="G65"/>
  <c r="F65"/>
  <c r="E65" s="1"/>
  <c r="AD64"/>
  <c r="O64"/>
  <c r="J64"/>
  <c r="F64"/>
  <c r="E64"/>
  <c r="AD62" s="1"/>
  <c r="F62" s="1"/>
  <c r="E62" s="1"/>
  <c r="Z61"/>
  <c r="Y61" s="1"/>
  <c r="U61"/>
  <c r="T61"/>
  <c r="P61"/>
  <c r="O61"/>
  <c r="K61" s="1"/>
  <c r="J61" s="1"/>
  <c r="F61"/>
  <c r="E61"/>
  <c r="AC60"/>
  <c r="AB60"/>
  <c r="AA60"/>
  <c r="Z60"/>
  <c r="Y60"/>
  <c r="X60"/>
  <c r="W60"/>
  <c r="V60"/>
  <c r="U60"/>
  <c r="T60" s="1"/>
  <c r="S60"/>
  <c r="R60"/>
  <c r="Q60"/>
  <c r="P60"/>
  <c r="O60"/>
  <c r="N60"/>
  <c r="M60"/>
  <c r="L60"/>
  <c r="K60"/>
  <c r="I60"/>
  <c r="H60"/>
  <c r="G60"/>
  <c r="F60" s="1"/>
  <c r="E60" s="1"/>
  <c r="AD59"/>
  <c r="Y59"/>
  <c r="T59"/>
  <c r="O59"/>
  <c r="J59"/>
  <c r="F59"/>
  <c r="E59" s="1"/>
  <c r="Y58"/>
  <c r="T58"/>
  <c r="O58"/>
  <c r="J58"/>
  <c r="E58"/>
  <c r="AD57" s="1"/>
  <c r="Y57"/>
  <c r="T57"/>
  <c r="O57"/>
  <c r="J57"/>
  <c r="F57"/>
  <c r="E57"/>
  <c r="AD55" s="1"/>
  <c r="AC55"/>
  <c r="AB55"/>
  <c r="AA55"/>
  <c r="Z55"/>
  <c r="Y55" s="1"/>
  <c r="X55"/>
  <c r="W55"/>
  <c r="V55"/>
  <c r="U55"/>
  <c r="T55" s="1"/>
  <c r="S55"/>
  <c r="R55"/>
  <c r="Q55"/>
  <c r="P55"/>
  <c r="O55"/>
  <c r="N55"/>
  <c r="M55"/>
  <c r="L55"/>
  <c r="K55"/>
  <c r="J55"/>
  <c r="I55"/>
  <c r="H55"/>
  <c r="G55"/>
  <c r="F55"/>
  <c r="E55" s="1"/>
  <c r="AD54"/>
  <c r="Y54"/>
  <c r="T54"/>
  <c r="O54"/>
  <c r="J54"/>
  <c r="F54"/>
  <c r="E54"/>
  <c r="Z52"/>
  <c r="Y52" s="1"/>
  <c r="U52"/>
  <c r="T52" s="1"/>
  <c r="P52"/>
  <c r="O52" s="1"/>
  <c r="K52" s="1"/>
  <c r="H52"/>
  <c r="F52" s="1"/>
  <c r="E52"/>
  <c r="AD51"/>
  <c r="AC51"/>
  <c r="AB51"/>
  <c r="AA51"/>
  <c r="Z51"/>
  <c r="Y51" s="1"/>
  <c r="X51"/>
  <c r="W51"/>
  <c r="V51"/>
  <c r="U51"/>
  <c r="T51" s="1"/>
  <c r="S51"/>
  <c r="R51"/>
  <c r="Q51"/>
  <c r="P51"/>
  <c r="O51"/>
  <c r="N51"/>
  <c r="M51"/>
  <c r="L51"/>
  <c r="K51"/>
  <c r="J51"/>
  <c r="I51"/>
  <c r="H51"/>
  <c r="F51" s="1"/>
  <c r="E51"/>
  <c r="Z50"/>
  <c r="Y50"/>
  <c r="X50" s="1"/>
  <c r="W50" s="1"/>
  <c r="V50"/>
  <c r="U50"/>
  <c r="T50"/>
  <c r="S50" s="1"/>
  <c r="R50" s="1"/>
  <c r="Q50"/>
  <c r="P50"/>
  <c r="O50" s="1"/>
  <c r="N50"/>
  <c r="M50"/>
  <c r="L50"/>
  <c r="I50"/>
  <c r="H50"/>
  <c r="G50"/>
  <c r="F50" s="1"/>
  <c r="E50"/>
  <c r="AD49" s="1"/>
  <c r="Y49"/>
  <c r="T49"/>
  <c r="O49"/>
  <c r="J49"/>
  <c r="F49"/>
  <c r="E49"/>
  <c r="AD48"/>
  <c r="Y48"/>
  <c r="T48"/>
  <c r="F48"/>
  <c r="E48"/>
  <c r="T47"/>
  <c r="O47"/>
  <c r="K47"/>
  <c r="J47"/>
  <c r="G47"/>
  <c r="F47"/>
  <c r="E47" s="1"/>
  <c r="Y46"/>
  <c r="T46"/>
  <c r="O46"/>
  <c r="J46"/>
  <c r="AD46" s="1"/>
  <c r="F46"/>
  <c r="E46" s="1"/>
  <c r="AD45" s="1"/>
  <c r="Y45"/>
  <c r="T45"/>
  <c r="O45"/>
  <c r="J45"/>
  <c r="E45"/>
  <c r="AD44" s="1"/>
  <c r="Y44"/>
  <c r="T44"/>
  <c r="O44"/>
  <c r="J44"/>
  <c r="E44"/>
  <c r="AD65" l="1"/>
  <c r="J65"/>
  <c r="AD71"/>
  <c r="J74"/>
  <c r="F74" s="1"/>
  <c r="AD61"/>
  <c r="AD60" s="1"/>
  <c r="J60"/>
  <c r="J87" s="1"/>
  <c r="AC87" s="1"/>
  <c r="Y87" s="1"/>
  <c r="T87" s="1"/>
  <c r="O87" s="1"/>
  <c r="AD58"/>
  <c r="AD47"/>
  <c r="L82"/>
  <c r="K50"/>
  <c r="J50" s="1"/>
  <c r="AD50" s="1"/>
  <c r="AC50" s="1"/>
  <c r="AB50" s="1"/>
  <c r="AA50" s="1"/>
  <c r="J52"/>
  <c r="AD52" s="1"/>
  <c r="AD43"/>
  <c r="Y43"/>
  <c r="T43"/>
  <c r="O43"/>
  <c r="K43"/>
  <c r="J43"/>
  <c r="F43"/>
  <c r="E43"/>
  <c r="AD42" s="1"/>
  <c r="Y42"/>
  <c r="T42"/>
  <c r="O42"/>
  <c r="J42"/>
  <c r="E42"/>
  <c r="AD41" s="1"/>
  <c r="Y41"/>
  <c r="T41"/>
  <c r="O41"/>
  <c r="J41"/>
  <c r="E41"/>
  <c r="AD40" s="1"/>
  <c r="Y40"/>
  <c r="T40"/>
  <c r="O40"/>
  <c r="J40"/>
  <c r="E40"/>
  <c r="AD39" s="1"/>
  <c r="Y39"/>
  <c r="T39"/>
  <c r="O39"/>
  <c r="K39"/>
  <c r="J39"/>
  <c r="E39"/>
  <c r="AD38"/>
  <c r="Y38"/>
  <c r="T38"/>
  <c r="O38"/>
  <c r="AD74" l="1"/>
  <c r="AD73"/>
  <c r="D110"/>
  <c r="C96"/>
  <c r="K38"/>
  <c r="J38" s="1"/>
  <c r="E38"/>
  <c r="AD37" s="1"/>
  <c r="Y37"/>
  <c r="T37"/>
  <c r="O37"/>
  <c r="J37"/>
  <c r="E37"/>
  <c r="AD36" s="1"/>
  <c r="Y36"/>
  <c r="T36"/>
  <c r="O36"/>
  <c r="J36"/>
  <c r="E36"/>
  <c r="AD35"/>
  <c r="AC35"/>
  <c r="AB35"/>
  <c r="AA35"/>
  <c r="Y35"/>
  <c r="X35"/>
  <c r="W35"/>
  <c r="V35"/>
  <c r="T35" s="1"/>
  <c r="S35"/>
  <c r="R35"/>
  <c r="Q35"/>
  <c r="O35" s="1"/>
  <c r="K35"/>
  <c r="J35"/>
  <c r="E35"/>
  <c r="AD33" s="1"/>
  <c r="AC33"/>
  <c r="AB33"/>
  <c r="AA33"/>
  <c r="Z33"/>
  <c r="Y33" s="1"/>
  <c r="X33"/>
  <c r="W33"/>
  <c r="V33"/>
  <c r="U33"/>
  <c r="T33"/>
  <c r="S33"/>
  <c r="R33"/>
  <c r="Q33"/>
  <c r="P33"/>
  <c r="O33" s="1"/>
  <c r="N33"/>
  <c r="M33"/>
  <c r="L33"/>
  <c r="K33"/>
  <c r="J33" s="1"/>
  <c r="I33"/>
  <c r="H33"/>
  <c r="G33"/>
  <c r="F33" s="1"/>
  <c r="E33"/>
  <c r="AD32" s="1"/>
  <c r="Y32"/>
  <c r="T32"/>
  <c r="O32"/>
  <c r="K32"/>
  <c r="J32"/>
  <c r="F32"/>
  <c r="E32"/>
  <c r="AD30"/>
  <c r="AC30"/>
  <c r="AB30"/>
  <c r="AA30"/>
  <c r="Z30"/>
  <c r="Y30"/>
  <c r="X30"/>
  <c r="W30"/>
  <c r="V30"/>
  <c r="U30"/>
  <c r="T30" s="1"/>
  <c r="S30"/>
  <c r="R30"/>
  <c r="Q30"/>
  <c r="P30"/>
  <c r="O30"/>
  <c r="N30"/>
  <c r="M30"/>
  <c r="L30"/>
  <c r="K30"/>
  <c r="J30" s="1"/>
  <c r="I30"/>
  <c r="H30"/>
  <c r="G30"/>
  <c r="F30"/>
  <c r="E30"/>
  <c r="AC29"/>
  <c r="AB29"/>
  <c r="AA29"/>
  <c r="Z29"/>
  <c r="Y29" s="1"/>
  <c r="X29"/>
  <c r="W29"/>
  <c r="V29"/>
  <c r="U29"/>
  <c r="T29" s="1"/>
  <c r="S29"/>
  <c r="R29"/>
  <c r="Q29"/>
  <c r="P29"/>
  <c r="O29" s="1"/>
  <c r="N29"/>
  <c r="M29"/>
  <c r="L29"/>
  <c r="K29" s="1"/>
  <c r="I29"/>
  <c r="H29"/>
  <c r="G29"/>
  <c r="F29" s="1"/>
  <c r="E29"/>
  <c r="AC28"/>
  <c r="AB28"/>
  <c r="AA28"/>
  <c r="Z28"/>
  <c r="Y28" s="1"/>
  <c r="X28"/>
  <c r="W28"/>
  <c r="V28"/>
  <c r="U28"/>
  <c r="T28" s="1"/>
  <c r="S28"/>
  <c r="R28"/>
  <c r="Q28"/>
  <c r="P28"/>
  <c r="O28"/>
  <c r="N28"/>
  <c r="M28"/>
  <c r="L28"/>
  <c r="K28"/>
  <c r="H28"/>
  <c r="G28"/>
  <c r="F28"/>
  <c r="E28" s="1"/>
  <c r="AC27"/>
  <c r="AB27"/>
  <c r="AA27"/>
  <c r="Z27"/>
  <c r="Y27"/>
  <c r="X27"/>
  <c r="W27"/>
  <c r="V27"/>
  <c r="U27"/>
  <c r="T27"/>
  <c r="S27"/>
  <c r="R27"/>
  <c r="Q27"/>
  <c r="P27"/>
  <c r="O27" s="1"/>
  <c r="N27"/>
  <c r="M27"/>
  <c r="L27"/>
  <c r="I27"/>
  <c r="H27"/>
  <c r="G27"/>
  <c r="F27" s="1"/>
  <c r="E27"/>
  <c r="AD26" s="1"/>
  <c r="Y26"/>
  <c r="T26"/>
  <c r="O26"/>
  <c r="J26"/>
  <c r="F26"/>
  <c r="E26" s="1"/>
  <c r="AD25" s="1"/>
  <c r="T25"/>
  <c r="O25"/>
  <c r="J25"/>
  <c r="AD24"/>
  <c r="T24"/>
  <c r="O24"/>
  <c r="J24"/>
  <c r="T23"/>
  <c r="O23"/>
  <c r="J23"/>
  <c r="AD22" s="1"/>
  <c r="Y22"/>
  <c r="T22"/>
  <c r="O22"/>
  <c r="J22"/>
  <c r="F22"/>
  <c r="E22"/>
  <c r="AD21" s="1"/>
  <c r="Y21"/>
  <c r="T21"/>
  <c r="O21"/>
  <c r="J21"/>
  <c r="E21"/>
  <c r="AD20" s="1"/>
  <c r="Y20"/>
  <c r="T20"/>
  <c r="O20"/>
  <c r="J20"/>
  <c r="E20"/>
  <c r="AD19" s="1"/>
  <c r="J19"/>
  <c r="E19"/>
  <c r="T18"/>
  <c r="O18"/>
  <c r="J18"/>
  <c r="F18"/>
  <c r="E18"/>
  <c r="AD17" s="1"/>
  <c r="Y17"/>
  <c r="T17"/>
  <c r="O17"/>
  <c r="J17"/>
  <c r="E17"/>
  <c r="AD16" s="1"/>
  <c r="I16"/>
  <c r="F16"/>
  <c r="E16"/>
  <c r="AD15" s="1"/>
  <c r="T15"/>
  <c r="O15"/>
  <c r="J15"/>
  <c r="F15"/>
  <c r="E15"/>
  <c r="AD14" s="1"/>
  <c r="Y14"/>
  <c r="T14"/>
  <c r="I14"/>
  <c r="F14"/>
  <c r="E14"/>
  <c r="Y13"/>
  <c r="T13"/>
  <c r="J13"/>
  <c r="F13"/>
  <c r="E13"/>
  <c r="D110" i="18"/>
  <c r="Y101"/>
  <c r="B99"/>
  <c r="AC97" s="1"/>
  <c r="C97" s="1"/>
  <c r="C96" s="1"/>
  <c r="C95"/>
  <c r="C94" s="1"/>
  <c r="AC91" s="1"/>
  <c r="Y91" s="1"/>
  <c r="J90" s="1"/>
  <c r="C90"/>
  <c r="O89" s="1"/>
  <c r="AC88" s="1"/>
  <c r="Y88"/>
  <c r="T88" s="1"/>
  <c r="O88" s="1"/>
  <c r="J88" s="1"/>
  <c r="C88"/>
  <c r="AC87" s="1"/>
  <c r="Y87"/>
  <c r="T87" s="1"/>
  <c r="O87" s="1"/>
  <c r="J87" s="1"/>
  <c r="C87"/>
  <c r="AC86"/>
  <c r="Y86" s="1"/>
  <c r="T86"/>
  <c r="O86"/>
  <c r="J86"/>
  <c r="C86" s="1"/>
  <c r="AD82" s="1"/>
  <c r="AC82" s="1"/>
  <c r="AB82"/>
  <c r="AA82" s="1"/>
  <c r="Z82" s="1"/>
  <c r="Y82"/>
  <c r="X82" s="1"/>
  <c r="W82" s="1"/>
  <c r="V82"/>
  <c r="U82" s="1"/>
  <c r="T82"/>
  <c r="S82" s="1"/>
  <c r="R82"/>
  <c r="Q82" s="1"/>
  <c r="P82"/>
  <c r="O82" s="1"/>
  <c r="N82" s="1"/>
  <c r="M82" s="1"/>
  <c r="L82" s="1"/>
  <c r="K82"/>
  <c r="J82" s="1"/>
  <c r="I82" s="1"/>
  <c r="H82"/>
  <c r="G82" s="1"/>
  <c r="F82"/>
  <c r="E82"/>
  <c r="AD81"/>
  <c r="AC81"/>
  <c r="AB81"/>
  <c r="AA81"/>
  <c r="Z81"/>
  <c r="Y81"/>
  <c r="X81"/>
  <c r="W81"/>
  <c r="V81"/>
  <c r="U81"/>
  <c r="T81" s="1"/>
  <c r="S81"/>
  <c r="R81"/>
  <c r="Q81"/>
  <c r="P81"/>
  <c r="O81" s="1"/>
  <c r="N81"/>
  <c r="M81"/>
  <c r="L81"/>
  <c r="K81"/>
  <c r="J81" s="1"/>
  <c r="I81"/>
  <c r="H81"/>
  <c r="G81"/>
  <c r="F81"/>
  <c r="E81"/>
  <c r="AD80" s="1"/>
  <c r="T80"/>
  <c r="J80"/>
  <c r="AD79"/>
  <c r="T79"/>
  <c r="J79"/>
  <c r="AD77"/>
  <c r="AC77"/>
  <c r="AB77"/>
  <c r="AA77"/>
  <c r="Z77"/>
  <c r="Y77"/>
  <c r="X77"/>
  <c r="W77"/>
  <c r="V77"/>
  <c r="U77"/>
  <c r="T77" s="1"/>
  <c r="S77"/>
  <c r="R77"/>
  <c r="Q77"/>
  <c r="P77"/>
  <c r="O77"/>
  <c r="N77"/>
  <c r="M77"/>
  <c r="L77"/>
  <c r="K77"/>
  <c r="J77" s="1"/>
  <c r="F77"/>
  <c r="E77" s="1"/>
  <c r="AD76"/>
  <c r="Y76"/>
  <c r="T76"/>
  <c r="O76"/>
  <c r="J76"/>
  <c r="F76"/>
  <c r="E76"/>
  <c r="AD74"/>
  <c r="Z74"/>
  <c r="Y74"/>
  <c r="U74"/>
  <c r="T74" s="1"/>
  <c r="P74" s="1"/>
  <c r="O74" s="1"/>
  <c r="K74"/>
  <c r="J74" s="1"/>
  <c r="F74"/>
  <c r="E74"/>
  <c r="AD73"/>
  <c r="AC73"/>
  <c r="AB73"/>
  <c r="AA73"/>
  <c r="Z73"/>
  <c r="Y73" s="1"/>
  <c r="X73"/>
  <c r="W73"/>
  <c r="V73"/>
  <c r="U73"/>
  <c r="T73"/>
  <c r="S73"/>
  <c r="R73"/>
  <c r="Q73"/>
  <c r="P73"/>
  <c r="O73" s="1"/>
  <c r="N73"/>
  <c r="M73"/>
  <c r="L73"/>
  <c r="K73"/>
  <c r="J73"/>
  <c r="I73"/>
  <c r="H73"/>
  <c r="G73"/>
  <c r="F73"/>
  <c r="E73" s="1"/>
  <c r="AD72" s="1"/>
  <c r="Y72"/>
  <c r="T72"/>
  <c r="O72"/>
  <c r="J72"/>
  <c r="E72"/>
  <c r="AD71"/>
  <c r="Y71"/>
  <c r="T71"/>
  <c r="O71"/>
  <c r="K71"/>
  <c r="J71"/>
  <c r="E71"/>
  <c r="AD70"/>
  <c r="Y70"/>
  <c r="T70"/>
  <c r="O70"/>
  <c r="K70"/>
  <c r="J70"/>
  <c r="F70"/>
  <c r="E70"/>
  <c r="AD68" s="1"/>
  <c r="AC68"/>
  <c r="AB68"/>
  <c r="AA68"/>
  <c r="Z68"/>
  <c r="Y68"/>
  <c r="X68"/>
  <c r="W68"/>
  <c r="V68"/>
  <c r="U68"/>
  <c r="T68" s="1"/>
  <c r="S68"/>
  <c r="R68"/>
  <c r="Q68"/>
  <c r="P68"/>
  <c r="O68"/>
  <c r="N68"/>
  <c r="M68"/>
  <c r="L68"/>
  <c r="K68"/>
  <c r="J68" s="1"/>
  <c r="I68"/>
  <c r="H68"/>
  <c r="G68"/>
  <c r="F68" s="1"/>
  <c r="E68"/>
  <c r="AD67"/>
  <c r="T67"/>
  <c r="O67"/>
  <c r="K67"/>
  <c r="J67" s="1"/>
  <c r="F67"/>
  <c r="E67"/>
  <c r="AD65" s="1"/>
  <c r="AC65"/>
  <c r="AB65"/>
  <c r="AA65"/>
  <c r="Z65"/>
  <c r="Y65"/>
  <c r="X65"/>
  <c r="W65"/>
  <c r="V65"/>
  <c r="U65"/>
  <c r="T65"/>
  <c r="S65"/>
  <c r="R65"/>
  <c r="Q65"/>
  <c r="P65"/>
  <c r="O65" s="1"/>
  <c r="N65"/>
  <c r="M65"/>
  <c r="L65"/>
  <c r="K65"/>
  <c r="J65" s="1"/>
  <c r="I65"/>
  <c r="H65"/>
  <c r="G65"/>
  <c r="F65"/>
  <c r="E65"/>
  <c r="AD64" s="1"/>
  <c r="O64"/>
  <c r="J64"/>
  <c r="F64"/>
  <c r="E64"/>
  <c r="AD62" s="1"/>
  <c r="F62"/>
  <c r="E62" s="1"/>
  <c r="AD61" s="1"/>
  <c r="Z61"/>
  <c r="Y61" s="1"/>
  <c r="U61"/>
  <c r="T61"/>
  <c r="P61"/>
  <c r="O61" s="1"/>
  <c r="K61"/>
  <c r="J61" s="1"/>
  <c r="F61" s="1"/>
  <c r="E61"/>
  <c r="AD60" s="1"/>
  <c r="AC60"/>
  <c r="AB60"/>
  <c r="AA60"/>
  <c r="Z60"/>
  <c r="Y60"/>
  <c r="X60"/>
  <c r="W60"/>
  <c r="V60"/>
  <c r="U60"/>
  <c r="T60" s="1"/>
  <c r="S60"/>
  <c r="R60"/>
  <c r="Q60"/>
  <c r="P60"/>
  <c r="O60"/>
  <c r="N60"/>
  <c r="M60"/>
  <c r="L60"/>
  <c r="K60"/>
  <c r="J60"/>
  <c r="I60"/>
  <c r="H60"/>
  <c r="G60"/>
  <c r="F60" s="1"/>
  <c r="E60" s="1"/>
  <c r="AD59"/>
  <c r="Y59"/>
  <c r="T59"/>
  <c r="O59"/>
  <c r="J59"/>
  <c r="F59"/>
  <c r="E59"/>
  <c r="AD58" s="1"/>
  <c r="Y58"/>
  <c r="T58"/>
  <c r="O58"/>
  <c r="K58"/>
  <c r="J58"/>
  <c r="E58"/>
  <c r="AD57" s="1"/>
  <c r="Y57"/>
  <c r="T57"/>
  <c r="O57"/>
  <c r="J57"/>
  <c r="F57"/>
  <c r="E57"/>
  <c r="AD55" s="1"/>
  <c r="AC55"/>
  <c r="AB55"/>
  <c r="AA55"/>
  <c r="Z55"/>
  <c r="Y55" s="1"/>
  <c r="X55"/>
  <c r="W55"/>
  <c r="V55"/>
  <c r="U55"/>
  <c r="T55" s="1"/>
  <c r="S55"/>
  <c r="R55"/>
  <c r="Q55"/>
  <c r="P55"/>
  <c r="O55"/>
  <c r="N55"/>
  <c r="M55"/>
  <c r="L55"/>
  <c r="K55"/>
  <c r="J55" s="1"/>
  <c r="I55"/>
  <c r="H55"/>
  <c r="G55"/>
  <c r="F55" s="1"/>
  <c r="E55"/>
  <c r="AD54"/>
  <c r="Y54"/>
  <c r="T54"/>
  <c r="O54"/>
  <c r="J54"/>
  <c r="F54"/>
  <c r="E54"/>
  <c r="AD52"/>
  <c r="Z52"/>
  <c r="Y52" s="1"/>
  <c r="U52"/>
  <c r="T52" s="1"/>
  <c r="P52"/>
  <c r="O52"/>
  <c r="K52"/>
  <c r="J52"/>
  <c r="H52"/>
  <c r="F52"/>
  <c r="E52" s="1"/>
  <c r="AD51"/>
  <c r="AC51"/>
  <c r="AB51"/>
  <c r="AA51"/>
  <c r="Z51"/>
  <c r="Y51" s="1"/>
  <c r="X51"/>
  <c r="W51"/>
  <c r="V51"/>
  <c r="U51"/>
  <c r="T51"/>
  <c r="S51"/>
  <c r="R51"/>
  <c r="Q51"/>
  <c r="P51"/>
  <c r="O51"/>
  <c r="N51"/>
  <c r="M51"/>
  <c r="L51"/>
  <c r="K51"/>
  <c r="J51"/>
  <c r="I51"/>
  <c r="H51"/>
  <c r="F51" s="1"/>
  <c r="E51"/>
  <c r="AD50" s="1"/>
  <c r="AC50"/>
  <c r="AB50" s="1"/>
  <c r="AA50"/>
  <c r="Z50" s="1"/>
  <c r="Y50" s="1"/>
  <c r="X50" s="1"/>
  <c r="W50" s="1"/>
  <c r="V50" s="1"/>
  <c r="U50"/>
  <c r="T50" s="1"/>
  <c r="S50"/>
  <c r="R50" s="1"/>
  <c r="Q50"/>
  <c r="P50" s="1"/>
  <c r="O50" s="1"/>
  <c r="N50"/>
  <c r="M50"/>
  <c r="L50"/>
  <c r="K50" s="1"/>
  <c r="J50" s="1"/>
  <c r="I50"/>
  <c r="H50" s="1"/>
  <c r="G50"/>
  <c r="F50" s="1"/>
  <c r="E50"/>
  <c r="AD49" s="1"/>
  <c r="Y49"/>
  <c r="T49"/>
  <c r="O49"/>
  <c r="J49"/>
  <c r="F49"/>
  <c r="E49" s="1"/>
  <c r="AD48" s="1"/>
  <c r="Y48"/>
  <c r="T48"/>
  <c r="F48"/>
  <c r="E48"/>
  <c r="AD47" s="1"/>
  <c r="T47"/>
  <c r="O47"/>
  <c r="K47"/>
  <c r="J47"/>
  <c r="G47"/>
  <c r="F47"/>
  <c r="E47" s="1"/>
  <c r="AD46" s="1"/>
  <c r="Y46"/>
  <c r="T46"/>
  <c r="O46"/>
  <c r="K46"/>
  <c r="J46"/>
  <c r="F46"/>
  <c r="E46"/>
  <c r="AD45" s="1"/>
  <c r="Y45"/>
  <c r="T45"/>
  <c r="O45"/>
  <c r="J45"/>
  <c r="E45"/>
  <c r="AD44" s="1"/>
  <c r="Y44"/>
  <c r="T44"/>
  <c r="O44"/>
  <c r="J44"/>
  <c r="E44"/>
  <c r="AD43" s="1"/>
  <c r="Y43"/>
  <c r="T43"/>
  <c r="O43"/>
  <c r="J43"/>
  <c r="F43"/>
  <c r="E43" s="1"/>
  <c r="AD42" s="1"/>
  <c r="Y42"/>
  <c r="T42"/>
  <c r="O42"/>
  <c r="J42"/>
  <c r="E42"/>
  <c r="AD41"/>
  <c r="Y41"/>
  <c r="T41"/>
  <c r="O41"/>
  <c r="J41"/>
  <c r="E41"/>
  <c r="AD40" s="1"/>
  <c r="Y40"/>
  <c r="T40"/>
  <c r="O40"/>
  <c r="J40"/>
  <c r="E40"/>
  <c r="AD39" s="1"/>
  <c r="Y39"/>
  <c r="T39"/>
  <c r="O39"/>
  <c r="J39"/>
  <c r="E39"/>
  <c r="AD38" s="1"/>
  <c r="Y38"/>
  <c r="T38"/>
  <c r="O38"/>
  <c r="J38"/>
  <c r="E38"/>
  <c r="AD37" s="1"/>
  <c r="Y37"/>
  <c r="T37"/>
  <c r="O37"/>
  <c r="J37"/>
  <c r="E37"/>
  <c r="AD36"/>
  <c r="Y36"/>
  <c r="T36"/>
  <c r="O36"/>
  <c r="J36"/>
  <c r="E36"/>
  <c r="AD35" s="1"/>
  <c r="AC35"/>
  <c r="AB35"/>
  <c r="AA35"/>
  <c r="Y35"/>
  <c r="X35"/>
  <c r="W35"/>
  <c r="V35"/>
  <c r="T35"/>
  <c r="S35"/>
  <c r="R35"/>
  <c r="Q35"/>
  <c r="O35"/>
  <c r="K35"/>
  <c r="J35"/>
  <c r="E35"/>
  <c r="AD33" s="1"/>
  <c r="AC33"/>
  <c r="AB33"/>
  <c r="AA33"/>
  <c r="Z33"/>
  <c r="Y33"/>
  <c r="X33"/>
  <c r="W33"/>
  <c r="V33"/>
  <c r="U33"/>
  <c r="T33" s="1"/>
  <c r="S33"/>
  <c r="R33"/>
  <c r="Q33"/>
  <c r="P33"/>
  <c r="O33" s="1"/>
  <c r="N33"/>
  <c r="M33"/>
  <c r="L33"/>
  <c r="K33"/>
  <c r="J33" s="1"/>
  <c r="I33"/>
  <c r="H33"/>
  <c r="G33"/>
  <c r="F33" s="1"/>
  <c r="E33"/>
  <c r="AD32"/>
  <c r="Y32"/>
  <c r="T32"/>
  <c r="O32"/>
  <c r="K32"/>
  <c r="J32"/>
  <c r="F32"/>
  <c r="E32"/>
  <c r="AD30"/>
  <c r="AC30"/>
  <c r="AB30"/>
  <c r="AA30"/>
  <c r="Z30"/>
  <c r="Y30"/>
  <c r="X30"/>
  <c r="W30"/>
  <c r="V30"/>
  <c r="U30"/>
  <c r="T30" s="1"/>
  <c r="S30"/>
  <c r="R30"/>
  <c r="Q30"/>
  <c r="P30"/>
  <c r="O30"/>
  <c r="N30"/>
  <c r="M30"/>
  <c r="L30"/>
  <c r="K30"/>
  <c r="J30"/>
  <c r="I30"/>
  <c r="H30"/>
  <c r="G30"/>
  <c r="F30"/>
  <c r="E30"/>
  <c r="AD29"/>
  <c r="AC29"/>
  <c r="AB29"/>
  <c r="AA29"/>
  <c r="Z29"/>
  <c r="Y29" s="1"/>
  <c r="X29"/>
  <c r="W29"/>
  <c r="V29"/>
  <c r="U29"/>
  <c r="T29" s="1"/>
  <c r="S29"/>
  <c r="R29"/>
  <c r="Q29"/>
  <c r="P29"/>
  <c r="O29" s="1"/>
  <c r="N29"/>
  <c r="M29"/>
  <c r="L29"/>
  <c r="K29"/>
  <c r="J29"/>
  <c r="I29"/>
  <c r="H29"/>
  <c r="G29"/>
  <c r="F29" s="1"/>
  <c r="E29"/>
  <c r="AD28"/>
  <c r="AC28"/>
  <c r="AB28"/>
  <c r="AA28"/>
  <c r="Z28"/>
  <c r="Y28" s="1"/>
  <c r="X28"/>
  <c r="W28"/>
  <c r="V28"/>
  <c r="U28"/>
  <c r="T28" s="1"/>
  <c r="S28"/>
  <c r="R28"/>
  <c r="Q28"/>
  <c r="P28"/>
  <c r="O28"/>
  <c r="N28"/>
  <c r="M28"/>
  <c r="L28"/>
  <c r="K28"/>
  <c r="J28" s="1"/>
  <c r="I28" s="1"/>
  <c r="H28"/>
  <c r="G28"/>
  <c r="F28"/>
  <c r="E28"/>
  <c r="AD27"/>
  <c r="AC27"/>
  <c r="AB27"/>
  <c r="AA27"/>
  <c r="Z27" s="1"/>
  <c r="Y27"/>
  <c r="X27"/>
  <c r="W27"/>
  <c r="V27" s="1"/>
  <c r="U27"/>
  <c r="T27"/>
  <c r="S27"/>
  <c r="R27"/>
  <c r="Q27"/>
  <c r="P27"/>
  <c r="O27" s="1"/>
  <c r="N27"/>
  <c r="M27"/>
  <c r="L27"/>
  <c r="K27"/>
  <c r="J27" s="1"/>
  <c r="I27"/>
  <c r="H27"/>
  <c r="G27"/>
  <c r="F27"/>
  <c r="E27"/>
  <c r="AD26" s="1"/>
  <c r="Y26"/>
  <c r="T26"/>
  <c r="O26"/>
  <c r="J26"/>
  <c r="F26"/>
  <c r="E26"/>
  <c r="AD25" s="1"/>
  <c r="T25"/>
  <c r="O25"/>
  <c r="J25"/>
  <c r="AD24" s="1"/>
  <c r="T24"/>
  <c r="O24"/>
  <c r="J24"/>
  <c r="AD23" s="1"/>
  <c r="T23"/>
  <c r="O23"/>
  <c r="J23"/>
  <c r="AD22" s="1"/>
  <c r="Y22"/>
  <c r="T22"/>
  <c r="O22"/>
  <c r="J22"/>
  <c r="F22"/>
  <c r="E22" s="1"/>
  <c r="AD21" s="1"/>
  <c r="Y21"/>
  <c r="T21"/>
  <c r="O21"/>
  <c r="J21"/>
  <c r="E21"/>
  <c r="AD20" s="1"/>
  <c r="Y20"/>
  <c r="T20"/>
  <c r="O20"/>
  <c r="J20"/>
  <c r="E20"/>
  <c r="AD19" s="1"/>
  <c r="J19"/>
  <c r="E19"/>
  <c r="AD18" s="1"/>
  <c r="T18"/>
  <c r="O18"/>
  <c r="K18"/>
  <c r="J18"/>
  <c r="F18"/>
  <c r="E18"/>
  <c r="AD17" s="1"/>
  <c r="Y17"/>
  <c r="T17"/>
  <c r="O17"/>
  <c r="J17"/>
  <c r="E17"/>
  <c r="AD16" s="1"/>
  <c r="I16"/>
  <c r="F16"/>
  <c r="E16"/>
  <c r="AD15" s="1"/>
  <c r="T15"/>
  <c r="O15"/>
  <c r="J15"/>
  <c r="F15"/>
  <c r="E15"/>
  <c r="AD14" s="1"/>
  <c r="Y14"/>
  <c r="T14"/>
  <c r="I14"/>
  <c r="F14"/>
  <c r="E14"/>
  <c r="AD13" s="1"/>
  <c r="Y13"/>
  <c r="T13"/>
  <c r="K13"/>
  <c r="J13"/>
  <c r="F13"/>
  <c r="E13"/>
  <c r="D110" i="17"/>
  <c r="Y101"/>
  <c r="B99"/>
  <c r="AC97" s="1"/>
  <c r="C97" s="1"/>
  <c r="C96"/>
  <c r="C95"/>
  <c r="C94" s="1"/>
  <c r="AC91" s="1"/>
  <c r="Y91" s="1"/>
  <c r="J90" s="1"/>
  <c r="C90"/>
  <c r="O89" s="1"/>
  <c r="AC88" s="1"/>
  <c r="Y88"/>
  <c r="T88"/>
  <c r="O88" s="1"/>
  <c r="J88" s="1"/>
  <c r="C88"/>
  <c r="AC87" s="1"/>
  <c r="Y87" s="1"/>
  <c r="T87"/>
  <c r="O87"/>
  <c r="J87" s="1"/>
  <c r="C87"/>
  <c r="AD18" i="19" l="1"/>
  <c r="J28"/>
  <c r="J88"/>
  <c r="AC88" s="1"/>
  <c r="AD13"/>
  <c r="K27"/>
  <c r="K82" s="1"/>
  <c r="J82" s="1"/>
  <c r="I82" s="1"/>
  <c r="H82" s="1"/>
  <c r="G82" s="1"/>
  <c r="F82" s="1"/>
  <c r="AD23"/>
  <c r="J29"/>
  <c r="AC86" i="17"/>
  <c r="Y86" s="1"/>
  <c r="T86" s="1"/>
  <c r="O86"/>
  <c r="J86" s="1"/>
  <c r="C86"/>
  <c r="AD82"/>
  <c r="AC82" s="1"/>
  <c r="AB82"/>
  <c r="AA82" s="1"/>
  <c r="Z82"/>
  <c r="I28" i="19" l="1"/>
  <c r="AD28"/>
  <c r="C95"/>
  <c r="C94" s="1"/>
  <c r="J86"/>
  <c r="AD29"/>
  <c r="AD27" s="1"/>
  <c r="AD82" s="1"/>
  <c r="AC82" s="1"/>
  <c r="J27"/>
  <c r="Y82" i="17"/>
  <c r="X82" s="1"/>
  <c r="W82" s="1"/>
  <c r="V82"/>
  <c r="U82" s="1"/>
  <c r="T82"/>
  <c r="S82" s="1"/>
  <c r="R82" s="1"/>
  <c r="Q82"/>
  <c r="P82" s="1"/>
  <c r="O82"/>
  <c r="N82" s="1"/>
  <c r="M82" s="1"/>
  <c r="L82" s="1"/>
  <c r="K82" s="1"/>
  <c r="J82"/>
  <c r="I82" s="1"/>
  <c r="H82" s="1"/>
  <c r="G82" s="1"/>
  <c r="F82"/>
  <c r="E82"/>
  <c r="AD81"/>
  <c r="AC81"/>
  <c r="AB81"/>
  <c r="AA81"/>
  <c r="Z81"/>
  <c r="Y81" s="1"/>
  <c r="X81"/>
  <c r="W81"/>
  <c r="V81"/>
  <c r="U81" s="1"/>
  <c r="T81" s="1"/>
  <c r="S81"/>
  <c r="R81"/>
  <c r="Q81"/>
  <c r="P81"/>
  <c r="O81" s="1"/>
  <c r="N81"/>
  <c r="M81"/>
  <c r="L81"/>
  <c r="K81"/>
  <c r="J81" s="1"/>
  <c r="I81"/>
  <c r="H81"/>
  <c r="G81"/>
  <c r="F81"/>
  <c r="E81"/>
  <c r="AD80"/>
  <c r="T80"/>
  <c r="J80"/>
  <c r="AD79" s="1"/>
  <c r="T79"/>
  <c r="J79"/>
  <c r="C86" i="19" l="1"/>
  <c r="AC86"/>
  <c r="AD77" i="17"/>
  <c r="AC77"/>
  <c r="AB77"/>
  <c r="AA77"/>
  <c r="Z77"/>
  <c r="Y77" s="1"/>
  <c r="X77"/>
  <c r="W77"/>
  <c r="V77"/>
  <c r="U77"/>
  <c r="T77"/>
  <c r="S77"/>
  <c r="R77"/>
  <c r="Q77"/>
  <c r="P77"/>
  <c r="O77" s="1"/>
  <c r="N77"/>
  <c r="M77"/>
  <c r="L77"/>
  <c r="K77"/>
  <c r="J77" s="1"/>
  <c r="F77" s="1"/>
  <c r="E77"/>
  <c r="AD76"/>
  <c r="Y76"/>
  <c r="T76"/>
  <c r="O76"/>
  <c r="J76"/>
  <c r="F76"/>
  <c r="E76"/>
  <c r="AD74"/>
  <c r="Z74"/>
  <c r="Y74" s="1"/>
  <c r="U74"/>
  <c r="T74"/>
  <c r="P74" s="1"/>
  <c r="O74" s="1"/>
  <c r="K74"/>
  <c r="J74"/>
  <c r="F74"/>
  <c r="E74"/>
  <c r="AD73"/>
  <c r="AC73"/>
  <c r="AB73"/>
  <c r="AA73"/>
  <c r="Z73"/>
  <c r="Y73"/>
  <c r="X73"/>
  <c r="W73"/>
  <c r="V73"/>
  <c r="U73"/>
  <c r="T73" s="1"/>
  <c r="S73"/>
  <c r="R73"/>
  <c r="Q73"/>
  <c r="P73"/>
  <c r="O73" s="1"/>
  <c r="N73"/>
  <c r="M73"/>
  <c r="L73"/>
  <c r="K73"/>
  <c r="J73" s="1"/>
  <c r="I73"/>
  <c r="H73"/>
  <c r="G73"/>
  <c r="F73" s="1"/>
  <c r="E73"/>
  <c r="AD72" s="1"/>
  <c r="Y72"/>
  <c r="T72"/>
  <c r="O72"/>
  <c r="J72"/>
  <c r="E72"/>
  <c r="AD71" s="1"/>
  <c r="Y71"/>
  <c r="T71"/>
  <c r="O71"/>
  <c r="J71"/>
  <c r="E71"/>
  <c r="AD70"/>
  <c r="Y70"/>
  <c r="T70"/>
  <c r="O70"/>
  <c r="J70"/>
  <c r="F70"/>
  <c r="E70"/>
  <c r="AD68" s="1"/>
  <c r="AC68"/>
  <c r="AB68"/>
  <c r="AA68"/>
  <c r="Z68"/>
  <c r="Y68"/>
  <c r="X68"/>
  <c r="W68"/>
  <c r="V68"/>
  <c r="U68"/>
  <c r="T68" s="1"/>
  <c r="S68"/>
  <c r="R68"/>
  <c r="Q68"/>
  <c r="P68"/>
  <c r="O68" s="1"/>
  <c r="N68"/>
  <c r="M68"/>
  <c r="L68"/>
  <c r="K68" s="1"/>
  <c r="J68" s="1"/>
  <c r="I68"/>
  <c r="H68"/>
  <c r="G68"/>
  <c r="F68"/>
  <c r="E68"/>
  <c r="AD67" s="1"/>
  <c r="T67"/>
  <c r="O67"/>
  <c r="K67"/>
  <c r="J67"/>
  <c r="F67"/>
  <c r="E67"/>
  <c r="AD65" s="1"/>
  <c r="AC65"/>
  <c r="AB65"/>
  <c r="AA65"/>
  <c r="Z65"/>
  <c r="Y65"/>
  <c r="X65"/>
  <c r="W65"/>
  <c r="V65"/>
  <c r="U65"/>
  <c r="T65"/>
  <c r="S65"/>
  <c r="R65"/>
  <c r="Q65"/>
  <c r="P65"/>
  <c r="O65" s="1"/>
  <c r="N65"/>
  <c r="M65"/>
  <c r="L65"/>
  <c r="K65"/>
  <c r="J65" s="1"/>
  <c r="I65"/>
  <c r="H65"/>
  <c r="G65"/>
  <c r="F65"/>
  <c r="E65"/>
  <c r="AD64"/>
  <c r="O64"/>
  <c r="J64"/>
  <c r="F64"/>
  <c r="E64" s="1"/>
  <c r="AD62" s="1"/>
  <c r="F62"/>
  <c r="E62" s="1"/>
  <c r="AD61" s="1"/>
  <c r="Z61"/>
  <c r="Y61"/>
  <c r="U61"/>
  <c r="T61" s="1"/>
  <c r="P61"/>
  <c r="O61" s="1"/>
  <c r="K61"/>
  <c r="J61" s="1"/>
  <c r="F61" s="1"/>
  <c r="E61" s="1"/>
  <c r="AD60" s="1"/>
  <c r="AC60"/>
  <c r="AB60"/>
  <c r="AA60"/>
  <c r="Z60"/>
  <c r="Y60" s="1"/>
  <c r="X60"/>
  <c r="W60"/>
  <c r="V60"/>
  <c r="U60"/>
  <c r="T60"/>
  <c r="S60"/>
  <c r="R60"/>
  <c r="Q60"/>
  <c r="P60"/>
  <c r="O60"/>
  <c r="N60"/>
  <c r="M60"/>
  <c r="L60"/>
  <c r="K60"/>
  <c r="J60" s="1"/>
  <c r="I60"/>
  <c r="H60"/>
  <c r="G60"/>
  <c r="F60"/>
  <c r="E60" s="1"/>
  <c r="AD59"/>
  <c r="Y59"/>
  <c r="T59"/>
  <c r="O59"/>
  <c r="J59"/>
  <c r="F59"/>
  <c r="E59"/>
  <c r="AD58" s="1"/>
  <c r="Y58"/>
  <c r="T58"/>
  <c r="O58"/>
  <c r="J58"/>
  <c r="E58"/>
  <c r="AD57" s="1"/>
  <c r="Y57"/>
  <c r="T57"/>
  <c r="O57"/>
  <c r="J57"/>
  <c r="F57"/>
  <c r="E57" s="1"/>
  <c r="AD55" s="1"/>
  <c r="AC55"/>
  <c r="AB55"/>
  <c r="AA55"/>
  <c r="Z55"/>
  <c r="Y55" s="1"/>
  <c r="X55"/>
  <c r="W55"/>
  <c r="V55"/>
  <c r="U55"/>
  <c r="T55" s="1"/>
  <c r="S55"/>
  <c r="R55"/>
  <c r="Q55"/>
  <c r="P55"/>
  <c r="O55" s="1"/>
  <c r="N55"/>
  <c r="M55"/>
  <c r="L55"/>
  <c r="K55"/>
  <c r="J55"/>
  <c r="I55"/>
  <c r="H55"/>
  <c r="G55"/>
  <c r="F55"/>
  <c r="E55"/>
  <c r="AD54" s="1"/>
  <c r="Y54"/>
  <c r="T54"/>
  <c r="O54"/>
  <c r="J54"/>
  <c r="F54"/>
  <c r="E54"/>
  <c r="AD52" s="1"/>
  <c r="Z52"/>
  <c r="Y52" s="1"/>
  <c r="U52"/>
  <c r="T52" s="1"/>
  <c r="P52"/>
  <c r="O52" s="1"/>
  <c r="K52"/>
  <c r="J52" s="1"/>
  <c r="H52"/>
  <c r="F52" s="1"/>
  <c r="E52"/>
  <c r="AD51"/>
  <c r="AC51"/>
  <c r="AB51"/>
  <c r="AA51"/>
  <c r="Z51"/>
  <c r="Y51"/>
  <c r="X51"/>
  <c r="W51"/>
  <c r="V51"/>
  <c r="U51"/>
  <c r="T51" s="1"/>
  <c r="S51"/>
  <c r="R51"/>
  <c r="Q51"/>
  <c r="P51"/>
  <c r="O51"/>
  <c r="N51"/>
  <c r="M51"/>
  <c r="L51"/>
  <c r="K51"/>
  <c r="J51"/>
  <c r="I51"/>
  <c r="H51"/>
  <c r="F51" s="1"/>
  <c r="E51"/>
  <c r="AD50"/>
  <c r="AC50" s="1"/>
  <c r="AB50"/>
  <c r="AA50" s="1"/>
  <c r="Z50" s="1"/>
  <c r="Y50"/>
  <c r="X50" s="1"/>
  <c r="W50"/>
  <c r="V50" s="1"/>
  <c r="U50"/>
  <c r="T50"/>
  <c r="S50" s="1"/>
  <c r="R50" s="1"/>
  <c r="Q50" s="1"/>
  <c r="P50"/>
  <c r="O50" s="1"/>
  <c r="N50"/>
  <c r="M50"/>
  <c r="L50"/>
  <c r="K50"/>
  <c r="J50" s="1"/>
  <c r="I50"/>
  <c r="H50"/>
  <c r="G50"/>
  <c r="F50" s="1"/>
  <c r="E50"/>
  <c r="AD49" s="1"/>
  <c r="Y49"/>
  <c r="T49"/>
  <c r="O49"/>
  <c r="J49"/>
  <c r="F49"/>
  <c r="E49"/>
  <c r="AD48" s="1"/>
  <c r="Y48"/>
  <c r="T48"/>
  <c r="F48"/>
  <c r="E48"/>
  <c r="AD47" s="1"/>
  <c r="T47"/>
  <c r="O47"/>
  <c r="J47"/>
  <c r="G47"/>
  <c r="F47"/>
  <c r="E47" s="1"/>
  <c r="AD46" s="1"/>
  <c r="Y46"/>
  <c r="T46"/>
  <c r="O46"/>
  <c r="J46"/>
  <c r="F46"/>
  <c r="E46"/>
  <c r="AD45" s="1"/>
  <c r="Y45"/>
  <c r="T45"/>
  <c r="O45"/>
  <c r="J45"/>
  <c r="E45"/>
  <c r="AD44" s="1"/>
  <c r="Y44"/>
  <c r="T44"/>
  <c r="O44"/>
  <c r="J44"/>
  <c r="E44"/>
  <c r="AD43" s="1"/>
  <c r="Y43"/>
  <c r="T43"/>
  <c r="O43"/>
  <c r="J43"/>
  <c r="F43"/>
  <c r="E43"/>
  <c r="AD42" s="1"/>
  <c r="Y42"/>
  <c r="T42"/>
  <c r="O42"/>
  <c r="J42"/>
  <c r="E42"/>
  <c r="AD41" s="1"/>
  <c r="Y41"/>
  <c r="T41"/>
  <c r="O41"/>
  <c r="J41"/>
  <c r="E41"/>
  <c r="AD40" s="1"/>
  <c r="Y40"/>
  <c r="T40"/>
  <c r="O40"/>
  <c r="J40"/>
  <c r="E40"/>
  <c r="AD39" s="1"/>
  <c r="Y39"/>
  <c r="T39"/>
  <c r="O39"/>
  <c r="J39"/>
  <c r="E39"/>
  <c r="AD38" s="1"/>
  <c r="Y38"/>
  <c r="T38"/>
  <c r="O38"/>
  <c r="J38"/>
  <c r="E38"/>
  <c r="AD37" s="1"/>
  <c r="Y37"/>
  <c r="T37"/>
  <c r="O37"/>
  <c r="J37"/>
  <c r="E37"/>
  <c r="AD36" s="1"/>
  <c r="Y36"/>
  <c r="T36"/>
  <c r="O36"/>
  <c r="J36"/>
  <c r="E36"/>
  <c r="AD35"/>
  <c r="AC35"/>
  <c r="AB35"/>
  <c r="AA35"/>
  <c r="Y35" s="1"/>
  <c r="X35"/>
  <c r="W35"/>
  <c r="V35"/>
  <c r="T35" s="1"/>
  <c r="S35"/>
  <c r="R35"/>
  <c r="Q35"/>
  <c r="O35"/>
  <c r="J35"/>
  <c r="E35"/>
  <c r="AD33" s="1"/>
  <c r="AC33"/>
  <c r="AB33"/>
  <c r="AA33"/>
  <c r="Z33"/>
  <c r="Y33" s="1"/>
  <c r="X33"/>
  <c r="W33"/>
  <c r="V33"/>
  <c r="U33"/>
  <c r="T33" s="1"/>
  <c r="S33"/>
  <c r="R33"/>
  <c r="Q33"/>
  <c r="P33"/>
  <c r="O33" s="1"/>
  <c r="N33"/>
  <c r="M33"/>
  <c r="L33"/>
  <c r="K33"/>
  <c r="J33" s="1"/>
  <c r="I33"/>
  <c r="H33"/>
  <c r="G33"/>
  <c r="F33" s="1"/>
  <c r="E33"/>
  <c r="AD32"/>
  <c r="Y32"/>
  <c r="T32"/>
  <c r="O32"/>
  <c r="J32"/>
  <c r="F32"/>
  <c r="E32"/>
  <c r="AD30"/>
  <c r="AC30"/>
  <c r="AB30"/>
  <c r="AA30"/>
  <c r="Z30"/>
  <c r="Y30"/>
  <c r="X30"/>
  <c r="W30"/>
  <c r="V30"/>
  <c r="U30"/>
  <c r="T30"/>
  <c r="S30"/>
  <c r="R30"/>
  <c r="Q30"/>
  <c r="P30"/>
  <c r="O30"/>
  <c r="N30"/>
  <c r="M30"/>
  <c r="L30"/>
  <c r="K30"/>
  <c r="J30" s="1"/>
  <c r="I30"/>
  <c r="H30"/>
  <c r="G30"/>
  <c r="F30"/>
  <c r="E30"/>
  <c r="AD29"/>
  <c r="AC29"/>
  <c r="AB29"/>
  <c r="AA29"/>
  <c r="Z29"/>
  <c r="Y29" s="1"/>
  <c r="X29"/>
  <c r="W29"/>
  <c r="V29"/>
  <c r="U29"/>
  <c r="T29" s="1"/>
  <c r="S29"/>
  <c r="R29"/>
  <c r="Q29"/>
  <c r="P29"/>
  <c r="O29" s="1"/>
  <c r="N29"/>
  <c r="M29"/>
  <c r="L29"/>
  <c r="K29"/>
  <c r="J29" s="1"/>
  <c r="I29"/>
  <c r="H29"/>
  <c r="G29"/>
  <c r="F29" s="1"/>
  <c r="E29"/>
  <c r="AD28"/>
  <c r="AC28"/>
  <c r="AB28"/>
  <c r="AA28"/>
  <c r="Z28"/>
  <c r="Y28" s="1"/>
  <c r="X28"/>
  <c r="W28"/>
  <c r="V28"/>
  <c r="U28"/>
  <c r="T28"/>
  <c r="S28"/>
  <c r="R28"/>
  <c r="Q28"/>
  <c r="P28"/>
  <c r="O28"/>
  <c r="N28"/>
  <c r="M28"/>
  <c r="L28"/>
  <c r="K28"/>
  <c r="J28" s="1"/>
  <c r="I28" s="1"/>
  <c r="H28"/>
  <c r="G28"/>
  <c r="F28" s="1"/>
  <c r="E28" s="1"/>
  <c r="AD27"/>
  <c r="AC27"/>
  <c r="AB27"/>
  <c r="AA27"/>
  <c r="Z27"/>
  <c r="Y27"/>
  <c r="X27"/>
  <c r="W27"/>
  <c r="V27"/>
  <c r="U27"/>
  <c r="T27"/>
  <c r="S27"/>
  <c r="R27"/>
  <c r="Q27"/>
  <c r="P27"/>
  <c r="O27"/>
  <c r="N27"/>
  <c r="M27"/>
  <c r="L27"/>
  <c r="K27"/>
  <c r="J27"/>
  <c r="I27"/>
  <c r="H27"/>
  <c r="G27"/>
  <c r="F27"/>
  <c r="E27" s="1"/>
  <c r="AD26" s="1"/>
  <c r="Y26"/>
  <c r="T26"/>
  <c r="O26"/>
  <c r="J26"/>
  <c r="F26"/>
  <c r="E26"/>
  <c r="AD25"/>
  <c r="T25"/>
  <c r="O25"/>
  <c r="J25"/>
  <c r="AD24"/>
  <c r="T24"/>
  <c r="O24"/>
  <c r="J24"/>
  <c r="AD23" s="1"/>
  <c r="T23"/>
  <c r="O23"/>
  <c r="J23"/>
  <c r="AD22" s="1"/>
  <c r="Y22"/>
  <c r="T22"/>
  <c r="O22"/>
  <c r="J22"/>
  <c r="F22"/>
  <c r="E22" s="1"/>
  <c r="AD21" s="1"/>
  <c r="Y21"/>
  <c r="T21"/>
  <c r="O21"/>
  <c r="J21"/>
  <c r="E21"/>
  <c r="AD20" s="1"/>
  <c r="Y20"/>
  <c r="T20"/>
  <c r="O20"/>
  <c r="J20"/>
  <c r="E20"/>
  <c r="AD19"/>
  <c r="J19"/>
  <c r="E19"/>
  <c r="AD18" s="1"/>
  <c r="T18"/>
  <c r="O18"/>
  <c r="J18"/>
  <c r="F18"/>
  <c r="E18"/>
  <c r="AD17" s="1"/>
  <c r="Y17"/>
  <c r="T17"/>
  <c r="O17"/>
  <c r="J17"/>
  <c r="E17"/>
  <c r="AD16" s="1"/>
  <c r="I16"/>
  <c r="F16"/>
  <c r="E16" s="1"/>
  <c r="AD15"/>
  <c r="T15"/>
  <c r="O15"/>
  <c r="J15"/>
  <c r="F15"/>
  <c r="E15"/>
  <c r="AD14" s="1"/>
  <c r="Y14"/>
  <c r="T14"/>
  <c r="I14"/>
  <c r="F14"/>
  <c r="E14" s="1"/>
  <c r="AD13" s="1"/>
  <c r="Y13"/>
  <c r="T13"/>
  <c r="J13"/>
  <c r="F13"/>
  <c r="E13"/>
  <c r="D110" i="16"/>
  <c r="Y101"/>
  <c r="B99"/>
  <c r="AC97" s="1"/>
  <c r="C97"/>
  <c r="C96"/>
  <c r="C95"/>
  <c r="C94" s="1"/>
  <c r="AC91"/>
  <c r="Y91"/>
  <c r="T91" s="1"/>
  <c r="J90"/>
  <c r="C90"/>
  <c r="O89"/>
  <c r="AC88" s="1"/>
  <c r="Y88"/>
  <c r="T88"/>
  <c r="O88" s="1"/>
  <c r="J88" s="1"/>
  <c r="C88"/>
  <c r="AC87"/>
  <c r="Y87" s="1"/>
  <c r="T87"/>
  <c r="O87"/>
  <c r="J87"/>
  <c r="C87"/>
  <c r="AC86"/>
  <c r="Y86"/>
  <c r="T86" s="1"/>
  <c r="O86" s="1"/>
  <c r="J86"/>
  <c r="C86" s="1"/>
  <c r="AD82" s="1"/>
  <c r="AC82" s="1"/>
  <c r="AB82"/>
  <c r="AA82" s="1"/>
  <c r="Z82" s="1"/>
  <c r="Y82"/>
  <c r="X82" s="1"/>
  <c r="W82" s="1"/>
  <c r="V82" s="1"/>
  <c r="U82"/>
  <c r="T82" s="1"/>
  <c r="S82" s="1"/>
  <c r="R82" s="1"/>
  <c r="Q82" s="1"/>
  <c r="P82" s="1"/>
  <c r="O82"/>
  <c r="N82" s="1"/>
  <c r="M82" s="1"/>
  <c r="L82" s="1"/>
  <c r="K82" s="1"/>
  <c r="J82" s="1"/>
  <c r="I82"/>
  <c r="H82" s="1"/>
  <c r="G82"/>
  <c r="F82" s="1"/>
  <c r="E82" s="1"/>
  <c r="AD81"/>
  <c r="AC81"/>
  <c r="AB81"/>
  <c r="AA81"/>
  <c r="Z81"/>
  <c r="Y81"/>
  <c r="X81"/>
  <c r="W81"/>
  <c r="V81"/>
  <c r="U81"/>
  <c r="T81" s="1"/>
  <c r="S81"/>
  <c r="R81"/>
  <c r="Q81"/>
  <c r="P81"/>
  <c r="O81" s="1"/>
  <c r="N81"/>
  <c r="M81"/>
  <c r="L81"/>
  <c r="K81"/>
  <c r="J81" s="1"/>
  <c r="I81"/>
  <c r="H81"/>
  <c r="G81"/>
  <c r="F81"/>
  <c r="E81"/>
  <c r="AD80" s="1"/>
  <c r="T80"/>
  <c r="J80"/>
  <c r="AD79"/>
  <c r="T79"/>
  <c r="J79"/>
  <c r="AD77" s="1"/>
  <c r="AC77"/>
  <c r="AB77"/>
  <c r="AA77"/>
  <c r="Z77"/>
  <c r="Y77"/>
  <c r="X77"/>
  <c r="W77"/>
  <c r="V77"/>
  <c r="U77"/>
  <c r="T77" s="1"/>
  <c r="S77"/>
  <c r="R77"/>
  <c r="Q77"/>
  <c r="P77"/>
  <c r="O77"/>
  <c r="N77"/>
  <c r="M77"/>
  <c r="L77"/>
  <c r="K77"/>
  <c r="J77"/>
  <c r="F77"/>
  <c r="E77"/>
  <c r="AD76" s="1"/>
  <c r="Y76"/>
  <c r="T76"/>
  <c r="O76"/>
  <c r="J76"/>
  <c r="F76"/>
  <c r="E76"/>
  <c r="AD74"/>
  <c r="Z74"/>
  <c r="Y74" s="1"/>
  <c r="U74"/>
  <c r="T74"/>
  <c r="P74" s="1"/>
  <c r="O74" s="1"/>
  <c r="K74"/>
  <c r="J74" s="1"/>
  <c r="F74" s="1"/>
  <c r="E74" s="1"/>
  <c r="AD73"/>
  <c r="AC73"/>
  <c r="AB73"/>
  <c r="AA73"/>
  <c r="Z73"/>
  <c r="Y73"/>
  <c r="X73"/>
  <c r="W73"/>
  <c r="V73"/>
  <c r="U73"/>
  <c r="T73" s="1"/>
  <c r="S73"/>
  <c r="R73"/>
  <c r="Q73"/>
  <c r="P73"/>
  <c r="O73" s="1"/>
  <c r="N73"/>
  <c r="M73"/>
  <c r="L73"/>
  <c r="K73"/>
  <c r="J73" s="1"/>
  <c r="I73"/>
  <c r="H73"/>
  <c r="G73"/>
  <c r="F73"/>
  <c r="E73"/>
  <c r="AD72" s="1"/>
  <c r="Y72"/>
  <c r="T72"/>
  <c r="O72"/>
  <c r="J72"/>
  <c r="E72"/>
  <c r="AD71"/>
  <c r="Y71"/>
  <c r="T71"/>
  <c r="O71"/>
  <c r="J71"/>
  <c r="E71"/>
  <c r="AD70"/>
  <c r="Y70"/>
  <c r="T70"/>
  <c r="O70"/>
  <c r="J70"/>
  <c r="F70"/>
  <c r="E70"/>
  <c r="AD68" s="1"/>
  <c r="AC68"/>
  <c r="AB68"/>
  <c r="AA68"/>
  <c r="Z68"/>
  <c r="Y68"/>
  <c r="X68"/>
  <c r="W68"/>
  <c r="V68"/>
  <c r="U68"/>
  <c r="T68" s="1"/>
  <c r="S68"/>
  <c r="R68"/>
  <c r="Q68"/>
  <c r="P68"/>
  <c r="O68"/>
  <c r="N68"/>
  <c r="M68"/>
  <c r="L68"/>
  <c r="K68"/>
  <c r="J68" s="1"/>
  <c r="I68"/>
  <c r="H68"/>
  <c r="G68"/>
  <c r="F68" s="1"/>
  <c r="E68"/>
  <c r="AD67"/>
  <c r="T67"/>
  <c r="O67"/>
  <c r="K67"/>
  <c r="J67" s="1"/>
  <c r="F67"/>
  <c r="E67"/>
  <c r="AD65" s="1"/>
  <c r="AC65"/>
  <c r="AB65"/>
  <c r="AA65"/>
  <c r="Z65"/>
  <c r="Y65"/>
  <c r="X65"/>
  <c r="W65"/>
  <c r="V65"/>
  <c r="U65"/>
  <c r="T65"/>
  <c r="S65"/>
  <c r="R65"/>
  <c r="Q65"/>
  <c r="P65"/>
  <c r="O65" s="1"/>
  <c r="N65"/>
  <c r="M65"/>
  <c r="L65"/>
  <c r="K65"/>
  <c r="J65" s="1"/>
  <c r="I65"/>
  <c r="H65"/>
  <c r="G65"/>
  <c r="F65" s="1"/>
  <c r="E65"/>
  <c r="AD64" s="1"/>
  <c r="O64"/>
  <c r="J64"/>
  <c r="F64"/>
  <c r="E64"/>
  <c r="AD62" s="1"/>
  <c r="F62" s="1"/>
  <c r="E62" s="1"/>
  <c r="AD61" s="1"/>
  <c r="Z61"/>
  <c r="Y61"/>
  <c r="U61"/>
  <c r="T61"/>
  <c r="P61"/>
  <c r="O61" s="1"/>
  <c r="K61"/>
  <c r="J61"/>
  <c r="F61"/>
  <c r="E61" s="1"/>
  <c r="AD60" s="1"/>
  <c r="AC60"/>
  <c r="AB60"/>
  <c r="AA60"/>
  <c r="Z60"/>
  <c r="Y60" s="1"/>
  <c r="X60"/>
  <c r="W60"/>
  <c r="V60"/>
  <c r="U60"/>
  <c r="T60"/>
  <c r="S60"/>
  <c r="R60"/>
  <c r="Q60"/>
  <c r="P60"/>
  <c r="O60"/>
  <c r="N60"/>
  <c r="M60"/>
  <c r="L60"/>
  <c r="K60"/>
  <c r="J60" s="1"/>
  <c r="I60"/>
  <c r="H60"/>
  <c r="G60"/>
  <c r="F60"/>
  <c r="E60"/>
  <c r="AD59" s="1"/>
  <c r="Y59"/>
  <c r="T59"/>
  <c r="O59"/>
  <c r="J59"/>
  <c r="F59"/>
  <c r="E59"/>
  <c r="AD58" s="1"/>
  <c r="Y58"/>
  <c r="T58"/>
  <c r="O58"/>
  <c r="J58"/>
  <c r="E58"/>
  <c r="AD57" s="1"/>
  <c r="Y57"/>
  <c r="T57"/>
  <c r="O57"/>
  <c r="J57"/>
  <c r="F57"/>
  <c r="E57"/>
  <c r="AD55" s="1"/>
  <c r="AC55"/>
  <c r="AB55"/>
  <c r="AA55"/>
  <c r="Z55"/>
  <c r="Y55" s="1"/>
  <c r="X55"/>
  <c r="W55"/>
  <c r="V55"/>
  <c r="U55"/>
  <c r="T55" s="1"/>
  <c r="S55"/>
  <c r="R55"/>
  <c r="Q55"/>
  <c r="P55"/>
  <c r="O55"/>
  <c r="N55"/>
  <c r="M55"/>
  <c r="L55"/>
  <c r="K55"/>
  <c r="J55"/>
  <c r="I55"/>
  <c r="H55"/>
  <c r="G55"/>
  <c r="F55"/>
  <c r="E55"/>
  <c r="AD54" s="1"/>
  <c r="Y54"/>
  <c r="T54"/>
  <c r="O54"/>
  <c r="J54"/>
  <c r="F54"/>
  <c r="E54"/>
  <c r="AD52"/>
  <c r="Z52"/>
  <c r="Y52" s="1"/>
  <c r="U52"/>
  <c r="T52" s="1"/>
  <c r="P52"/>
  <c r="O52" s="1"/>
  <c r="K52"/>
  <c r="J52" s="1"/>
  <c r="H52"/>
  <c r="F52"/>
  <c r="E52" s="1"/>
  <c r="AD51"/>
  <c r="AC51"/>
  <c r="AB51"/>
  <c r="AA51"/>
  <c r="Z51"/>
  <c r="Y51"/>
  <c r="X51"/>
  <c r="W51"/>
  <c r="V51"/>
  <c r="U51"/>
  <c r="T51"/>
  <c r="S51"/>
  <c r="R51"/>
  <c r="Q51"/>
  <c r="P51"/>
  <c r="O51"/>
  <c r="N51"/>
  <c r="M51"/>
  <c r="L51"/>
  <c r="K51"/>
  <c r="J51"/>
  <c r="I51"/>
  <c r="H51"/>
  <c r="F51" s="1"/>
  <c r="E51" s="1"/>
  <c r="AD50"/>
  <c r="AC50" s="1"/>
  <c r="AB50" s="1"/>
  <c r="AA50" s="1"/>
  <c r="Z50"/>
  <c r="Y50" s="1"/>
  <c r="X50"/>
  <c r="W50"/>
  <c r="V50"/>
  <c r="U50" s="1"/>
  <c r="T50"/>
  <c r="S50"/>
  <c r="R50"/>
  <c r="Q50" s="1"/>
  <c r="P50" s="1"/>
  <c r="O50" s="1"/>
  <c r="N50"/>
  <c r="M50"/>
  <c r="L50"/>
  <c r="K50" s="1"/>
  <c r="J50" s="1"/>
  <c r="I50" s="1"/>
  <c r="H50" s="1"/>
  <c r="G50" s="1"/>
  <c r="F50" s="1"/>
  <c r="E50"/>
  <c r="AD49" s="1"/>
  <c r="Y49"/>
  <c r="T49"/>
  <c r="O49"/>
  <c r="J49"/>
  <c r="F49"/>
  <c r="E49"/>
  <c r="AD48"/>
  <c r="T48"/>
  <c r="F48"/>
  <c r="E48"/>
  <c r="AD47" s="1"/>
  <c r="T47"/>
  <c r="O47"/>
  <c r="J47"/>
  <c r="G47"/>
  <c r="F47"/>
  <c r="E47"/>
  <c r="AD46" s="1"/>
  <c r="Y46"/>
  <c r="T46"/>
  <c r="O46"/>
  <c r="J46"/>
  <c r="F46"/>
  <c r="E46"/>
  <c r="AD45" s="1"/>
  <c r="Y45"/>
  <c r="T45"/>
  <c r="O45"/>
  <c r="J45"/>
  <c r="E45"/>
  <c r="AD44" s="1"/>
  <c r="Y44"/>
  <c r="T44"/>
  <c r="O44"/>
  <c r="J44"/>
  <c r="E44"/>
  <c r="AD43" s="1"/>
  <c r="Y43"/>
  <c r="T43"/>
  <c r="O43"/>
  <c r="J43"/>
  <c r="F43"/>
  <c r="E43" s="1"/>
  <c r="AD42"/>
  <c r="Y42"/>
  <c r="T42"/>
  <c r="O42"/>
  <c r="J42"/>
  <c r="E42"/>
  <c r="AD41" s="1"/>
  <c r="Y41"/>
  <c r="T41"/>
  <c r="O41"/>
  <c r="J41"/>
  <c r="E41"/>
  <c r="AD40" s="1"/>
  <c r="Y40"/>
  <c r="T40"/>
  <c r="O40"/>
  <c r="J40"/>
  <c r="E40"/>
  <c r="AD39" s="1"/>
  <c r="Y39"/>
  <c r="T39"/>
  <c r="O39"/>
  <c r="J39"/>
  <c r="E39"/>
  <c r="AD38" s="1"/>
  <c r="Y38"/>
  <c r="T38"/>
  <c r="O38"/>
  <c r="J38"/>
  <c r="E38"/>
  <c r="AD37" s="1"/>
  <c r="Y37"/>
  <c r="T37"/>
  <c r="O37"/>
  <c r="J37"/>
  <c r="E37"/>
  <c r="AD36" s="1"/>
  <c r="Y36"/>
  <c r="T36"/>
  <c r="O36"/>
  <c r="J36"/>
  <c r="E36"/>
  <c r="AD35"/>
  <c r="AC35"/>
  <c r="AB35"/>
  <c r="AA35"/>
  <c r="Y35"/>
  <c r="X35"/>
  <c r="W35"/>
  <c r="V35"/>
  <c r="T35"/>
  <c r="S35"/>
  <c r="R35"/>
  <c r="Q35"/>
  <c r="O35"/>
  <c r="J35"/>
  <c r="E35"/>
  <c r="AD33" s="1"/>
  <c r="AC33"/>
  <c r="AB33"/>
  <c r="AA33"/>
  <c r="Z33"/>
  <c r="Y33"/>
  <c r="X33"/>
  <c r="W33"/>
  <c r="V33"/>
  <c r="U33"/>
  <c r="T33" s="1"/>
  <c r="S33"/>
  <c r="R33"/>
  <c r="Q33"/>
  <c r="P33"/>
  <c r="O33" s="1"/>
  <c r="N33"/>
  <c r="M33"/>
  <c r="L33"/>
  <c r="K33"/>
  <c r="J33"/>
  <c r="I33"/>
  <c r="H33"/>
  <c r="G33"/>
  <c r="F33"/>
  <c r="E33"/>
  <c r="AD32" s="1"/>
  <c r="Y32"/>
  <c r="T32"/>
  <c r="O32"/>
  <c r="J32"/>
  <c r="F32"/>
  <c r="E32"/>
  <c r="AD30"/>
  <c r="AC30"/>
  <c r="AB30"/>
  <c r="AA30"/>
  <c r="Z30"/>
  <c r="Y30"/>
  <c r="X30"/>
  <c r="W30"/>
  <c r="V30"/>
  <c r="U30"/>
  <c r="T30"/>
  <c r="S30"/>
  <c r="R30"/>
  <c r="Q30"/>
  <c r="P30"/>
  <c r="O30" s="1"/>
  <c r="N30"/>
  <c r="M30"/>
  <c r="L30"/>
  <c r="K30"/>
  <c r="J30"/>
  <c r="I30"/>
  <c r="H30"/>
  <c r="G30"/>
  <c r="F30"/>
  <c r="E30"/>
  <c r="AD29"/>
  <c r="AC29"/>
  <c r="AB29"/>
  <c r="AA29"/>
  <c r="Z29"/>
  <c r="Y29" s="1"/>
  <c r="X29"/>
  <c r="W29"/>
  <c r="V29"/>
  <c r="U29"/>
  <c r="T29" s="1"/>
  <c r="S29"/>
  <c r="R29"/>
  <c r="Q29"/>
  <c r="P29"/>
  <c r="O29" s="1"/>
  <c r="N29"/>
  <c r="M29"/>
  <c r="L29"/>
  <c r="K29"/>
  <c r="J29" s="1"/>
  <c r="I29"/>
  <c r="H29"/>
  <c r="G29"/>
  <c r="F29" s="1"/>
  <c r="E29" s="1"/>
  <c r="AD28"/>
  <c r="AC28"/>
  <c r="AB28"/>
  <c r="AA28"/>
  <c r="Z28"/>
  <c r="Y28" s="1"/>
  <c r="X28"/>
  <c r="W28"/>
  <c r="V28"/>
  <c r="U28"/>
  <c r="T28" s="1"/>
  <c r="S28"/>
  <c r="R28"/>
  <c r="Q28"/>
  <c r="P28"/>
  <c r="O28"/>
  <c r="N28"/>
  <c r="M28"/>
  <c r="L28"/>
  <c r="K28"/>
  <c r="J28" s="1"/>
  <c r="I28"/>
  <c r="H28"/>
  <c r="G28"/>
  <c r="F28"/>
  <c r="E28"/>
  <c r="AD27"/>
  <c r="AC27"/>
  <c r="AB27"/>
  <c r="AA27"/>
  <c r="Z27" s="1"/>
  <c r="Y27"/>
  <c r="X27"/>
  <c r="W27"/>
  <c r="V27"/>
  <c r="U27"/>
  <c r="T27"/>
  <c r="S27"/>
  <c r="R27"/>
  <c r="Q27"/>
  <c r="P27"/>
  <c r="O27" s="1"/>
  <c r="N27"/>
  <c r="M27"/>
  <c r="L27"/>
  <c r="K27"/>
  <c r="J27"/>
  <c r="I27" s="1"/>
  <c r="H27"/>
  <c r="G27" s="1"/>
  <c r="F27" s="1"/>
  <c r="E27"/>
  <c r="AD26" s="1"/>
  <c r="Y26"/>
  <c r="T26"/>
  <c r="O26"/>
  <c r="J26"/>
  <c r="F26"/>
  <c r="E26"/>
  <c r="AD25" s="1"/>
  <c r="O25"/>
  <c r="J25"/>
  <c r="AD24" s="1"/>
  <c r="O24"/>
  <c r="J24"/>
  <c r="AD23" s="1"/>
  <c r="T23"/>
  <c r="O23"/>
  <c r="J23"/>
  <c r="AD22" s="1"/>
  <c r="Y22"/>
  <c r="T22"/>
  <c r="O22"/>
  <c r="J22"/>
  <c r="F22"/>
  <c r="E22"/>
  <c r="AD21" s="1"/>
  <c r="Y21"/>
  <c r="T21"/>
  <c r="O21"/>
  <c r="J21"/>
  <c r="E21"/>
  <c r="AD20" s="1"/>
  <c r="Y20"/>
  <c r="T20"/>
  <c r="O20"/>
  <c r="J20"/>
  <c r="E20"/>
  <c r="AD19"/>
  <c r="J19"/>
  <c r="E19"/>
  <c r="AD18" s="1"/>
  <c r="T18"/>
  <c r="O18"/>
  <c r="J18"/>
  <c r="F18"/>
  <c r="E18"/>
  <c r="AD17" s="1"/>
  <c r="Y17"/>
  <c r="T17"/>
  <c r="O17"/>
  <c r="J17"/>
  <c r="E17"/>
  <c r="AD16" s="1"/>
  <c r="I16"/>
  <c r="F16"/>
  <c r="E16" s="1"/>
  <c r="AD15"/>
  <c r="T15"/>
  <c r="O15"/>
  <c r="J15"/>
  <c r="F15"/>
  <c r="E15"/>
  <c r="AD14" s="1"/>
  <c r="Y14"/>
  <c r="T14"/>
  <c r="I14"/>
  <c r="F14"/>
  <c r="E14"/>
  <c r="AD13" s="1"/>
  <c r="Y13"/>
  <c r="T13"/>
  <c r="J13"/>
  <c r="F13"/>
  <c r="E13"/>
  <c r="D110" i="15"/>
  <c r="Y101"/>
  <c r="B99"/>
  <c r="AC97" s="1"/>
  <c r="C97"/>
  <c r="C96"/>
  <c r="C95" s="1"/>
  <c r="C94"/>
  <c r="AC91" s="1"/>
  <c r="Y91" s="1"/>
  <c r="T91" s="1"/>
  <c r="J90" s="1"/>
  <c r="C90"/>
  <c r="O89" s="1"/>
  <c r="AC88" s="1"/>
  <c r="Y88" s="1"/>
  <c r="T88" s="1"/>
  <c r="O88"/>
  <c r="J88"/>
  <c r="C88"/>
  <c r="AC87" s="1"/>
  <c r="Y87"/>
  <c r="T87"/>
  <c r="Y86" i="19" l="1"/>
  <c r="AC91"/>
  <c r="O87" i="15"/>
  <c r="J87"/>
  <c r="C87"/>
  <c r="Y91" i="19" l="1"/>
  <c r="J90" s="1"/>
  <c r="AC97"/>
  <c r="C97" s="1"/>
  <c r="AC86" i="15"/>
  <c r="Y86"/>
  <c r="T86"/>
  <c r="O86"/>
  <c r="J86"/>
  <c r="C86"/>
  <c r="AD82" s="1"/>
  <c r="AC82"/>
  <c r="AB82" s="1"/>
  <c r="AA82"/>
  <c r="Z82" s="1"/>
  <c r="Y82" l="1"/>
  <c r="X82" s="1"/>
  <c r="W82" s="1"/>
  <c r="V82"/>
  <c r="U82" s="1"/>
  <c r="T82"/>
  <c r="S82" s="1"/>
  <c r="R82"/>
  <c r="Q82"/>
  <c r="P82" l="1"/>
  <c r="O82" s="1"/>
  <c r="N82"/>
  <c r="M82"/>
  <c r="L82"/>
  <c r="K82"/>
  <c r="J82"/>
  <c r="I82" s="1"/>
  <c r="H82" s="1"/>
  <c r="G82" s="1"/>
  <c r="F82" s="1"/>
  <c r="E82"/>
  <c r="AD81"/>
  <c r="AC81"/>
  <c r="AB81"/>
  <c r="AA81"/>
  <c r="Z81"/>
  <c r="Y81"/>
  <c r="X81"/>
  <c r="W81"/>
  <c r="V81"/>
  <c r="U81"/>
  <c r="T81"/>
  <c r="S81"/>
  <c r="R81"/>
  <c r="Q81"/>
  <c r="P81"/>
  <c r="O81"/>
  <c r="N81"/>
  <c r="M81"/>
  <c r="L81"/>
  <c r="K81"/>
  <c r="J81"/>
  <c r="I81"/>
  <c r="H81"/>
  <c r="G81"/>
  <c r="F81"/>
  <c r="E81"/>
  <c r="AD80" s="1"/>
  <c r="T80"/>
  <c r="J80"/>
  <c r="AD79" s="1"/>
  <c r="T79"/>
  <c r="J79"/>
  <c r="AD77" s="1"/>
  <c r="AC77"/>
  <c r="AB77"/>
  <c r="AA77"/>
  <c r="Z77"/>
  <c r="Y77" s="1"/>
  <c r="X77"/>
  <c r="W77"/>
  <c r="V77"/>
  <c r="U77"/>
  <c r="T77" s="1"/>
  <c r="S77"/>
  <c r="R77"/>
  <c r="Q77"/>
  <c r="P77"/>
  <c r="O77" s="1"/>
  <c r="N77"/>
  <c r="M77"/>
  <c r="L77"/>
  <c r="K77"/>
  <c r="J77" s="1"/>
  <c r="F77" s="1"/>
  <c r="E77"/>
  <c r="AD76"/>
  <c r="Y76"/>
  <c r="T76"/>
  <c r="O76"/>
  <c r="J76"/>
  <c r="F76"/>
  <c r="E76"/>
  <c r="AD74"/>
  <c r="Z74"/>
  <c r="Y74" s="1"/>
  <c r="U74"/>
  <c r="T74"/>
  <c r="P74"/>
  <c r="O74" s="1"/>
  <c r="K74"/>
  <c r="J74"/>
  <c r="F74" s="1"/>
  <c r="E74"/>
  <c r="AD73"/>
  <c r="AC73"/>
  <c r="AB73"/>
  <c r="AA73"/>
  <c r="Z73"/>
  <c r="Y73"/>
  <c r="X73"/>
  <c r="W73"/>
  <c r="V73"/>
  <c r="U73"/>
  <c r="T73"/>
  <c r="S73"/>
  <c r="R73"/>
  <c r="Q73"/>
  <c r="P73"/>
  <c r="O73"/>
  <c r="N73"/>
  <c r="M73"/>
  <c r="L73"/>
  <c r="K73"/>
  <c r="J73"/>
  <c r="I73"/>
  <c r="H73"/>
  <c r="G73"/>
  <c r="F73"/>
  <c r="E73"/>
  <c r="AD72"/>
  <c r="Y72"/>
  <c r="T72"/>
  <c r="O72"/>
  <c r="J72"/>
  <c r="E72"/>
  <c r="AD71"/>
  <c r="Y71"/>
  <c r="T71"/>
  <c r="O71"/>
  <c r="J71"/>
  <c r="E71"/>
  <c r="AD70"/>
  <c r="Y70"/>
  <c r="T70"/>
  <c r="O70"/>
  <c r="J70"/>
  <c r="F70"/>
  <c r="E70"/>
  <c r="AD68" s="1"/>
  <c r="AC68"/>
  <c r="AB68"/>
  <c r="AA68"/>
  <c r="Z68"/>
  <c r="Y68"/>
  <c r="X68"/>
  <c r="W68"/>
  <c r="V68"/>
  <c r="U68"/>
  <c r="T68"/>
  <c r="S68"/>
  <c r="R68"/>
  <c r="Q68"/>
  <c r="P68"/>
  <c r="O68"/>
  <c r="N68"/>
  <c r="M68"/>
  <c r="L68"/>
  <c r="K68"/>
  <c r="J68"/>
  <c r="I68"/>
  <c r="H68"/>
  <c r="G68"/>
  <c r="F68" s="1"/>
  <c r="E68" s="1"/>
  <c r="AD67"/>
  <c r="T67"/>
  <c r="O67"/>
  <c r="J67"/>
  <c r="F67"/>
  <c r="E67"/>
  <c r="AD65" s="1"/>
  <c r="AC65"/>
  <c r="AB65"/>
  <c r="AA65"/>
  <c r="Z65"/>
  <c r="Y65"/>
  <c r="X65"/>
  <c r="W65"/>
  <c r="V65"/>
  <c r="U65"/>
  <c r="T65"/>
  <c r="S65"/>
  <c r="R65"/>
  <c r="Q65"/>
  <c r="P65"/>
  <c r="O65"/>
  <c r="N65"/>
  <c r="M65"/>
  <c r="L65"/>
  <c r="K65"/>
  <c r="J65"/>
  <c r="I65"/>
  <c r="H65"/>
  <c r="G65"/>
  <c r="F65" s="1"/>
  <c r="E65" s="1"/>
  <c r="AD64"/>
  <c r="O64"/>
  <c r="J64"/>
  <c r="F64"/>
  <c r="E64"/>
  <c r="AD62"/>
  <c r="F62"/>
  <c r="E62"/>
  <c r="AD61"/>
  <c r="Z61"/>
  <c r="Y61"/>
  <c r="U61"/>
  <c r="T61"/>
  <c r="P61"/>
  <c r="O61"/>
  <c r="K61"/>
  <c r="J61"/>
  <c r="F61" s="1"/>
  <c r="E61" s="1"/>
  <c r="AD60"/>
  <c r="AC60"/>
  <c r="AB60"/>
  <c r="AA60"/>
  <c r="Z60"/>
  <c r="Y60"/>
  <c r="X60"/>
  <c r="W60"/>
  <c r="V60"/>
  <c r="U60"/>
  <c r="T60"/>
  <c r="S60"/>
  <c r="R60"/>
  <c r="Q60"/>
  <c r="P60"/>
  <c r="O60"/>
  <c r="N60"/>
  <c r="M60"/>
  <c r="L60"/>
  <c r="K60"/>
  <c r="J60"/>
  <c r="I60"/>
  <c r="H60"/>
  <c r="G60"/>
  <c r="F60"/>
  <c r="E60"/>
  <c r="AD59"/>
  <c r="Y59"/>
  <c r="T59"/>
  <c r="O59"/>
  <c r="J59"/>
  <c r="F59"/>
  <c r="E59"/>
  <c r="AD58"/>
  <c r="Y58"/>
  <c r="T58"/>
  <c r="O58"/>
  <c r="J58"/>
  <c r="E58"/>
  <c r="AD57"/>
  <c r="Y57"/>
  <c r="T57"/>
  <c r="O57"/>
  <c r="J57"/>
  <c r="F57"/>
  <c r="E57" s="1"/>
  <c r="AD55" s="1"/>
  <c r="AC55"/>
  <c r="AB55"/>
  <c r="AA55"/>
  <c r="Z55"/>
  <c r="Y55" s="1"/>
  <c r="X55"/>
  <c r="W55"/>
  <c r="V55"/>
  <c r="U55"/>
  <c r="T55" s="1"/>
  <c r="S55"/>
  <c r="R55"/>
  <c r="Q55"/>
  <c r="P55"/>
  <c r="O55" s="1"/>
  <c r="N55"/>
  <c r="M55"/>
  <c r="L55"/>
  <c r="K55"/>
  <c r="J55"/>
  <c r="I55"/>
  <c r="H55"/>
  <c r="G55"/>
  <c r="F55"/>
  <c r="E55"/>
  <c r="AD54"/>
  <c r="Y54"/>
  <c r="T54"/>
  <c r="O54"/>
  <c r="J54"/>
  <c r="F54"/>
  <c r="E54" s="1"/>
  <c r="AD52"/>
  <c r="Z52"/>
  <c r="Y52"/>
  <c r="U52"/>
  <c r="T52"/>
  <c r="P52"/>
  <c r="O52"/>
  <c r="K52"/>
  <c r="J52"/>
  <c r="H52"/>
  <c r="G52"/>
  <c r="F52"/>
  <c r="E52"/>
  <c r="AD51" s="1"/>
  <c r="AC51"/>
  <c r="AB51"/>
  <c r="AA51"/>
  <c r="Z51"/>
  <c r="Y51"/>
  <c r="X51"/>
  <c r="W51"/>
  <c r="V51"/>
  <c r="U51"/>
  <c r="T51"/>
  <c r="S51"/>
  <c r="R51"/>
  <c r="Q51"/>
  <c r="P51"/>
  <c r="O51"/>
  <c r="N51"/>
  <c r="M51"/>
  <c r="L51"/>
  <c r="K51"/>
  <c r="J51"/>
  <c r="I51"/>
  <c r="H51"/>
  <c r="G51"/>
  <c r="F51" s="1"/>
  <c r="E51" s="1"/>
  <c r="AD50" s="1"/>
  <c r="AC50"/>
  <c r="AB50"/>
  <c r="AA50"/>
  <c r="Z50"/>
  <c r="Y50" s="1"/>
  <c r="X50"/>
  <c r="W50"/>
  <c r="V50"/>
  <c r="U50"/>
  <c r="T50" s="1"/>
  <c r="S50"/>
  <c r="R50"/>
  <c r="Q50"/>
  <c r="P50"/>
  <c r="O50" s="1"/>
  <c r="N50"/>
  <c r="M50"/>
  <c r="L50"/>
  <c r="K50"/>
  <c r="J50" s="1"/>
  <c r="I50"/>
  <c r="H50"/>
  <c r="G50"/>
  <c r="F50"/>
  <c r="E50"/>
  <c r="AD49"/>
  <c r="Y49"/>
  <c r="T49"/>
  <c r="O49"/>
  <c r="J49"/>
  <c r="F49"/>
  <c r="E49" s="1"/>
  <c r="AD48"/>
  <c r="T48"/>
  <c r="F48"/>
  <c r="E48"/>
  <c r="AD47" s="1"/>
  <c r="T47"/>
  <c r="O47"/>
  <c r="J47"/>
  <c r="G47"/>
  <c r="F47"/>
  <c r="E47"/>
  <c r="AD46"/>
  <c r="Y46"/>
  <c r="T46"/>
  <c r="O46"/>
  <c r="J46"/>
  <c r="F46"/>
  <c r="E46" s="1"/>
  <c r="AD45"/>
  <c r="Y45"/>
  <c r="T45"/>
  <c r="O45"/>
  <c r="J45"/>
  <c r="E45"/>
  <c r="AD44"/>
  <c r="Y44"/>
  <c r="T44"/>
  <c r="O44"/>
  <c r="J44"/>
  <c r="E44"/>
  <c r="AD43"/>
  <c r="Y43"/>
  <c r="T43"/>
  <c r="O43"/>
  <c r="J43"/>
  <c r="F43"/>
  <c r="E43" s="1"/>
  <c r="AD42"/>
  <c r="Y42"/>
  <c r="T42"/>
  <c r="O42"/>
  <c r="J42"/>
  <c r="E42"/>
  <c r="AD41"/>
  <c r="Y41"/>
  <c r="T41"/>
  <c r="O41"/>
  <c r="J41"/>
  <c r="E41"/>
  <c r="AD40"/>
  <c r="Y40"/>
  <c r="T40"/>
  <c r="O40"/>
  <c r="J40"/>
  <c r="E40"/>
  <c r="AD39"/>
  <c r="Y39"/>
  <c r="T39"/>
  <c r="O39"/>
  <c r="J39"/>
  <c r="E39"/>
  <c r="AD38"/>
  <c r="Y38"/>
  <c r="T38"/>
  <c r="O38"/>
  <c r="J38"/>
  <c r="E38"/>
  <c r="AD37"/>
  <c r="Y37"/>
  <c r="T37"/>
  <c r="O37"/>
  <c r="J37"/>
  <c r="E37"/>
  <c r="AD36"/>
  <c r="Y36"/>
  <c r="T36"/>
  <c r="O36"/>
  <c r="J36"/>
  <c r="E36"/>
  <c r="AD35"/>
  <c r="AC35" l="1"/>
  <c r="AB35"/>
  <c r="AA35"/>
  <c r="Y35" l="1"/>
  <c r="X35"/>
  <c r="W35"/>
  <c r="V35"/>
  <c r="T35" s="1"/>
  <c r="S35"/>
  <c r="R35"/>
  <c r="Q35"/>
  <c r="O35"/>
  <c r="J35"/>
  <c r="E35"/>
  <c r="AD33" s="1"/>
  <c r="AC33"/>
  <c r="AB33"/>
  <c r="AA33"/>
  <c r="Z33"/>
  <c r="Y33" s="1"/>
  <c r="X33"/>
  <c r="W33"/>
  <c r="V33"/>
  <c r="U33"/>
  <c r="T33" s="1"/>
  <c r="S33"/>
  <c r="R33"/>
  <c r="Q33"/>
  <c r="P33"/>
  <c r="O33" s="1"/>
  <c r="N33"/>
  <c r="M33"/>
  <c r="L33"/>
  <c r="K33"/>
  <c r="J33" s="1"/>
  <c r="I33"/>
  <c r="H33"/>
  <c r="G33"/>
  <c r="F33" s="1"/>
  <c r="E33" s="1"/>
  <c r="AD32"/>
  <c r="Y32"/>
  <c r="T32"/>
  <c r="O32"/>
  <c r="J32"/>
  <c r="F32"/>
  <c r="E32"/>
  <c r="AD30"/>
  <c r="AC30"/>
  <c r="AB30"/>
  <c r="AA30"/>
  <c r="Z30"/>
  <c r="Y30"/>
  <c r="X30"/>
  <c r="W30"/>
  <c r="V30"/>
  <c r="U30"/>
  <c r="T30"/>
  <c r="S30"/>
  <c r="R30"/>
  <c r="Q30"/>
  <c r="P30"/>
  <c r="O30" s="1"/>
  <c r="N30"/>
  <c r="M30"/>
  <c r="L30"/>
  <c r="K30"/>
  <c r="J30" s="1"/>
  <c r="I30"/>
  <c r="H30"/>
  <c r="G30"/>
  <c r="F30"/>
  <c r="E30"/>
  <c r="AD29"/>
  <c r="AC29"/>
  <c r="AB29"/>
  <c r="AA29"/>
  <c r="Z29"/>
  <c r="Y29" s="1"/>
  <c r="X29"/>
  <c r="W29"/>
  <c r="V29"/>
  <c r="U29"/>
  <c r="T29"/>
  <c r="S29"/>
  <c r="R29"/>
  <c r="Q29"/>
  <c r="P29"/>
  <c r="O29" s="1"/>
  <c r="N29"/>
  <c r="M29"/>
  <c r="L29"/>
  <c r="K29"/>
  <c r="J29"/>
  <c r="I29"/>
  <c r="H29"/>
  <c r="G29"/>
  <c r="F29"/>
  <c r="E29"/>
  <c r="AD28"/>
  <c r="AC28"/>
  <c r="AB28"/>
  <c r="AA28"/>
  <c r="Z28"/>
  <c r="Y28"/>
  <c r="X28"/>
  <c r="W28"/>
  <c r="V28"/>
  <c r="U28"/>
  <c r="T28"/>
  <c r="S28"/>
  <c r="R28"/>
  <c r="Q28"/>
  <c r="P28"/>
  <c r="O28"/>
  <c r="N28"/>
  <c r="M28"/>
  <c r="L28"/>
  <c r="K28"/>
  <c r="J28"/>
  <c r="I28"/>
  <c r="H28"/>
  <c r="G28"/>
  <c r="F28"/>
  <c r="E28" s="1"/>
  <c r="AD27" s="1"/>
  <c r="AC27"/>
  <c r="AB27"/>
  <c r="AA27"/>
  <c r="Z27"/>
  <c r="Y27"/>
  <c r="X27"/>
  <c r="W27"/>
  <c r="V27"/>
  <c r="U27"/>
  <c r="T27"/>
  <c r="S27"/>
  <c r="R27"/>
  <c r="Q27"/>
  <c r="P27"/>
  <c r="O27"/>
  <c r="N27"/>
  <c r="M27"/>
  <c r="L27"/>
  <c r="K27"/>
  <c r="J27"/>
  <c r="I27" s="1"/>
  <c r="H27"/>
  <c r="G27" s="1"/>
  <c r="F27"/>
  <c r="E27"/>
  <c r="AD26"/>
  <c r="Y26"/>
  <c r="T26"/>
  <c r="O26"/>
  <c r="J26"/>
  <c r="F26"/>
  <c r="E26" s="1"/>
  <c r="AD25"/>
  <c r="O25"/>
  <c r="J25"/>
  <c r="AD24"/>
  <c r="O24"/>
  <c r="J24"/>
  <c r="AD23"/>
  <c r="T23"/>
  <c r="O23"/>
  <c r="J23" l="1"/>
  <c r="AD22"/>
  <c r="Y22"/>
  <c r="T22"/>
  <c r="O22"/>
  <c r="J22"/>
  <c r="F22"/>
  <c r="E22"/>
  <c r="AD21"/>
  <c r="Y21"/>
  <c r="T21"/>
  <c r="O21"/>
  <c r="J21"/>
  <c r="E21"/>
  <c r="AD20"/>
  <c r="Y20"/>
  <c r="T20"/>
  <c r="O20"/>
  <c r="J20"/>
  <c r="E20"/>
  <c r="AD19"/>
  <c r="J19"/>
  <c r="E19"/>
  <c r="AD18"/>
  <c r="T18"/>
  <c r="O18"/>
  <c r="J18"/>
  <c r="F18"/>
  <c r="E18" s="1"/>
  <c r="AD17"/>
  <c r="Y17"/>
  <c r="T17"/>
  <c r="O17"/>
  <c r="J17"/>
  <c r="E17"/>
  <c r="AD16" s="1"/>
  <c r="I16"/>
  <c r="F16"/>
  <c r="E16"/>
  <c r="AD15"/>
  <c r="T15"/>
  <c r="O15"/>
  <c r="J15"/>
  <c r="F15"/>
  <c r="E15"/>
  <c r="AD14" l="1"/>
  <c r="Y14"/>
  <c r="T14"/>
  <c r="I14"/>
  <c r="F14"/>
  <c r="E14"/>
  <c r="AD13" s="1"/>
  <c r="Y13"/>
  <c r="T13"/>
  <c r="J13"/>
  <c r="F13"/>
  <c r="E13"/>
  <c r="D113" i="14" s="1"/>
  <c r="Y104"/>
  <c r="B102"/>
  <c r="AC100"/>
  <c r="C100" s="1"/>
  <c r="C99"/>
  <c r="C98" l="1"/>
  <c r="C97"/>
  <c r="AC94" s="1"/>
  <c r="Y94" s="1"/>
  <c r="T94" s="1"/>
  <c r="C93"/>
  <c r="AC91"/>
  <c r="Y91" s="1"/>
  <c r="T91" s="1"/>
  <c r="O91" s="1"/>
  <c r="J91" s="1"/>
  <c r="C91"/>
  <c r="AC90" s="1"/>
  <c r="Y90"/>
  <c r="T90"/>
  <c r="O90"/>
  <c r="J90"/>
  <c r="C90" s="1"/>
  <c r="AC89"/>
  <c r="Y89"/>
  <c r="T89"/>
  <c r="O89"/>
  <c r="J89"/>
  <c r="C89"/>
  <c r="AD85" s="1"/>
  <c r="AC85"/>
  <c r="AB85"/>
  <c r="AA85" s="1"/>
  <c r="Z85"/>
  <c r="Y85"/>
  <c r="X85"/>
  <c r="W85"/>
  <c r="V85" s="1"/>
  <c r="U85"/>
  <c r="T85"/>
  <c r="S85"/>
  <c r="R85"/>
  <c r="Q85"/>
  <c r="P85"/>
  <c r="O85"/>
  <c r="N85"/>
  <c r="M85"/>
  <c r="L85"/>
  <c r="K85"/>
  <c r="J85" s="1"/>
  <c r="I85"/>
  <c r="H85"/>
  <c r="G85" s="1"/>
  <c r="F85"/>
  <c r="E85"/>
  <c r="AD84"/>
  <c r="AC84"/>
  <c r="AB84"/>
  <c r="AA84"/>
  <c r="Z84"/>
  <c r="Y84"/>
  <c r="X84"/>
  <c r="W84"/>
  <c r="V84"/>
  <c r="U84"/>
  <c r="T84"/>
  <c r="S84"/>
  <c r="R84"/>
  <c r="Q84"/>
  <c r="P84"/>
  <c r="O84"/>
  <c r="N84"/>
  <c r="M84"/>
  <c r="L84"/>
  <c r="K84"/>
  <c r="J84"/>
  <c r="I84"/>
  <c r="H84"/>
  <c r="G84"/>
  <c r="F84"/>
  <c r="E84"/>
  <c r="AD83" s="1"/>
  <c r="J83"/>
  <c r="AD82" s="1"/>
  <c r="J82"/>
  <c r="AD80" s="1"/>
  <c r="AC80"/>
  <c r="AB80"/>
  <c r="AA80"/>
  <c r="Z80"/>
  <c r="Y80" s="1"/>
  <c r="X80"/>
  <c r="W80"/>
  <c r="V80"/>
  <c r="U80"/>
  <c r="T80" s="1"/>
  <c r="S80"/>
  <c r="R80"/>
  <c r="Q80"/>
  <c r="P80"/>
  <c r="O80" s="1"/>
  <c r="N80"/>
  <c r="M80"/>
  <c r="L80"/>
  <c r="K80"/>
  <c r="J80" s="1"/>
  <c r="F80"/>
  <c r="E80"/>
  <c r="AD79"/>
  <c r="Y79"/>
  <c r="T79"/>
  <c r="O79"/>
  <c r="J79"/>
  <c r="F79"/>
  <c r="E79" s="1"/>
  <c r="AD77"/>
  <c r="Z77"/>
  <c r="Y77" s="1"/>
  <c r="U77"/>
  <c r="T77" s="1"/>
  <c r="P77"/>
  <c r="O77" s="1"/>
  <c r="K77"/>
  <c r="J77" s="1"/>
  <c r="F77"/>
  <c r="E77"/>
  <c r="AD76"/>
  <c r="AC76"/>
  <c r="AB76"/>
  <c r="AA76"/>
  <c r="Z76"/>
  <c r="Y76"/>
  <c r="X76"/>
  <c r="W76"/>
  <c r="V76"/>
  <c r="U76"/>
  <c r="T76"/>
  <c r="S76"/>
  <c r="R76"/>
  <c r="Q76"/>
  <c r="P76"/>
  <c r="O76"/>
  <c r="N76"/>
  <c r="M76"/>
  <c r="L76"/>
  <c r="K76"/>
  <c r="J76"/>
  <c r="I76"/>
  <c r="H76"/>
  <c r="G76"/>
  <c r="F76"/>
  <c r="E76"/>
  <c r="AD75"/>
  <c r="Y75"/>
  <c r="T75"/>
  <c r="O75"/>
  <c r="J75"/>
  <c r="F75"/>
  <c r="E75"/>
  <c r="AD74"/>
  <c r="Y74"/>
  <c r="T74"/>
  <c r="J74"/>
  <c r="E74"/>
  <c r="AD73"/>
  <c r="Y73"/>
  <c r="T73"/>
  <c r="O73"/>
  <c r="J73"/>
  <c r="F73"/>
  <c r="E73" s="1"/>
  <c r="AD71" s="1"/>
  <c r="AC71"/>
  <c r="AB71"/>
  <c r="AA71"/>
  <c r="Z71"/>
  <c r="Y71"/>
  <c r="X71"/>
  <c r="W71"/>
  <c r="V71"/>
  <c r="U71"/>
  <c r="T71"/>
  <c r="S71"/>
  <c r="R71"/>
  <c r="Q71"/>
  <c r="P71"/>
  <c r="O71"/>
  <c r="N71"/>
  <c r="M71"/>
  <c r="L71"/>
  <c r="K71"/>
  <c r="J71"/>
  <c r="I71"/>
  <c r="H71"/>
  <c r="G71"/>
  <c r="F71"/>
  <c r="E71"/>
  <c r="AD70" s="1"/>
  <c r="J70"/>
  <c r="F70"/>
  <c r="E70"/>
  <c r="AD68" s="1"/>
  <c r="AC68"/>
  <c r="AB68"/>
  <c r="AA68"/>
  <c r="Z68"/>
  <c r="Y68"/>
  <c r="X68"/>
  <c r="W68"/>
  <c r="V68"/>
  <c r="U68"/>
  <c r="T68"/>
  <c r="S68"/>
  <c r="R68"/>
  <c r="Q68"/>
  <c r="P68"/>
  <c r="O68"/>
  <c r="N68"/>
  <c r="M68"/>
  <c r="L68"/>
  <c r="K68"/>
  <c r="J68" s="1"/>
  <c r="I68"/>
  <c r="H68"/>
  <c r="G68"/>
  <c r="F68" s="1"/>
  <c r="E68"/>
  <c r="AD67" s="1"/>
  <c r="J67"/>
  <c r="F67"/>
  <c r="E67"/>
  <c r="AD65"/>
  <c r="Z65"/>
  <c r="Y65" s="1"/>
  <c r="U65"/>
  <c r="T65" s="1"/>
  <c r="P65"/>
  <c r="O65" s="1"/>
  <c r="K65"/>
  <c r="J65" s="1"/>
  <c r="F65"/>
  <c r="E65"/>
  <c r="AD64" s="1"/>
  <c r="Z64"/>
  <c r="Y64"/>
  <c r="U64"/>
  <c r="T64" s="1"/>
  <c r="P64"/>
  <c r="O64" s="1"/>
  <c r="K64"/>
  <c r="J64" s="1"/>
  <c r="F64" s="1"/>
  <c r="E64"/>
  <c r="AD63"/>
  <c r="AC63"/>
  <c r="AB63"/>
  <c r="AA63"/>
  <c r="Z63"/>
  <c r="Y63" s="1"/>
  <c r="X63"/>
  <c r="W63"/>
  <c r="V63"/>
  <c r="U63"/>
  <c r="T63"/>
  <c r="S63"/>
  <c r="R63"/>
  <c r="Q63"/>
  <c r="P63"/>
  <c r="O63"/>
  <c r="N63"/>
  <c r="M63"/>
  <c r="L63"/>
  <c r="K63"/>
  <c r="J63"/>
  <c r="I63"/>
  <c r="H63"/>
  <c r="G63"/>
  <c r="F63"/>
  <c r="E63"/>
  <c r="AD62"/>
  <c r="Y62"/>
  <c r="T62"/>
  <c r="O62"/>
  <c r="J62"/>
  <c r="F62"/>
  <c r="E62"/>
  <c r="AD61"/>
  <c r="Y61"/>
  <c r="T61"/>
  <c r="O61"/>
  <c r="J61"/>
  <c r="F61"/>
  <c r="E61" s="1"/>
  <c r="AD59" s="1"/>
  <c r="AC59"/>
  <c r="AB59"/>
  <c r="AA59"/>
  <c r="Z59"/>
  <c r="Y59" s="1"/>
  <c r="X59"/>
  <c r="W59"/>
  <c r="V59"/>
  <c r="U59"/>
  <c r="T59" s="1"/>
  <c r="S59"/>
  <c r="R59"/>
  <c r="Q59"/>
  <c r="P59"/>
  <c r="O59" s="1"/>
  <c r="N59"/>
  <c r="M59"/>
  <c r="L59"/>
  <c r="K59"/>
  <c r="J59" s="1"/>
  <c r="I59"/>
  <c r="H59"/>
  <c r="G59"/>
  <c r="F59" s="1"/>
  <c r="E59"/>
  <c r="AD58"/>
  <c r="Y58"/>
  <c r="T58"/>
  <c r="O58"/>
  <c r="J58"/>
  <c r="F58"/>
  <c r="E58"/>
  <c r="AD56" l="1"/>
  <c r="Z56" s="1"/>
  <c r="Y56" s="1"/>
  <c r="U56" s="1"/>
  <c r="T56" s="1"/>
  <c r="P56" s="1"/>
  <c r="O56" s="1"/>
  <c r="K56" s="1"/>
  <c r="J56" s="1"/>
  <c r="H56"/>
  <c r="G56"/>
  <c r="F56"/>
  <c r="E56"/>
  <c r="AD55"/>
  <c r="AC55"/>
  <c r="AB55"/>
  <c r="AA55"/>
  <c r="Z55"/>
  <c r="Y55"/>
  <c r="X55"/>
  <c r="W55"/>
  <c r="V55"/>
  <c r="U55"/>
  <c r="T55"/>
  <c r="S55"/>
  <c r="R55"/>
  <c r="Q55"/>
  <c r="P55"/>
  <c r="O55"/>
  <c r="N55"/>
  <c r="M55"/>
  <c r="L55"/>
  <c r="K55"/>
  <c r="J55"/>
  <c r="I55"/>
  <c r="H55"/>
  <c r="G55"/>
  <c r="F55" s="1"/>
  <c r="E55" s="1"/>
  <c r="AD54" s="1"/>
  <c r="AC54" s="1"/>
  <c r="AB54" s="1"/>
  <c r="AA54" s="1"/>
  <c r="Z54" s="1"/>
  <c r="Y54" s="1"/>
  <c r="X54" s="1"/>
  <c r="W54" s="1"/>
  <c r="V54" s="1"/>
  <c r="U54" s="1"/>
  <c r="T54"/>
  <c r="S54" s="1"/>
  <c r="R54" s="1"/>
  <c r="Q54" s="1"/>
  <c r="P54" s="1"/>
  <c r="O54" s="1"/>
  <c r="N54" s="1"/>
  <c r="M54" s="1"/>
  <c r="L54"/>
  <c r="K54"/>
  <c r="J54" s="1"/>
  <c r="I54" s="1"/>
  <c r="H54"/>
  <c r="G54" s="1"/>
  <c r="F54" s="1"/>
  <c r="E54" s="1"/>
  <c r="AD53"/>
  <c r="Y53"/>
  <c r="T53"/>
  <c r="O53"/>
  <c r="J53"/>
  <c r="F53"/>
  <c r="E53" s="1"/>
  <c r="AD52"/>
  <c r="F52"/>
  <c r="E52"/>
  <c r="AD51" s="1"/>
  <c r="J51"/>
  <c r="G51"/>
  <c r="F51"/>
  <c r="E51"/>
  <c r="AD50"/>
  <c r="Y50"/>
  <c r="T50"/>
  <c r="O50"/>
  <c r="J50"/>
  <c r="F50"/>
  <c r="E50" s="1"/>
  <c r="AD49"/>
  <c r="Y49"/>
  <c r="T49"/>
  <c r="O49"/>
  <c r="J49"/>
  <c r="E49"/>
  <c r="AD48"/>
  <c r="Y48"/>
  <c r="T48"/>
  <c r="O48"/>
  <c r="J48"/>
  <c r="E48"/>
  <c r="AD47"/>
  <c r="Y47"/>
  <c r="T47"/>
  <c r="O47"/>
  <c r="J47"/>
  <c r="F47"/>
  <c r="E47" s="1"/>
  <c r="AD46"/>
  <c r="Y46"/>
  <c r="T46"/>
  <c r="O46"/>
  <c r="J46"/>
  <c r="E46"/>
  <c r="AD45"/>
  <c r="Y45"/>
  <c r="T45"/>
  <c r="O45"/>
  <c r="J45"/>
  <c r="E45"/>
  <c r="AD44"/>
  <c r="Y44"/>
  <c r="T44"/>
  <c r="O44"/>
  <c r="J44"/>
  <c r="E44"/>
  <c r="AD43"/>
  <c r="Y43"/>
  <c r="T43"/>
  <c r="O43"/>
  <c r="J43"/>
  <c r="E43"/>
  <c r="AD42"/>
  <c r="Y42"/>
  <c r="T42"/>
  <c r="O42"/>
  <c r="J42"/>
  <c r="E42"/>
  <c r="AD41"/>
  <c r="Y41"/>
  <c r="T41"/>
  <c r="O41"/>
  <c r="J41"/>
  <c r="E41"/>
  <c r="AD40"/>
  <c r="Y40"/>
  <c r="T40"/>
  <c r="O40"/>
  <c r="J40"/>
  <c r="E40"/>
  <c r="AD39"/>
  <c r="Y39"/>
  <c r="T39"/>
  <c r="K39"/>
  <c r="J39"/>
  <c r="E39"/>
  <c r="AD38"/>
  <c r="Y38"/>
  <c r="T38"/>
  <c r="K38"/>
  <c r="J38"/>
  <c r="E38"/>
  <c r="AD37"/>
  <c r="Y37"/>
  <c r="T37"/>
  <c r="K37"/>
  <c r="J37" s="1"/>
  <c r="F37"/>
  <c r="E37"/>
  <c r="AD36"/>
  <c r="Y36"/>
  <c r="T36"/>
  <c r="K36"/>
  <c r="J36"/>
  <c r="E36"/>
  <c r="AD35"/>
  <c r="AC35"/>
  <c r="AB35"/>
  <c r="AA35"/>
  <c r="Z35"/>
  <c r="Y35"/>
  <c r="X35"/>
  <c r="W35"/>
  <c r="V35"/>
  <c r="U35"/>
  <c r="T35"/>
  <c r="S35"/>
  <c r="R35"/>
  <c r="Q35"/>
  <c r="P35"/>
  <c r="O35"/>
  <c r="N35"/>
  <c r="M35"/>
  <c r="K35"/>
  <c r="J35" s="1"/>
  <c r="I35"/>
  <c r="H35"/>
  <c r="G35"/>
  <c r="F35" s="1"/>
  <c r="E35" l="1"/>
  <c r="AD33" s="1"/>
  <c r="AC33"/>
  <c r="AB33"/>
  <c r="AA33"/>
  <c r="Z33"/>
  <c r="Y33" s="1"/>
  <c r="X33"/>
  <c r="W33"/>
  <c r="V33"/>
  <c r="U33"/>
  <c r="T33"/>
  <c r="S33"/>
  <c r="R33"/>
  <c r="Q33"/>
  <c r="P33"/>
  <c r="O33" s="1"/>
  <c r="N33"/>
  <c r="M33"/>
  <c r="L33"/>
  <c r="K33"/>
  <c r="J33" s="1"/>
  <c r="I33"/>
  <c r="H33"/>
  <c r="G33"/>
  <c r="F33"/>
  <c r="E33" s="1"/>
  <c r="AD32"/>
  <c r="Y32"/>
  <c r="T32"/>
  <c r="O32"/>
  <c r="J32"/>
  <c r="F32"/>
  <c r="E32" s="1"/>
  <c r="AD30"/>
  <c r="AC30"/>
  <c r="AB30"/>
  <c r="AA30"/>
  <c r="Z30"/>
  <c r="Y30"/>
  <c r="X30"/>
  <c r="W30"/>
  <c r="V30"/>
  <c r="U30"/>
  <c r="T30"/>
  <c r="S30"/>
  <c r="R30"/>
  <c r="Q30"/>
  <c r="P30"/>
  <c r="O30" s="1"/>
  <c r="N30"/>
  <c r="M30"/>
  <c r="L30"/>
  <c r="K30"/>
  <c r="J30" s="1"/>
  <c r="I30"/>
  <c r="H30"/>
  <c r="G30"/>
  <c r="F30"/>
  <c r="E30"/>
  <c r="AD29"/>
  <c r="AC29"/>
  <c r="AB29"/>
  <c r="AA29"/>
  <c r="Z29"/>
  <c r="Y29"/>
  <c r="X29"/>
  <c r="W29"/>
  <c r="V29"/>
  <c r="U29"/>
  <c r="T29"/>
  <c r="S29"/>
  <c r="R29"/>
  <c r="Q29"/>
  <c r="P29"/>
  <c r="O29" s="1"/>
  <c r="N29"/>
  <c r="M29"/>
  <c r="L29"/>
  <c r="K29"/>
  <c r="J29"/>
  <c r="I29"/>
  <c r="H29"/>
  <c r="G29"/>
  <c r="F29"/>
  <c r="E29" s="1"/>
  <c r="AD28"/>
  <c r="AC28"/>
  <c r="AB28"/>
  <c r="AA28"/>
  <c r="Z28"/>
  <c r="Y28" s="1"/>
  <c r="X28"/>
  <c r="W28"/>
  <c r="V28"/>
  <c r="U28"/>
  <c r="T28"/>
  <c r="S28"/>
  <c r="R28"/>
  <c r="Q28"/>
  <c r="P28"/>
  <c r="O28"/>
  <c r="N28"/>
  <c r="M28"/>
  <c r="L28"/>
  <c r="K28"/>
  <c r="J28"/>
  <c r="I28"/>
  <c r="H28"/>
  <c r="G28"/>
  <c r="F28" s="1"/>
  <c r="E28" s="1"/>
  <c r="AD27" s="1"/>
  <c r="AC27"/>
  <c r="AB27"/>
  <c r="AA27"/>
  <c r="Z27" s="1"/>
  <c r="Y27" l="1"/>
  <c r="X27"/>
  <c r="W27"/>
  <c r="V27"/>
  <c r="U27"/>
  <c r="T27" s="1"/>
  <c r="S27"/>
  <c r="R27"/>
  <c r="Q27"/>
  <c r="P27"/>
  <c r="O27"/>
  <c r="N27"/>
  <c r="M27"/>
  <c r="L27"/>
  <c r="K27"/>
  <c r="J27"/>
  <c r="I27" s="1"/>
  <c r="H27"/>
  <c r="G27" s="1"/>
  <c r="F27"/>
  <c r="E27"/>
  <c r="AD26"/>
  <c r="Y26"/>
  <c r="T26"/>
  <c r="O26"/>
  <c r="J26"/>
  <c r="F26"/>
  <c r="E26" s="1"/>
  <c r="AD25"/>
  <c r="O25"/>
  <c r="J25"/>
  <c r="AD24"/>
  <c r="AD23"/>
  <c r="AD22"/>
  <c r="J22"/>
  <c r="F22"/>
  <c r="E22" s="1"/>
  <c r="AD21"/>
  <c r="J21"/>
  <c r="E21"/>
  <c r="AD20"/>
  <c r="J20"/>
  <c r="E20"/>
  <c r="J19"/>
  <c r="E19"/>
  <c r="AD18"/>
  <c r="J18"/>
  <c r="F18"/>
  <c r="E18" s="1"/>
  <c r="AD17"/>
  <c r="Y17"/>
  <c r="T17"/>
  <c r="J17"/>
  <c r="E17"/>
  <c r="AD16" s="1"/>
  <c r="Y16"/>
  <c r="T16"/>
  <c r="I16"/>
  <c r="F16"/>
  <c r="E16"/>
  <c r="AD15"/>
  <c r="J15"/>
  <c r="F15"/>
  <c r="E15"/>
  <c r="AD14" s="1"/>
  <c r="Y14"/>
  <c r="T14"/>
  <c r="I14"/>
  <c r="F14"/>
  <c r="E14"/>
  <c r="AD13" s="1"/>
  <c r="Y13"/>
  <c r="T13"/>
  <c r="F13"/>
  <c r="E13"/>
  <c r="D134" i="11"/>
  <c r="Y125"/>
  <c r="B123"/>
  <c r="AC121" s="1"/>
  <c r="C121" s="1"/>
  <c r="C120"/>
  <c r="C119" l="1"/>
  <c r="C118"/>
  <c r="C116" l="1"/>
  <c r="AC115"/>
  <c r="Y115" s="1"/>
  <c r="T115" s="1"/>
  <c r="C115" l="1"/>
  <c r="AC114" s="1"/>
  <c r="Y114"/>
  <c r="T114" s="1"/>
  <c r="O114"/>
  <c r="J114" s="1"/>
  <c r="C114"/>
  <c r="AC113"/>
  <c r="Y113"/>
  <c r="T113"/>
  <c r="O113"/>
  <c r="J113"/>
  <c r="C113"/>
  <c r="AC112" s="1"/>
  <c r="Y112"/>
  <c r="T112"/>
  <c r="O112"/>
  <c r="J112" s="1"/>
  <c r="C112"/>
  <c r="AC111"/>
  <c r="Y111" s="1"/>
  <c r="T111"/>
  <c r="O111" s="1"/>
  <c r="J111"/>
  <c r="C111"/>
  <c r="AC110"/>
  <c r="Y110" s="1"/>
  <c r="T110"/>
  <c r="O110" s="1"/>
  <c r="J110" s="1"/>
  <c r="C110"/>
  <c r="AD106"/>
  <c r="AC106"/>
  <c r="AB106" s="1"/>
  <c r="AA106" s="1"/>
  <c r="Z106"/>
  <c r="Y106"/>
  <c r="X106" s="1"/>
  <c r="W106" s="1"/>
  <c r="V106" s="1"/>
  <c r="U106"/>
  <c r="T106" s="1"/>
  <c r="S106"/>
  <c r="R106" s="1"/>
  <c r="Q106" s="1"/>
  <c r="P106"/>
  <c r="O106" s="1"/>
  <c r="N106"/>
  <c r="M106" s="1"/>
  <c r="L106" s="1"/>
  <c r="K106" s="1"/>
  <c r="J106" s="1"/>
  <c r="I106" s="1"/>
  <c r="H106" s="1"/>
  <c r="G106" s="1"/>
  <c r="F106"/>
  <c r="E106"/>
  <c r="AD105" s="1"/>
  <c r="AC105"/>
  <c r="AB105"/>
  <c r="AA105"/>
  <c r="Z105"/>
  <c r="Y105" s="1"/>
  <c r="X105"/>
  <c r="W105"/>
  <c r="V105"/>
  <c r="U105"/>
  <c r="T105" s="1"/>
  <c r="S105"/>
  <c r="R105"/>
  <c r="Q105"/>
  <c r="P105"/>
  <c r="O105"/>
  <c r="N105"/>
  <c r="M105"/>
  <c r="L105"/>
  <c r="K105"/>
  <c r="J105"/>
  <c r="I105"/>
  <c r="H105"/>
  <c r="G105"/>
  <c r="F105"/>
  <c r="E105"/>
  <c r="AD104"/>
  <c r="Y104"/>
  <c r="T104"/>
  <c r="AD102" s="1"/>
  <c r="AC102"/>
  <c r="AB102"/>
  <c r="AA102"/>
  <c r="Z102"/>
  <c r="Y102" s="1"/>
  <c r="X102"/>
  <c r="W102"/>
  <c r="V102"/>
  <c r="U102"/>
  <c r="T102" s="1"/>
  <c r="S102"/>
  <c r="R102"/>
  <c r="Q102"/>
  <c r="P102"/>
  <c r="O102"/>
  <c r="N102"/>
  <c r="M102"/>
  <c r="L102"/>
  <c r="K102"/>
  <c r="J102" s="1"/>
  <c r="I102"/>
  <c r="H102"/>
  <c r="G102"/>
  <c r="F102"/>
  <c r="E102"/>
  <c r="AD101"/>
  <c r="AD100"/>
  <c r="AD99"/>
  <c r="AD97" s="1"/>
  <c r="AC97"/>
  <c r="AB97"/>
  <c r="AA97"/>
  <c r="Z97"/>
  <c r="Y97"/>
  <c r="X97"/>
  <c r="W97"/>
  <c r="V97"/>
  <c r="U97"/>
  <c r="T97"/>
  <c r="S97"/>
  <c r="R97"/>
  <c r="Q97"/>
  <c r="P97"/>
  <c r="O97" s="1"/>
  <c r="N97"/>
  <c r="M97"/>
  <c r="L97"/>
  <c r="K97"/>
  <c r="J97" s="1"/>
  <c r="I97"/>
  <c r="H97"/>
  <c r="G97"/>
  <c r="F97"/>
  <c r="E97"/>
  <c r="AD96"/>
  <c r="Y96"/>
  <c r="T96"/>
  <c r="O96"/>
  <c r="J96"/>
  <c r="F96"/>
  <c r="E96"/>
  <c r="AD95"/>
  <c r="AD94"/>
  <c r="AD92" s="1"/>
  <c r="AC92"/>
  <c r="AB92"/>
  <c r="AA92"/>
  <c r="Z92"/>
  <c r="Y92"/>
  <c r="X92"/>
  <c r="W92"/>
  <c r="V92"/>
  <c r="U92"/>
  <c r="T92"/>
  <c r="S92"/>
  <c r="R92"/>
  <c r="Q92"/>
  <c r="P92"/>
  <c r="O92"/>
  <c r="N92"/>
  <c r="M92"/>
  <c r="L92"/>
  <c r="K92"/>
  <c r="J92"/>
  <c r="I92"/>
  <c r="H92"/>
  <c r="G92"/>
  <c r="F92" s="1"/>
  <c r="E92"/>
  <c r="AD91" s="1"/>
  <c r="F91"/>
  <c r="E91" s="1"/>
  <c r="AD90"/>
  <c r="F90"/>
  <c r="E90"/>
  <c r="AD89" s="1"/>
  <c r="AC89"/>
  <c r="AB89"/>
  <c r="AA89"/>
  <c r="Z89"/>
  <c r="Y89" s="1"/>
  <c r="X89"/>
  <c r="W89"/>
  <c r="V89"/>
  <c r="U89"/>
  <c r="T89" s="1"/>
  <c r="S89"/>
  <c r="R89"/>
  <c r="Q89"/>
  <c r="P89"/>
  <c r="O89"/>
  <c r="N89"/>
  <c r="M89"/>
  <c r="L89"/>
  <c r="K89"/>
  <c r="J89" s="1"/>
  <c r="I89"/>
  <c r="H89"/>
  <c r="G89"/>
  <c r="F89"/>
  <c r="E89" s="1"/>
  <c r="J87" s="1"/>
  <c r="F87"/>
  <c r="E87" s="1"/>
  <c r="F86"/>
  <c r="G85"/>
  <c r="F85" s="1"/>
  <c r="E85" s="1"/>
  <c r="AD84"/>
  <c r="O84"/>
  <c r="J84"/>
  <c r="F81"/>
  <c r="E81"/>
  <c r="E80"/>
  <c r="E79"/>
  <c r="E78"/>
  <c r="F77"/>
  <c r="E77" s="1"/>
  <c r="AD75"/>
  <c r="Z75"/>
  <c r="Y75" s="1"/>
  <c r="U75"/>
  <c r="T75" s="1"/>
  <c r="P75"/>
  <c r="O75" s="1"/>
  <c r="K75"/>
  <c r="J75"/>
  <c r="F75"/>
  <c r="E75" s="1"/>
  <c r="AD74" s="1"/>
  <c r="Z74"/>
  <c r="Y74"/>
  <c r="U74"/>
  <c r="T74"/>
  <c r="P74"/>
  <c r="O74"/>
  <c r="K74"/>
  <c r="J74"/>
  <c r="F74"/>
  <c r="E74"/>
  <c r="AD73"/>
  <c r="AC73"/>
  <c r="AB73"/>
  <c r="AA73"/>
  <c r="Z73"/>
  <c r="Y73"/>
  <c r="X73"/>
  <c r="W73"/>
  <c r="V73"/>
  <c r="U73"/>
  <c r="T73"/>
  <c r="S73"/>
  <c r="R73"/>
  <c r="Q73"/>
  <c r="P73"/>
  <c r="O73"/>
  <c r="N73"/>
  <c r="M73"/>
  <c r="L73"/>
  <c r="K73"/>
  <c r="J73"/>
  <c r="I73"/>
  <c r="H73"/>
  <c r="G73"/>
  <c r="F73"/>
  <c r="E73"/>
  <c r="AD72"/>
  <c r="F72"/>
  <c r="E72" s="1"/>
  <c r="AD71"/>
  <c r="Y71"/>
  <c r="T71"/>
  <c r="O71"/>
  <c r="J71"/>
  <c r="F71"/>
  <c r="E71"/>
  <c r="AD69" s="1"/>
  <c r="AC69"/>
  <c r="AB69"/>
  <c r="AA69"/>
  <c r="Z69"/>
  <c r="Y69"/>
  <c r="X69"/>
  <c r="W69"/>
  <c r="V69"/>
  <c r="U69"/>
  <c r="T69"/>
  <c r="S69"/>
  <c r="R69"/>
  <c r="Q69"/>
  <c r="P69"/>
  <c r="O69"/>
  <c r="N69"/>
  <c r="M69"/>
  <c r="L69"/>
  <c r="K69"/>
  <c r="J69"/>
  <c r="I69"/>
  <c r="H69"/>
  <c r="G69"/>
  <c r="F69"/>
  <c r="E69"/>
  <c r="AD68" s="1"/>
  <c r="E68"/>
  <c r="AD66" s="1"/>
  <c r="AC66"/>
  <c r="AB66"/>
  <c r="AA66"/>
  <c r="Z66"/>
  <c r="Y66"/>
  <c r="X66"/>
  <c r="W66"/>
  <c r="V66"/>
  <c r="U66"/>
  <c r="T66"/>
  <c r="S66"/>
  <c r="R66"/>
  <c r="Q66"/>
  <c r="P66"/>
  <c r="O66"/>
  <c r="N66"/>
  <c r="M66"/>
  <c r="L66"/>
  <c r="K66"/>
  <c r="J66"/>
  <c r="I66"/>
  <c r="H66"/>
  <c r="G66"/>
  <c r="F66" s="1"/>
  <c r="E66"/>
  <c r="AD65"/>
  <c r="F65"/>
  <c r="E65"/>
  <c r="AD63"/>
  <c r="Z63"/>
  <c r="Y63"/>
  <c r="U63"/>
  <c r="T63" s="1"/>
  <c r="P63"/>
  <c r="O63" s="1"/>
  <c r="K63"/>
  <c r="J63" s="1"/>
  <c r="F63"/>
  <c r="E63"/>
  <c r="AD62" s="1"/>
  <c r="Z62"/>
  <c r="Y62"/>
  <c r="U62"/>
  <c r="T62" s="1"/>
  <c r="P62"/>
  <c r="O62"/>
  <c r="K62"/>
  <c r="J62"/>
  <c r="F62" s="1"/>
  <c r="E62" s="1"/>
  <c r="AD61"/>
  <c r="AC61"/>
  <c r="AB61"/>
  <c r="AA61"/>
  <c r="Z61"/>
  <c r="Y61" s="1"/>
  <c r="X61"/>
  <c r="W61"/>
  <c r="V61"/>
  <c r="U61"/>
  <c r="T61"/>
  <c r="S61"/>
  <c r="R61"/>
  <c r="Q61"/>
  <c r="P61"/>
  <c r="O61"/>
  <c r="N61"/>
  <c r="M61"/>
  <c r="L61"/>
  <c r="K61"/>
  <c r="J61"/>
  <c r="I61"/>
  <c r="H61"/>
  <c r="G61"/>
  <c r="F61"/>
  <c r="E61" s="1"/>
  <c r="AD60"/>
  <c r="Y60"/>
  <c r="T60"/>
  <c r="O60"/>
  <c r="J60"/>
  <c r="F60"/>
  <c r="E60"/>
  <c r="AD59"/>
  <c r="Y59"/>
  <c r="T59"/>
  <c r="O59"/>
  <c r="J59"/>
  <c r="F59"/>
  <c r="E59"/>
  <c r="AD57" s="1"/>
  <c r="AC57"/>
  <c r="AB57"/>
  <c r="AA57"/>
  <c r="Z57"/>
  <c r="Y57" s="1"/>
  <c r="X57"/>
  <c r="W57"/>
  <c r="V57"/>
  <c r="U57"/>
  <c r="T57" s="1"/>
  <c r="S57"/>
  <c r="R57"/>
  <c r="Q57"/>
  <c r="P57"/>
  <c r="O57"/>
  <c r="N57"/>
  <c r="M57"/>
  <c r="L57"/>
  <c r="K57"/>
  <c r="J57"/>
  <c r="I57"/>
  <c r="H57"/>
  <c r="G57"/>
  <c r="F57"/>
  <c r="E57" s="1"/>
  <c r="AD56"/>
  <c r="Y56"/>
  <c r="T56"/>
  <c r="O56"/>
  <c r="J56"/>
  <c r="F56"/>
  <c r="E56"/>
  <c r="AD54" s="1"/>
  <c r="AC54"/>
  <c r="AB54"/>
  <c r="AA54"/>
  <c r="Z54"/>
  <c r="Y54" s="1"/>
  <c r="X54"/>
  <c r="W54"/>
  <c r="V54"/>
  <c r="U54"/>
  <c r="T54" s="1"/>
  <c r="S54"/>
  <c r="R54"/>
  <c r="Q54"/>
  <c r="P54"/>
  <c r="O54" s="1"/>
  <c r="N54"/>
  <c r="M54"/>
  <c r="L54"/>
  <c r="K54"/>
  <c r="J54" s="1"/>
  <c r="I54"/>
  <c r="H54"/>
  <c r="G54"/>
  <c r="F54" s="1"/>
  <c r="E54"/>
  <c r="AD53"/>
  <c r="Y53"/>
  <c r="T53"/>
  <c r="O53"/>
  <c r="K53"/>
  <c r="J53"/>
  <c r="F53"/>
  <c r="E53"/>
  <c r="AD51"/>
  <c r="Z51"/>
  <c r="Y51"/>
  <c r="U51" s="1"/>
  <c r="T51"/>
  <c r="P51"/>
  <c r="O51" s="1"/>
  <c r="K51" s="1"/>
  <c r="J51"/>
  <c r="H51"/>
  <c r="G51" s="1"/>
  <c r="F51" s="1"/>
  <c r="E51"/>
  <c r="AD50" s="1"/>
  <c r="AC50"/>
  <c r="AB50"/>
  <c r="AA50"/>
  <c r="Z50"/>
  <c r="Y50"/>
  <c r="X50"/>
  <c r="W50"/>
  <c r="V50"/>
  <c r="U50"/>
  <c r="T50"/>
  <c r="S50"/>
  <c r="R50"/>
  <c r="Q50"/>
  <c r="P50"/>
  <c r="O50"/>
  <c r="N50"/>
  <c r="M50"/>
  <c r="L50"/>
  <c r="K50"/>
  <c r="J50"/>
  <c r="I50"/>
  <c r="H50"/>
  <c r="G50"/>
  <c r="F50"/>
  <c r="E50"/>
  <c r="AD49" l="1"/>
  <c r="AC49" s="1"/>
  <c r="AB49"/>
  <c r="AA49" s="1"/>
  <c r="Z49" s="1"/>
  <c r="Y49"/>
  <c r="X49"/>
  <c r="W49" s="1"/>
  <c r="V49" s="1"/>
  <c r="U49"/>
  <c r="T49"/>
  <c r="S49" s="1"/>
  <c r="R49" s="1"/>
  <c r="Q49" s="1"/>
  <c r="P49"/>
  <c r="O49"/>
  <c r="N49" s="1"/>
  <c r="M49" s="1"/>
  <c r="L49"/>
  <c r="K49"/>
  <c r="J49"/>
  <c r="I49" s="1"/>
  <c r="H49"/>
  <c r="G49"/>
  <c r="F49" s="1"/>
  <c r="E49"/>
  <c r="AD48"/>
  <c r="F48"/>
  <c r="E48" s="1"/>
  <c r="AD47" s="1"/>
  <c r="J47"/>
  <c r="G47"/>
  <c r="F47"/>
  <c r="E47" s="1"/>
  <c r="AD46" s="1"/>
  <c r="Y46"/>
  <c r="T46"/>
  <c r="O46"/>
  <c r="J46"/>
  <c r="F46"/>
  <c r="E46" s="1"/>
  <c r="AD45" s="1"/>
  <c r="Y45"/>
  <c r="T45"/>
  <c r="O45"/>
  <c r="J45"/>
  <c r="E45"/>
  <c r="AD44" s="1"/>
  <c r="Y44"/>
  <c r="T44"/>
  <c r="O44"/>
  <c r="J44"/>
  <c r="E44"/>
  <c r="AD43" s="1"/>
  <c r="Y43"/>
  <c r="T43"/>
  <c r="O43"/>
  <c r="J43"/>
  <c r="F43"/>
  <c r="E43" s="1"/>
  <c r="AD42" s="1"/>
  <c r="Y42"/>
  <c r="T42"/>
  <c r="O42"/>
  <c r="J42"/>
  <c r="E42"/>
  <c r="AD41" s="1"/>
  <c r="Y41"/>
  <c r="T41"/>
  <c r="O41"/>
  <c r="J41"/>
  <c r="E41"/>
  <c r="AD40" s="1"/>
  <c r="Y40"/>
  <c r="T40"/>
  <c r="O40"/>
  <c r="J40"/>
  <c r="E40"/>
  <c r="AD39" s="1"/>
  <c r="Y39"/>
  <c r="T39"/>
  <c r="O39"/>
  <c r="J39"/>
  <c r="E39"/>
  <c r="AD38" s="1"/>
  <c r="Y38"/>
  <c r="T38"/>
  <c r="O38"/>
  <c r="J38"/>
  <c r="E38"/>
  <c r="AD37" s="1"/>
  <c r="Y37"/>
  <c r="T37"/>
  <c r="O37"/>
  <c r="J37"/>
  <c r="E37"/>
  <c r="AD36" s="1"/>
  <c r="Y36"/>
  <c r="T36"/>
  <c r="O36"/>
  <c r="J36"/>
  <c r="E36"/>
  <c r="AD35" s="1"/>
  <c r="Y35"/>
  <c r="T35"/>
  <c r="O35"/>
  <c r="J35"/>
  <c r="E35"/>
  <c r="AD34" s="1"/>
  <c r="Y34"/>
  <c r="T34"/>
  <c r="O34"/>
  <c r="J34"/>
  <c r="E34"/>
  <c r="AD33" s="1"/>
  <c r="Y33"/>
  <c r="T33"/>
  <c r="O33"/>
  <c r="J33"/>
  <c r="F33"/>
  <c r="E33"/>
  <c r="AD32"/>
  <c r="Y32"/>
  <c r="T32"/>
  <c r="O32"/>
  <c r="J32"/>
  <c r="E32"/>
  <c r="AD31"/>
  <c r="AC31"/>
  <c r="AB31"/>
  <c r="AA31"/>
  <c r="Z31"/>
  <c r="Y31"/>
  <c r="X31"/>
  <c r="W31"/>
  <c r="V31"/>
  <c r="U31"/>
  <c r="T31"/>
  <c r="S31"/>
  <c r="R31"/>
  <c r="Q31"/>
  <c r="P31"/>
  <c r="O31"/>
  <c r="N31"/>
  <c r="M31"/>
  <c r="L31"/>
  <c r="K31"/>
  <c r="J31"/>
  <c r="I31"/>
  <c r="H31"/>
  <c r="G31"/>
  <c r="F31"/>
  <c r="E31" s="1"/>
  <c r="AD29" s="1"/>
  <c r="AC29"/>
  <c r="AB29"/>
  <c r="AA29"/>
  <c r="Z29"/>
  <c r="Y29"/>
  <c r="X29"/>
  <c r="W29"/>
  <c r="V29"/>
  <c r="U29"/>
  <c r="T29"/>
  <c r="S29"/>
  <c r="R29"/>
  <c r="Q29"/>
  <c r="P29"/>
  <c r="O29"/>
  <c r="N29"/>
  <c r="M29"/>
  <c r="L29"/>
  <c r="K29"/>
  <c r="J29"/>
  <c r="I29"/>
  <c r="H29"/>
  <c r="G29"/>
  <c r="F29"/>
  <c r="E29"/>
  <c r="AD28" s="1"/>
  <c r="Y28"/>
  <c r="T28"/>
  <c r="E28"/>
  <c r="AD27" s="1"/>
  <c r="Y27"/>
  <c r="T27"/>
  <c r="E27"/>
  <c r="AD25" s="1"/>
  <c r="AC25"/>
  <c r="AB25"/>
  <c r="AA25"/>
  <c r="Z25"/>
  <c r="Y25" s="1"/>
  <c r="X25"/>
  <c r="W25"/>
  <c r="V25"/>
  <c r="U25"/>
  <c r="T25" s="1"/>
  <c r="S25"/>
  <c r="R25"/>
  <c r="Q25"/>
  <c r="P25"/>
  <c r="O25"/>
  <c r="N25"/>
  <c r="M25"/>
  <c r="L25"/>
  <c r="K25"/>
  <c r="J25"/>
  <c r="I25"/>
  <c r="H25"/>
  <c r="G25"/>
  <c r="F25"/>
  <c r="E25" s="1"/>
  <c r="AD24"/>
  <c r="Y24"/>
  <c r="T24"/>
  <c r="O24"/>
  <c r="J24"/>
  <c r="F24"/>
  <c r="E24"/>
  <c r="AD22"/>
  <c r="AC22"/>
  <c r="AB22"/>
  <c r="AA22"/>
  <c r="Z22"/>
  <c r="Y22"/>
  <c r="X22"/>
  <c r="W22"/>
  <c r="V22"/>
  <c r="U22"/>
  <c r="T22" s="1"/>
  <c r="S22"/>
  <c r="R22"/>
  <c r="Q22"/>
  <c r="P22"/>
  <c r="O22"/>
  <c r="N22"/>
  <c r="M22"/>
  <c r="L22"/>
  <c r="K22"/>
  <c r="J22"/>
  <c r="I22"/>
  <c r="H22"/>
  <c r="G22"/>
  <c r="F22"/>
  <c r="E22"/>
  <c r="AD21"/>
  <c r="AC21"/>
  <c r="AB21"/>
  <c r="AA21"/>
  <c r="Z21"/>
  <c r="Y21"/>
  <c r="X21"/>
  <c r="W21"/>
  <c r="V21"/>
  <c r="U21"/>
  <c r="T21"/>
  <c r="S21"/>
  <c r="R21"/>
  <c r="Q21"/>
  <c r="P21"/>
  <c r="O21"/>
  <c r="N21"/>
  <c r="M21"/>
  <c r="L21"/>
  <c r="K21"/>
  <c r="J21"/>
  <c r="I21"/>
  <c r="H21"/>
  <c r="G21"/>
  <c r="F21"/>
  <c r="E21"/>
  <c r="AD20"/>
  <c r="AC20"/>
  <c r="AB20"/>
  <c r="AA20"/>
  <c r="Z20"/>
  <c r="Y20" s="1"/>
  <c r="X20"/>
  <c r="W20"/>
  <c r="V20"/>
  <c r="U20"/>
  <c r="T20" s="1"/>
  <c r="S20"/>
  <c r="R20"/>
  <c r="Q20"/>
  <c r="P20" s="1"/>
  <c r="O20"/>
  <c r="N20"/>
  <c r="M20"/>
  <c r="L20"/>
  <c r="K20"/>
  <c r="J20"/>
  <c r="I20"/>
  <c r="H20"/>
  <c r="G20"/>
  <c r="F20"/>
  <c r="E20"/>
  <c r="AD19"/>
  <c r="AD18"/>
  <c r="AD17" s="1"/>
  <c r="Y17"/>
  <c r="T17"/>
  <c r="E17"/>
  <c r="AD16"/>
  <c r="E16"/>
  <c r="AD15" s="1"/>
  <c r="Y15"/>
  <c r="T15"/>
  <c r="O15"/>
  <c r="J15"/>
  <c r="AD14"/>
  <c r="Y14"/>
  <c r="T14"/>
  <c r="E14"/>
  <c r="AD13"/>
  <c r="Y13"/>
  <c r="T13"/>
  <c r="E13"/>
  <c r="D134" i="9"/>
  <c r="E129"/>
  <c r="E128" s="1"/>
  <c r="D128"/>
  <c r="Y125"/>
  <c r="B123"/>
  <c r="AC121" s="1"/>
  <c r="C121"/>
  <c r="C120" s="1"/>
  <c r="C119"/>
  <c r="C118"/>
  <c r="C116" s="1"/>
  <c r="AC115" l="1"/>
  <c r="Y115"/>
  <c r="T115" s="1"/>
  <c r="C115" s="1"/>
  <c r="AC114"/>
  <c r="Y114"/>
  <c r="T114"/>
  <c r="O114" s="1"/>
  <c r="J114" s="1"/>
  <c r="C114"/>
  <c r="AC113"/>
  <c r="Y113"/>
  <c r="T113"/>
  <c r="O113"/>
  <c r="J113"/>
  <c r="C113" s="1"/>
  <c r="AC112" s="1"/>
  <c r="Y112" s="1"/>
  <c r="T112" s="1"/>
  <c r="O112"/>
  <c r="J112" s="1"/>
  <c r="C112"/>
  <c r="AC111"/>
  <c r="Y111"/>
  <c r="T111"/>
  <c r="O111"/>
  <c r="J111"/>
  <c r="C111"/>
  <c r="AC110"/>
  <c r="Y110" s="1"/>
  <c r="T110"/>
  <c r="O110" s="1"/>
  <c r="J110" s="1"/>
  <c r="C110"/>
  <c r="AD106" l="1"/>
  <c r="AC106"/>
  <c r="AB106"/>
  <c r="AA106"/>
  <c r="Z106" s="1"/>
  <c r="Y106"/>
  <c r="X106"/>
  <c r="W106"/>
  <c r="V106"/>
  <c r="U106" s="1"/>
  <c r="T106"/>
  <c r="S106"/>
  <c r="R106"/>
  <c r="Q106"/>
  <c r="P106" s="1"/>
  <c r="O106"/>
  <c r="N106"/>
  <c r="M106"/>
  <c r="L106"/>
  <c r="K106"/>
  <c r="J106"/>
  <c r="I106"/>
  <c r="H106"/>
  <c r="G106" s="1"/>
  <c r="F106"/>
  <c r="E106"/>
  <c r="AD105" s="1"/>
  <c r="AC105"/>
  <c r="AB105"/>
  <c r="AA105"/>
  <c r="Z105"/>
  <c r="Y105"/>
  <c r="X105"/>
  <c r="W105"/>
  <c r="V105"/>
  <c r="U105"/>
  <c r="T105"/>
  <c r="S105"/>
  <c r="R105"/>
  <c r="Q105"/>
  <c r="P105"/>
  <c r="O105"/>
  <c r="N105"/>
  <c r="M105"/>
  <c r="L105"/>
  <c r="K105"/>
  <c r="J105"/>
  <c r="I105"/>
  <c r="H105"/>
  <c r="G105"/>
  <c r="F105"/>
  <c r="E105"/>
  <c r="AD104"/>
  <c r="Y104"/>
  <c r="T104"/>
  <c r="AD102"/>
  <c r="AC102"/>
  <c r="AB102"/>
  <c r="AA102"/>
  <c r="Z102"/>
  <c r="Y102"/>
  <c r="X102"/>
  <c r="W102"/>
  <c r="V102"/>
  <c r="U102"/>
  <c r="T102"/>
  <c r="S102"/>
  <c r="R102"/>
  <c r="Q102"/>
  <c r="P102"/>
  <c r="O102"/>
  <c r="N102"/>
  <c r="M102"/>
  <c r="L102"/>
  <c r="K102"/>
  <c r="J102"/>
  <c r="I102"/>
  <c r="H102"/>
  <c r="G102"/>
  <c r="F102"/>
  <c r="E102"/>
  <c r="AD101"/>
  <c r="AD100"/>
  <c r="AD99"/>
  <c r="AD97"/>
  <c r="AC97"/>
  <c r="AB97"/>
  <c r="AA97"/>
  <c r="Z97"/>
  <c r="Y97"/>
  <c r="X97"/>
  <c r="W97"/>
  <c r="V97"/>
  <c r="U97"/>
  <c r="T97"/>
  <c r="S97"/>
  <c r="R97"/>
  <c r="Q97"/>
  <c r="P97"/>
  <c r="O97"/>
  <c r="N97"/>
  <c r="M97"/>
  <c r="L97"/>
  <c r="K97"/>
  <c r="J97"/>
  <c r="I97"/>
  <c r="H97"/>
  <c r="G97"/>
  <c r="F97"/>
  <c r="E97"/>
  <c r="AD96"/>
  <c r="Y96"/>
  <c r="T96"/>
  <c r="O96"/>
  <c r="J96"/>
  <c r="E96"/>
  <c r="AD95"/>
  <c r="AD94"/>
  <c r="AD92"/>
  <c r="AC92"/>
  <c r="AB92"/>
  <c r="AA92"/>
  <c r="Z92"/>
  <c r="Y92"/>
  <c r="X92"/>
  <c r="W92"/>
  <c r="V92"/>
  <c r="U92"/>
  <c r="T92"/>
  <c r="S92"/>
  <c r="R92"/>
  <c r="Q92"/>
  <c r="P92"/>
  <c r="O92"/>
  <c r="N92"/>
  <c r="M92"/>
  <c r="L92"/>
  <c r="K92"/>
  <c r="J92"/>
  <c r="I92"/>
  <c r="H92"/>
  <c r="G92"/>
  <c r="F92"/>
  <c r="E92"/>
  <c r="AD91"/>
  <c r="AD90"/>
  <c r="AD89" s="1"/>
  <c r="AC89"/>
  <c r="AB89"/>
  <c r="AA89"/>
  <c r="Z89"/>
  <c r="Y89" s="1"/>
  <c r="X89"/>
  <c r="W89"/>
  <c r="V89"/>
  <c r="U89"/>
  <c r="T89"/>
  <c r="S89"/>
  <c r="R89"/>
  <c r="Q89"/>
  <c r="P89"/>
  <c r="O89"/>
  <c r="N89"/>
  <c r="M89"/>
  <c r="L89"/>
  <c r="K89"/>
  <c r="J89"/>
  <c r="I89"/>
  <c r="H89"/>
  <c r="G89"/>
  <c r="F89"/>
  <c r="E89" s="1"/>
  <c r="AD75" s="1"/>
  <c r="Z75"/>
  <c r="Y75"/>
  <c r="U75"/>
  <c r="T75"/>
  <c r="P75"/>
  <c r="O75"/>
  <c r="K75"/>
  <c r="J75"/>
  <c r="F75"/>
  <c r="E75"/>
  <c r="AD74" s="1"/>
  <c r="Z74"/>
  <c r="Y74"/>
  <c r="U74"/>
  <c r="T74"/>
  <c r="P74"/>
  <c r="O74"/>
  <c r="K74"/>
  <c r="J74"/>
  <c r="F74"/>
  <c r="E74"/>
  <c r="AD73"/>
  <c r="AC73"/>
  <c r="AB73"/>
  <c r="AA73"/>
  <c r="Z73"/>
  <c r="Y73"/>
  <c r="X73"/>
  <c r="W73"/>
  <c r="V73"/>
  <c r="U73"/>
  <c r="T73"/>
  <c r="S73"/>
  <c r="R73"/>
  <c r="Q73"/>
  <c r="P73"/>
  <c r="O73"/>
  <c r="N73"/>
  <c r="M73"/>
  <c r="L73"/>
  <c r="K73"/>
  <c r="J73"/>
  <c r="I73"/>
  <c r="H73"/>
  <c r="G73"/>
  <c r="F73" l="1"/>
  <c r="E73"/>
  <c r="AD72"/>
  <c r="AD71"/>
  <c r="Y71"/>
  <c r="T71"/>
  <c r="O71"/>
  <c r="J71"/>
  <c r="E71"/>
  <c r="AD69" s="1"/>
  <c r="AC69"/>
  <c r="AB69"/>
  <c r="AA69"/>
  <c r="Z69"/>
  <c r="Y69"/>
  <c r="X69"/>
  <c r="W69"/>
  <c r="V69"/>
  <c r="U69"/>
  <c r="T69"/>
  <c r="S69"/>
  <c r="R69"/>
  <c r="Q69"/>
  <c r="P69"/>
  <c r="O69"/>
  <c r="N69"/>
  <c r="M69"/>
  <c r="L69"/>
  <c r="K69"/>
  <c r="J69"/>
  <c r="I69"/>
  <c r="H69"/>
  <c r="G69"/>
  <c r="F69"/>
  <c r="E69"/>
  <c r="AD68"/>
  <c r="E68"/>
  <c r="AD66" s="1"/>
  <c r="AC66"/>
  <c r="AB66"/>
  <c r="AA66"/>
  <c r="Z66"/>
  <c r="Y66"/>
  <c r="X66"/>
  <c r="W66"/>
  <c r="V66"/>
  <c r="U66"/>
  <c r="T66"/>
  <c r="S66"/>
  <c r="R66"/>
  <c r="Q66"/>
  <c r="P66"/>
  <c r="O66"/>
  <c r="N66"/>
  <c r="M66"/>
  <c r="L66"/>
  <c r="K66"/>
  <c r="J66"/>
  <c r="I66"/>
  <c r="H66"/>
  <c r="G66"/>
  <c r="F66"/>
  <c r="E66"/>
  <c r="AD65"/>
  <c r="AD63" s="1"/>
  <c r="Z63"/>
  <c r="Y63"/>
  <c r="U63"/>
  <c r="T63"/>
  <c r="P63"/>
  <c r="O63"/>
  <c r="K63"/>
  <c r="J63"/>
  <c r="F63"/>
  <c r="E63"/>
  <c r="AD62" s="1"/>
  <c r="Z62"/>
  <c r="Y62"/>
  <c r="U62"/>
  <c r="T62"/>
  <c r="P62"/>
  <c r="O62"/>
  <c r="K62"/>
  <c r="J62"/>
  <c r="F62"/>
  <c r="E62"/>
  <c r="AD61"/>
  <c r="AC61"/>
  <c r="AB61"/>
  <c r="AA61"/>
  <c r="Z61"/>
  <c r="Y61"/>
  <c r="X61"/>
  <c r="W61"/>
  <c r="V61"/>
  <c r="U61"/>
  <c r="T61"/>
  <c r="S61"/>
  <c r="R61"/>
  <c r="Q61"/>
  <c r="P61"/>
  <c r="O61"/>
  <c r="N61"/>
  <c r="M61"/>
  <c r="L61"/>
  <c r="K61"/>
  <c r="J61"/>
  <c r="I61"/>
  <c r="H61"/>
  <c r="G61"/>
  <c r="F61"/>
  <c r="E61"/>
  <c r="AD60"/>
  <c r="Y60"/>
  <c r="T60"/>
  <c r="O60"/>
  <c r="J60"/>
  <c r="E60"/>
  <c r="AD59"/>
  <c r="Y59"/>
  <c r="T59"/>
  <c r="O59"/>
  <c r="J59"/>
  <c r="E59"/>
  <c r="AD57" s="1"/>
  <c r="AC57"/>
  <c r="AB57"/>
  <c r="AA57"/>
  <c r="Z57"/>
  <c r="Y57"/>
  <c r="X57"/>
  <c r="W57"/>
  <c r="V57"/>
  <c r="U57"/>
  <c r="T57"/>
  <c r="S57"/>
  <c r="R57"/>
  <c r="Q57"/>
  <c r="P57"/>
  <c r="O57"/>
  <c r="N57"/>
  <c r="M57"/>
  <c r="L57"/>
  <c r="K57"/>
  <c r="J57"/>
  <c r="I57"/>
  <c r="H57"/>
  <c r="G57"/>
  <c r="F57"/>
  <c r="E57"/>
  <c r="AD56"/>
  <c r="Y56"/>
  <c r="T56"/>
  <c r="O56"/>
  <c r="J56"/>
  <c r="E56"/>
  <c r="AD54" s="1"/>
  <c r="AC54"/>
  <c r="AB54"/>
  <c r="AA54"/>
  <c r="Z54"/>
  <c r="Y54"/>
  <c r="X54"/>
  <c r="W54"/>
  <c r="V54"/>
  <c r="U54"/>
  <c r="T54"/>
  <c r="S54"/>
  <c r="R54"/>
  <c r="Q54"/>
  <c r="P54"/>
  <c r="O54"/>
  <c r="N54"/>
  <c r="M54"/>
  <c r="L54"/>
  <c r="K54"/>
  <c r="J54"/>
  <c r="I54"/>
  <c r="H54"/>
  <c r="G54"/>
  <c r="F54"/>
  <c r="E54"/>
  <c r="AD53"/>
  <c r="Y53"/>
  <c r="T53"/>
  <c r="O53"/>
  <c r="J53"/>
  <c r="E53"/>
  <c r="AD51" s="1"/>
  <c r="Z51" s="1"/>
  <c r="Y51" s="1"/>
  <c r="U51"/>
  <c r="T51" s="1"/>
  <c r="P51"/>
  <c r="O51" s="1"/>
  <c r="K51"/>
  <c r="J51" s="1"/>
  <c r="H51"/>
  <c r="G51"/>
  <c r="F51"/>
  <c r="E51" l="1"/>
  <c r="AD50" s="1"/>
  <c r="AC50"/>
  <c r="AB50"/>
  <c r="AA50"/>
  <c r="Z50"/>
  <c r="Y50"/>
  <c r="X50"/>
  <c r="W50"/>
  <c r="V50"/>
  <c r="U50"/>
  <c r="T50"/>
  <c r="S50"/>
  <c r="R50"/>
  <c r="Q50"/>
  <c r="P50"/>
  <c r="O50"/>
  <c r="N50"/>
  <c r="M50"/>
  <c r="L50"/>
  <c r="K50"/>
  <c r="J50"/>
  <c r="I50"/>
  <c r="H50"/>
  <c r="G50"/>
  <c r="F50"/>
  <c r="E50"/>
  <c r="AD49"/>
  <c r="AC49" s="1"/>
  <c r="AB49" s="1"/>
  <c r="AA49" s="1"/>
  <c r="Z49"/>
  <c r="Y49"/>
  <c r="X49" s="1"/>
  <c r="W49" s="1"/>
  <c r="V49" s="1"/>
  <c r="U49"/>
  <c r="T49" l="1"/>
  <c r="S49" s="1"/>
  <c r="R49" s="1"/>
  <c r="Q49" s="1"/>
  <c r="P49"/>
  <c r="O49"/>
  <c r="N49" s="1"/>
  <c r="M49" s="1"/>
  <c r="L49" s="1"/>
  <c r="K49" s="1"/>
  <c r="J49"/>
  <c r="I49"/>
  <c r="H49" s="1"/>
  <c r="G49"/>
  <c r="F49"/>
  <c r="E49" s="1"/>
  <c r="AD48"/>
  <c r="AD47"/>
  <c r="J47" l="1"/>
  <c r="G47"/>
  <c r="F47"/>
  <c r="E47"/>
  <c r="AD46"/>
  <c r="Y46"/>
  <c r="T46"/>
  <c r="O46"/>
  <c r="J46"/>
  <c r="E46"/>
  <c r="AD45"/>
  <c r="Y45"/>
  <c r="T45"/>
  <c r="O45"/>
  <c r="J45"/>
  <c r="E45"/>
  <c r="AD44"/>
  <c r="Y44"/>
  <c r="T44"/>
  <c r="O44"/>
  <c r="J44"/>
  <c r="E44"/>
  <c r="AD43"/>
  <c r="Y43"/>
  <c r="T43"/>
  <c r="O43"/>
  <c r="J43"/>
  <c r="E43"/>
  <c r="AD42"/>
  <c r="Y42"/>
  <c r="T42"/>
  <c r="O42"/>
  <c r="J42"/>
  <c r="E42"/>
  <c r="AD41"/>
  <c r="Y41"/>
  <c r="T41"/>
  <c r="O41"/>
  <c r="J41"/>
  <c r="E41"/>
  <c r="AD40"/>
  <c r="Y40"/>
  <c r="T40"/>
  <c r="O40"/>
  <c r="J40"/>
  <c r="E40"/>
  <c r="AD39"/>
  <c r="Y39"/>
  <c r="T39"/>
  <c r="O39"/>
  <c r="J39"/>
  <c r="E39"/>
  <c r="AD38"/>
  <c r="Y38"/>
  <c r="T38"/>
  <c r="O38"/>
  <c r="J38"/>
  <c r="E38"/>
  <c r="AD37"/>
  <c r="Y37"/>
  <c r="T37"/>
  <c r="O37"/>
  <c r="J37"/>
  <c r="E37"/>
  <c r="AD36"/>
  <c r="Y36"/>
  <c r="T36"/>
  <c r="O36"/>
  <c r="J36"/>
  <c r="E36"/>
  <c r="AD35"/>
  <c r="Y35" l="1"/>
  <c r="T35"/>
  <c r="O35"/>
  <c r="J35"/>
  <c r="E35"/>
  <c r="AD34"/>
  <c r="Y34"/>
  <c r="T34"/>
  <c r="O34"/>
  <c r="J34"/>
  <c r="E34"/>
  <c r="AD33"/>
  <c r="Y33"/>
  <c r="T33"/>
  <c r="O33"/>
  <c r="J33"/>
  <c r="E33"/>
  <c r="AD32"/>
  <c r="Y32"/>
  <c r="T32"/>
  <c r="O32"/>
  <c r="J32"/>
  <c r="E32"/>
  <c r="AD31"/>
  <c r="AC31"/>
  <c r="AB31"/>
  <c r="AA31"/>
  <c r="Z31"/>
  <c r="Y31"/>
  <c r="X31"/>
  <c r="W31"/>
  <c r="V31"/>
  <c r="U31"/>
  <c r="T31" l="1"/>
  <c r="S31"/>
  <c r="R31"/>
  <c r="Q31"/>
  <c r="P31"/>
  <c r="O31"/>
  <c r="N31"/>
  <c r="M31"/>
  <c r="L31"/>
  <c r="K31"/>
  <c r="J31"/>
  <c r="I31"/>
  <c r="H31"/>
  <c r="G31"/>
  <c r="F31"/>
  <c r="E31" s="1"/>
  <c r="AD29"/>
  <c r="AC29"/>
  <c r="AB29"/>
  <c r="AA29"/>
  <c r="Z29"/>
  <c r="Y29"/>
  <c r="X29"/>
  <c r="W29"/>
  <c r="V29"/>
  <c r="U29"/>
  <c r="T29"/>
  <c r="S29"/>
  <c r="R29"/>
  <c r="Q29"/>
  <c r="P29"/>
  <c r="O29"/>
  <c r="N29"/>
  <c r="M29"/>
  <c r="L29"/>
  <c r="K29"/>
  <c r="J29"/>
  <c r="I29"/>
  <c r="H29"/>
  <c r="G29"/>
  <c r="F29"/>
  <c r="E29"/>
  <c r="AD28"/>
  <c r="Y28"/>
  <c r="T28"/>
  <c r="F28" l="1"/>
  <c r="E28"/>
  <c r="AD27"/>
  <c r="Y27"/>
  <c r="T27"/>
  <c r="AD25" s="1"/>
  <c r="AC25"/>
  <c r="AB25"/>
  <c r="AA25"/>
  <c r="Z25"/>
  <c r="Y25"/>
  <c r="X25"/>
  <c r="W25"/>
  <c r="V25"/>
  <c r="U25"/>
  <c r="T25"/>
  <c r="S25"/>
  <c r="R25"/>
  <c r="Q25"/>
  <c r="P25"/>
  <c r="O25"/>
  <c r="N25"/>
  <c r="M25"/>
  <c r="L25"/>
  <c r="K25"/>
  <c r="J25"/>
  <c r="I25"/>
  <c r="H25"/>
  <c r="G25"/>
  <c r="F25"/>
  <c r="E25"/>
  <c r="AD24"/>
  <c r="Y24"/>
  <c r="T24"/>
  <c r="O24"/>
  <c r="J24"/>
  <c r="F24"/>
  <c r="E24"/>
  <c r="AD22"/>
  <c r="AC22"/>
  <c r="AB22"/>
  <c r="AA22"/>
  <c r="Z22"/>
  <c r="Y22"/>
  <c r="X22"/>
  <c r="W22"/>
  <c r="V22"/>
  <c r="U22"/>
  <c r="T22"/>
  <c r="S22"/>
  <c r="R22"/>
  <c r="Q22"/>
  <c r="P22"/>
  <c r="O22"/>
  <c r="N22"/>
  <c r="M22"/>
  <c r="L22"/>
  <c r="K22"/>
  <c r="J22"/>
  <c r="I22"/>
  <c r="H22"/>
  <c r="G22"/>
  <c r="F22"/>
  <c r="E22"/>
  <c r="AD21"/>
  <c r="AC21"/>
  <c r="AB21"/>
  <c r="AA21"/>
  <c r="Z21"/>
  <c r="Y21"/>
  <c r="X21"/>
  <c r="W21"/>
  <c r="V21"/>
  <c r="U21"/>
  <c r="T21"/>
  <c r="S21"/>
  <c r="R21"/>
  <c r="Q21"/>
  <c r="P21"/>
  <c r="O21"/>
  <c r="N21"/>
  <c r="M21"/>
  <c r="L21"/>
  <c r="K21"/>
  <c r="J21"/>
  <c r="I21"/>
  <c r="H21"/>
  <c r="G21"/>
  <c r="F21" s="1"/>
  <c r="E21"/>
  <c r="AD20"/>
  <c r="AC20" l="1"/>
  <c r="AB20"/>
  <c r="AA20"/>
  <c r="Z20"/>
  <c r="Y20"/>
  <c r="X20"/>
  <c r="W20"/>
  <c r="V20"/>
  <c r="U20"/>
  <c r="T20"/>
  <c r="S20"/>
  <c r="R20"/>
  <c r="Q20"/>
  <c r="P20"/>
  <c r="O20"/>
  <c r="N20"/>
  <c r="M20"/>
  <c r="L20"/>
  <c r="K20"/>
  <c r="J20"/>
  <c r="I20"/>
  <c r="H20"/>
  <c r="G20"/>
  <c r="F20" l="1"/>
  <c r="E20" s="1"/>
  <c r="AD19" l="1"/>
  <c r="AD18"/>
  <c r="F18"/>
  <c r="AD17"/>
  <c r="Y17"/>
  <c r="T17"/>
  <c r="E17"/>
  <c r="AD16"/>
  <c r="AD15"/>
  <c r="Y15"/>
  <c r="T15"/>
  <c r="O15"/>
  <c r="J15"/>
  <c r="F15"/>
  <c r="E15"/>
  <c r="AD14" l="1"/>
  <c r="Y14"/>
  <c r="T14"/>
  <c r="E14"/>
  <c r="AD13"/>
  <c r="Y13"/>
  <c r="T13"/>
  <c r="E13"/>
</calcChain>
</file>

<file path=xl/comments1.xml><?xml version="1.0" encoding="utf-8"?>
<comments xmlns="http://schemas.openxmlformats.org/spreadsheetml/2006/main">
  <authors>
    <author>rab</author>
  </authors>
  <commentList>
    <comment ref="F16" authorId="0">
      <text>
        <r>
          <rPr>
            <b/>
            <sz val="8"/>
            <color indexed="81"/>
            <rFont val="Tahoma"/>
            <family val="2"/>
            <charset val="204"/>
          </rPr>
          <t>-221,0 т.р.</t>
        </r>
        <r>
          <rPr>
            <sz val="8"/>
            <color indexed="81"/>
            <rFont val="Tahoma"/>
            <family val="2"/>
            <charset val="204"/>
          </rPr>
          <t xml:space="preserve">
</t>
        </r>
      </text>
    </comment>
  </commentList>
</comments>
</file>

<file path=xl/comments2.xml><?xml version="1.0" encoding="utf-8"?>
<comments xmlns="http://schemas.openxmlformats.org/spreadsheetml/2006/main">
  <authors>
    <author>rab</author>
  </authors>
  <commentList>
    <comment ref="F16" authorId="0">
      <text>
        <r>
          <rPr>
            <b/>
            <sz val="8"/>
            <color indexed="81"/>
            <rFont val="Tahoma"/>
            <family val="2"/>
            <charset val="204"/>
          </rPr>
          <t>-221,0 т.р.</t>
        </r>
        <r>
          <rPr>
            <sz val="8"/>
            <color indexed="81"/>
            <rFont val="Tahoma"/>
            <family val="2"/>
            <charset val="204"/>
          </rPr>
          <t xml:space="preserve">
</t>
        </r>
      </text>
    </comment>
  </commentList>
</comments>
</file>

<file path=xl/comments3.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4.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5.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6.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7.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8.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9.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10.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11.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12.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13.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14.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15.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16.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17.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18.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comments19.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<sst xmlns="http://schemas.openxmlformats.org/spreadsheetml/2006/main" count="4931" uniqueCount="329">
  <si>
    <t xml:space="preserve"> Перечень мероприятий муниципальной программы </t>
  </si>
  <si>
    <t>№ п/п</t>
  </si>
  <si>
    <t>Ответственный исполнитель</t>
  </si>
  <si>
    <t>сроки реализации</t>
  </si>
  <si>
    <r>
      <t xml:space="preserve">Финансовое обеспечение реализации муниципальной программы, </t>
    </r>
    <r>
      <rPr>
        <b/>
        <i/>
        <sz val="12"/>
        <rFont val="Times New Roman"/>
        <family val="1"/>
        <charset val="204"/>
      </rPr>
      <t>тыс.руб.</t>
    </r>
  </si>
  <si>
    <t>Итого</t>
  </si>
  <si>
    <t>Всего</t>
  </si>
  <si>
    <t>местный бюджет</t>
  </si>
  <si>
    <t>областной бюджет</t>
  </si>
  <si>
    <t>федеральный бюджет</t>
  </si>
  <si>
    <t>внебюджетные средства</t>
  </si>
  <si>
    <r>
      <t>1.</t>
    </r>
    <r>
      <rPr>
        <sz val="7"/>
        <rFont val="Times New Roman"/>
        <family val="1"/>
        <charset val="204"/>
      </rPr>
      <t> </t>
    </r>
  </si>
  <si>
    <t>1.1.</t>
  </si>
  <si>
    <t>1.2.</t>
  </si>
  <si>
    <t>Департамент образования</t>
  </si>
  <si>
    <t>1.3.</t>
  </si>
  <si>
    <t>1.4.</t>
  </si>
  <si>
    <t>1.5.</t>
  </si>
  <si>
    <t>МАУ "МФЦ" (Департамент информационных технологий и связи)</t>
  </si>
  <si>
    <t>ВСЕГО по задаче 1:</t>
  </si>
  <si>
    <r>
      <t>2.</t>
    </r>
    <r>
      <rPr>
        <sz val="7"/>
        <rFont val="Times New Roman"/>
        <family val="1"/>
        <charset val="204"/>
      </rPr>
      <t> </t>
    </r>
  </si>
  <si>
    <t>2.1.</t>
  </si>
  <si>
    <t>ВСЕГО по задаче 2:</t>
  </si>
  <si>
    <r>
      <t>3.</t>
    </r>
    <r>
      <rPr>
        <sz val="7"/>
        <rFont val="Times New Roman"/>
        <family val="1"/>
        <charset val="204"/>
      </rPr>
      <t> </t>
    </r>
  </si>
  <si>
    <t>3.1.</t>
  </si>
  <si>
    <t>ВСЕГО по задаче 3:</t>
  </si>
  <si>
    <r>
      <t>4.</t>
    </r>
    <r>
      <rPr>
        <sz val="7"/>
        <rFont val="Times New Roman"/>
        <family val="1"/>
        <charset val="204"/>
      </rPr>
      <t> </t>
    </r>
  </si>
  <si>
    <t>4.1.</t>
  </si>
  <si>
    <t>4.1.1.</t>
  </si>
  <si>
    <t>4.1.2.</t>
  </si>
  <si>
    <t>4.1.3.</t>
  </si>
  <si>
    <t>4.1.4.</t>
  </si>
  <si>
    <t>4.2.</t>
  </si>
  <si>
    <t>4.3.</t>
  </si>
  <si>
    <t>4.4.</t>
  </si>
  <si>
    <t>4.5.</t>
  </si>
  <si>
    <t>4.6.</t>
  </si>
  <si>
    <t>4.7.</t>
  </si>
  <si>
    <t>4.8.</t>
  </si>
  <si>
    <t>4.9.</t>
  </si>
  <si>
    <t>4.10.</t>
  </si>
  <si>
    <t>4.11.</t>
  </si>
  <si>
    <t>4.12.</t>
  </si>
  <si>
    <t>4.13.</t>
  </si>
  <si>
    <t>ВСЕГО по задаче 4:</t>
  </si>
  <si>
    <r>
      <t>5.</t>
    </r>
    <r>
      <rPr>
        <sz val="7"/>
        <rFont val="Times New Roman"/>
        <family val="1"/>
        <charset val="204"/>
      </rPr>
      <t> </t>
    </r>
  </si>
  <si>
    <t>5.1.</t>
  </si>
  <si>
    <t>ВСЕГО по задаче 5:</t>
  </si>
  <si>
    <t>6.1.</t>
  </si>
  <si>
    <t>ВСЕГО по задаче 6:</t>
  </si>
  <si>
    <t>7.1.</t>
  </si>
  <si>
    <t>7.2.</t>
  </si>
  <si>
    <t xml:space="preserve">Департамент социального обеспечения </t>
  </si>
  <si>
    <t>ВСЕГО по задаче 7:</t>
  </si>
  <si>
    <r>
      <t>8.</t>
    </r>
    <r>
      <rPr>
        <sz val="7"/>
        <rFont val="Times New Roman"/>
        <family val="1"/>
        <charset val="204"/>
      </rPr>
      <t> </t>
    </r>
  </si>
  <si>
    <t>8.1.</t>
  </si>
  <si>
    <t>ВСЕГО по задаче 8:</t>
  </si>
  <si>
    <t>9.1.</t>
  </si>
  <si>
    <t>ВСЕГО по задаче 9:</t>
  </si>
  <si>
    <t>10.1.</t>
  </si>
  <si>
    <t>ВСЕГО по задаче 10:</t>
  </si>
  <si>
    <t>11.</t>
  </si>
  <si>
    <t>11.1.</t>
  </si>
  <si>
    <t>11.2.</t>
  </si>
  <si>
    <t>ВСЕГО по задаче 11:</t>
  </si>
  <si>
    <t>12.</t>
  </si>
  <si>
    <t>12.1.</t>
  </si>
  <si>
    <t>ИТОГО по муниципальной программе:</t>
  </si>
  <si>
    <t>Единовременные денежные выплаты к отдельным датам:</t>
  </si>
  <si>
    <t xml:space="preserve">Единовременная денежная выплата ко Дню памяти жертв политических репрессий (30 октября) </t>
  </si>
  <si>
    <t>Единовременная денежная выплата к памятной дате России - Дню Героев Отечества (9 декабря)</t>
  </si>
  <si>
    <t xml:space="preserve">Денежные выплаты на оплату социальных услуг, предоставляемых на условиях оплаты отдельным категориям граждан </t>
  </si>
  <si>
    <t>13.1.</t>
  </si>
  <si>
    <t>Департамент социального обеспечения</t>
  </si>
  <si>
    <t>13.</t>
  </si>
  <si>
    <t>4.14.</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</si>
  <si>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</si>
  <si>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</si>
  <si>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</si>
  <si>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ВСЕГО по задаче 13:</t>
  </si>
  <si>
    <t>10.</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</si>
  <si>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</si>
  <si>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Проведение городских массовых мероприятий:</t>
  </si>
  <si>
    <t>«День семьи»</t>
  </si>
  <si>
    <t>«День матери»</t>
  </si>
  <si>
    <t>Проведение фестиваля творчества детей-инвалидов «Серебряная птица»</t>
  </si>
  <si>
    <r>
      <t>Цель:</t>
    </r>
    <r>
      <rPr>
        <sz val="14"/>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</si>
  <si>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</si>
  <si>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</si>
  <si>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</si>
  <si>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</si>
  <si>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</si>
  <si>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</si>
  <si>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</si>
  <si>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</si>
  <si>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 Департамент социального обеспечения</t>
  </si>
  <si>
    <t xml:space="preserve">Предоставление ежемесячной денежной выплаты на проезд для отдельных категорий граждан из числа инвалидов </t>
  </si>
  <si>
    <t>9.</t>
  </si>
  <si>
    <t>10.2.</t>
  </si>
  <si>
    <t>11.3.</t>
  </si>
  <si>
    <t>12.1.1.</t>
  </si>
  <si>
    <t>12.1.2.</t>
  </si>
  <si>
    <t>ВСЕГО по задаче 12:</t>
  </si>
  <si>
    <t>13.2.</t>
  </si>
  <si>
    <t>13.3.</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</si>
  <si>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</si>
  <si>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</si>
  <si>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</si>
  <si>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</si>
  <si>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Выплата ренты по договорам  пожизненной ренты</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</si>
  <si>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</si>
  <si>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</si>
  <si>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</si>
  <si>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</si>
  <si>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</si>
  <si>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</si>
  <si>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единовременного пособия гражданам в связи с рождением детей в День исторического рождения города Тольятти (20 июня)
</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</si>
  <si>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</si>
  <si>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Предоставление ежемесячной денежной выплаты на питание учащимся, осваивающим образовательные программы начального общего, основного общего или среднего общего образования в муниципальных образовательных учреждениях городского округа Тольятти</t>
  </si>
  <si>
    <t xml:space="preserve"> Предоставление единовременной денежной выплаты на оплату оздоровительных услуг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</si>
  <si>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</si>
  <si>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</si>
  <si>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</si>
  <si>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</si>
  <si>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</si>
  <si>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</si>
  <si>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</si>
  <si>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11.4.</t>
  </si>
  <si>
    <t>11.5.</t>
  </si>
  <si>
    <t>11.6.</t>
  </si>
  <si>
    <t>11.7.</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</si>
  <si>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</si>
  <si>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</si>
  <si>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Организация бесплатного питания, льготного питания  учащимся, осваивающим образовательные программы начального общего,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</si>
  <si>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дитис</t>
  </si>
  <si>
    <t>Департамент информационных технологий и связи</t>
  </si>
  <si>
    <r>
      <t>Задача 4:</t>
    </r>
    <r>
      <rPr>
        <sz val="14"/>
        <rFont val="Times New Roman"/>
        <family val="1"/>
        <charset val="204"/>
      </rPr>
      <t>Предоставление социальных выплат гражданам, имеющим особые заслуги перед обществом</t>
    </r>
  </si>
  <si>
    <t>ДСО</t>
  </si>
  <si>
    <t>Образ.</t>
  </si>
  <si>
    <t>м.б.</t>
  </si>
  <si>
    <t>образ.</t>
  </si>
  <si>
    <t xml:space="preserve">Оплата расходов, связанных с заключением и сопровождением договоров пожизненной ренты </t>
  </si>
  <si>
    <r>
      <t>Наименование цели</t>
    </r>
    <r>
      <rPr>
        <b/>
        <sz val="14"/>
        <rFont val="Times New Roman"/>
        <family val="1"/>
        <charset val="204"/>
      </rPr>
      <t>,</t>
    </r>
    <r>
      <rPr>
        <b/>
        <sz val="12"/>
        <rFont val="Times New Roman"/>
        <family val="1"/>
        <charset val="204"/>
      </rPr>
      <t xml:space="preserve"> задач и мероприятий муниципальной программы</t>
    </r>
  </si>
  <si>
    <r>
      <t xml:space="preserve">Задача 2: </t>
    </r>
    <r>
      <rPr>
        <b/>
        <sz val="14"/>
        <color indexed="10"/>
        <rFont val="Times New Roman"/>
        <family val="1"/>
        <charset val="204"/>
      </rPr>
      <t xml:space="preserve"> </t>
    </r>
    <r>
      <rPr>
        <sz val="14"/>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</si>
  <si>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 xml:space="preserve">Задача 3: </t>
    </r>
    <r>
      <rPr>
        <sz val="14"/>
        <rFont val="Times New Roman"/>
        <family val="1"/>
        <charset val="204"/>
      </rPr>
      <t>Предоставление дополнительных мер социальной поддержки для отдельных категорий граждан, зарегистрированных в городском округе Тольятти, в виде ежемесячных денежных выплат и адаптированных молочных смесей</t>
    </r>
  </si>
  <si>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</si>
  <si>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r>
      <t xml:space="preserve">Задача 5: </t>
    </r>
    <r>
      <rPr>
        <sz val="14"/>
        <rFont val="Times New Roman"/>
        <family val="1"/>
        <charset val="204"/>
      </rPr>
      <t xml:space="preserve"> Предоставление дополнительных мер социальной поддержки спортсменам высокого класса, тренерам, подготовившим спортсменов высокого класса, бывшим работникам физкультурно-спортивных организаций</t>
    </r>
  </si>
  <si>
    <t xml:space="preserve">Департамент информационных технологий и связи(МАУ "МФЦ"), Управление физической культуры и спорта </t>
  </si>
  <si>
    <r>
      <t xml:space="preserve">Задача 8: </t>
    </r>
    <r>
      <rPr>
        <b/>
        <i/>
        <sz val="14"/>
        <color indexed="10"/>
        <rFont val="Times New Roman"/>
        <family val="1"/>
        <charset val="204"/>
      </rPr>
      <t xml:space="preserve"> </t>
    </r>
    <r>
      <rPr>
        <sz val="14"/>
        <rFont val="Times New Roman"/>
        <family val="1"/>
        <charset val="204"/>
      </rPr>
      <t>Обеспечение условия для реализации дополнительных мер социальной поддрежки населения</t>
    </r>
  </si>
  <si>
    <r>
      <t xml:space="preserve">Задача 9: </t>
    </r>
    <r>
      <rPr>
        <sz val="13"/>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</si>
  <si>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t>Задача 13:  Финансовая поддержка семей при рождении детей</t>
  </si>
  <si>
    <t>3.2.</t>
  </si>
  <si>
    <t>14.1.</t>
  </si>
  <si>
    <t>14.2.</t>
  </si>
  <si>
    <t>ВСЕГО по задаче 14:</t>
  </si>
  <si>
    <t>Департамент информационных технологий и связи ( МАУ МФЦ),Департамент образования</t>
  </si>
  <si>
    <t xml:space="preserve">Задача 14:  Создание условий для обеспечения квалифицированными медицинскими кадрами  государственных учреждений здравоохранения расположенных на территории городского округа Тольятти </t>
  </si>
  <si>
    <t>14.3.</t>
  </si>
  <si>
    <r>
      <t xml:space="preserve">Задача 12: </t>
    </r>
    <r>
      <rPr>
        <sz val="14"/>
        <rFont val="Times New Roman"/>
        <family val="1"/>
        <charset val="204"/>
      </rPr>
      <t>Популяризация семейных ценностей.</t>
    </r>
  </si>
  <si>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</si>
  <si>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радуга</t>
  </si>
  <si>
    <t>на 5 лет</t>
  </si>
  <si>
    <t>ано планета</t>
  </si>
  <si>
    <t>1.6.</t>
  </si>
  <si>
    <t>2020-2024 гг.</t>
  </si>
  <si>
    <t>Предоставление ежемесячной денежной выплаты на питание учащимся, осваивающим образовательные программы начального общего, основного общего или среднего общего образования в муниципальных учреждениях городского  округа Тольятти ( в период их пребывания в профильных лагерях, организованных на базе данных учреждений).</t>
  </si>
  <si>
    <t>Задача 15:  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</si>
  <si>
    <t>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</si>
  <si>
    <t>2020-2024</t>
  </si>
  <si>
    <t>ВСЕГО по задаче 15:</t>
  </si>
  <si>
    <t>вн.бюдж</t>
  </si>
  <si>
    <t>вн.  Бюджет</t>
  </si>
  <si>
    <t>м.б</t>
  </si>
  <si>
    <t xml:space="preserve">ДСО </t>
  </si>
  <si>
    <r>
      <t>Единовременная денежная выплата к памятной дате России - Дню участников ликвидации последствий радиационных аварий и катастроф и памяти жертв этих аварий и катастроф (26 апреля)</t>
    </r>
    <r>
      <rPr>
        <i/>
        <sz val="12"/>
        <color theme="1"/>
        <rFont val="Times New Roman"/>
        <family val="1"/>
        <charset val="204"/>
      </rPr>
      <t xml:space="preserve"> </t>
    </r>
  </si>
  <si>
    <r>
      <t>Единовременная денежная выплата ко дню воинской славы России - Дню Победы советского народа в Великой Отечественной войне 1941-1945 годов (9 мая)</t>
    </r>
    <r>
      <rPr>
        <i/>
        <sz val="12"/>
        <color theme="1"/>
        <rFont val="Times New Roman"/>
        <family val="1"/>
        <charset val="204"/>
      </rPr>
      <t xml:space="preserve"> </t>
    </r>
  </si>
  <si>
    <r>
      <t>6.</t>
    </r>
    <r>
      <rPr>
        <sz val="7"/>
        <color theme="1"/>
        <rFont val="Times New Roman"/>
        <family val="1"/>
        <charset val="204"/>
      </rPr>
      <t> </t>
    </r>
  </si>
  <si>
    <r>
      <t xml:space="preserve">Задача 6: </t>
    </r>
    <r>
      <rPr>
        <sz val="14"/>
        <color theme="1"/>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</si>
  <si>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r>
      <t>7.</t>
    </r>
    <r>
      <rPr>
        <sz val="7"/>
        <color theme="1"/>
        <rFont val="Times New Roman"/>
        <family val="1"/>
        <charset val="204"/>
      </rPr>
      <t> </t>
    </r>
  </si>
  <si>
    <r>
      <t xml:space="preserve">Задача 7: </t>
    </r>
    <r>
      <rPr>
        <b/>
        <sz val="14"/>
        <color theme="1"/>
        <rFont val="Times New Roman"/>
        <family val="1"/>
        <charset val="204"/>
      </rPr>
      <t xml:space="preserve"> </t>
    </r>
    <r>
      <rPr>
        <sz val="14"/>
        <color theme="1"/>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</si>
  <si>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rPr>
        <i/>
        <u/>
        <sz val="14"/>
        <rFont val="Times New Roman"/>
        <family val="1"/>
        <charset val="204"/>
      </rPr>
      <t>Задача 1</t>
    </r>
    <r>
      <rPr>
        <b/>
        <i/>
        <sz val="14"/>
        <rFont val="Times New Roman"/>
        <family val="1"/>
        <charset val="204"/>
      </rPr>
      <t xml:space="preserve">: </t>
    </r>
    <r>
      <rPr>
        <sz val="14"/>
        <rFont val="Times New Roman"/>
        <family val="1"/>
        <charset val="204"/>
      </rPr>
      <t>Предоставление дополнительных мер социальной поддержки учащимся, осваивающим образовательные программы начального общего, основного общего или среднего общего образования в муниципальных  и не муниципальных образовательных учреждениях городского округа Тольятти, а также отдельным категориям граждан, имеющим детей, посещающих муниципальные и не муниципальные  образовательные учреждения городского округа Тольятти, реализующие образовательную программу дошкольного образования</t>
    </r>
  </si>
  <si>
    <t>Предоставление субсидий социально ориентированным некоммерческим организациям, не являющимся государственными и (муниципальными) учреждениями, реализующими основную общеобразовательную программу дошкольного образования, на возмещение затрат на присмотр и уход за детьми-инвалидами, детьми-сиротами и детьми, оставшимися без попечения родителей, а также за детьми с туберкулезной интоксикацией</t>
  </si>
  <si>
    <t>1.7.</t>
  </si>
  <si>
    <t>Предоставление субсидий социально ориентированным некоммерческим организациям, не являющимся государственными и (муниципальными) учреждениями, реализующими основную общеобразовательную программу дошкольного образования, в целях возмещения затрат на предоставление бесплатного двухразового питания (завтрак, обед) для обучающихся с ограниченными возможностями здоровья</t>
  </si>
  <si>
    <t xml:space="preserve">Предоставление единовременной денежной выплаты при рождении двух и более детей  в случае многоплодной беременности </t>
  </si>
  <si>
    <t>Предоставление врачам государственных учреждений здравоохранения Самарской области, расположенных на территории городского округа Тольятти, компенсационных денежных выплат части родительской платы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</si>
  <si>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</si>
  <si>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r>
      <t xml:space="preserve">Задача 10: </t>
    </r>
    <r>
      <rPr>
        <sz val="13"/>
        <rFont val="Times New Roman"/>
        <family val="1"/>
        <charset val="204"/>
      </rPr>
      <t>Предоставление дополнительных мер социальной поддержки для отдельных категорий граждан из числа инвалидов</t>
    </r>
  </si>
  <si>
    <t>15.1.</t>
  </si>
  <si>
    <t xml:space="preserve">Предоставление ежемесячных денежных выплат для отдельных категорий граждан, имеющих детей в возрасте до 1 года
</t>
  </si>
  <si>
    <t xml:space="preserve">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
</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</si>
  <si>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</si>
  <si>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</si>
  <si>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Предоставление единовременной денежной  выплаты  на улучшение жилищниых условий при рождении (усыновлении) седьмого и последующих детей</t>
  </si>
  <si>
    <t>11.8.</t>
  </si>
  <si>
    <t>внебюджет</t>
  </si>
  <si>
    <t>МБ</t>
  </si>
  <si>
    <t>обл.</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</si>
  <si>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</si>
  <si>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 xml:space="preserve">Приложение №1 к постановлению администрации городского                               </t>
  </si>
  <si>
    <t xml:space="preserve"> округа Тольятти     от                          №</t>
  </si>
  <si>
    <t>зеленым - соответсвует перечню услуг</t>
  </si>
  <si>
    <t>желтым-не соответсвует перечню услуг</t>
  </si>
  <si>
    <t>Задача 11: Создание благоприятных условий для содержания и воспитания детей-сирот и детей, оставшихся без попечения родителей, находящихся на воспитании в семье (под опекой, попечительством или в приемной семье), и поддержания детей-сирот, детей, оставшихся без попечения родителей, а также лиц из числа детей-сирот и детей, оставшихся без попечения родителей, в т.ч. ранее находившихся на воспитании в семьях (под опекой, попечительством или в приемной семье)</t>
  </si>
  <si>
    <t>Департамент социального обеспечения, Департамент информационных технологий и связи(МАУ "МФЦ"), Департамент городского хозяйства</t>
  </si>
  <si>
    <t xml:space="preserve">Осуществление денежных выплат на вознаграждение, причитающееся приёмным родителям, патронатным воспитателям </t>
  </si>
  <si>
    <t xml:space="preserve">Задача 14: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</si>
  <si>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r>
      <t xml:space="preserve">Задача 3: </t>
    </r>
    <r>
      <rPr>
        <sz val="14"/>
        <rFont val="Times New Roman"/>
        <family val="1"/>
        <charset val="204"/>
      </rPr>
      <t xml:space="preserve">Предоставление дополнительных мер социальной поддержки для отдельных категорий граждан, зарегистрированных в городском округе Тольятти, в виде ежемесячных денежных выплат </t>
    </r>
    <r>
      <rPr>
        <sz val="14"/>
        <color rgb="FFFF0000"/>
        <rFont val="Times New Roman"/>
        <family val="1"/>
        <charset val="204"/>
      </rPr>
      <t/>
    </r>
  </si>
  <si>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</si>
  <si>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</si>
  <si>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</si>
  <si>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</si>
  <si>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</si>
  <si>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</si>
  <si>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</si>
  <si>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</si>
  <si>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</si>
  <si>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</si>
  <si>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Департамент информационных технологий и связи (МАУ МФЦ)</t>
  </si>
  <si>
    <t>Наименование цели, задач и мероприятий муниципальной программы</t>
  </si>
  <si>
    <r>
      <t xml:space="preserve">Финансовое обеспечение реализации муниципальной программы, </t>
    </r>
    <r>
      <rPr>
        <b/>
        <i/>
        <sz val="14"/>
        <rFont val="Times New Roman"/>
        <family val="1"/>
        <charset val="204"/>
      </rPr>
      <t>тыс.руб.</t>
    </r>
  </si>
  <si>
    <t>1. </t>
  </si>
  <si>
    <t>2. </t>
  </si>
  <si>
    <t>4. </t>
  </si>
  <si>
    <t>6. </t>
  </si>
  <si>
    <r>
      <rPr>
        <i/>
        <u/>
        <sz val="18"/>
        <color rgb="FFFF0000"/>
        <rFont val="Times New Roman"/>
        <family val="1"/>
        <charset val="204"/>
      </rPr>
      <t>Задача 1</t>
    </r>
    <r>
      <rPr>
        <b/>
        <i/>
        <sz val="18"/>
        <color rgb="FFFF0000"/>
        <rFont val="Times New Roman"/>
        <family val="1"/>
        <charset val="204"/>
      </rPr>
      <t xml:space="preserve">: </t>
    </r>
    <r>
      <rPr>
        <sz val="18"/>
        <color rgb="FFFF0000"/>
        <rFont val="Times New Roman"/>
        <family val="1"/>
        <charset val="204"/>
      </rPr>
      <t>Финансовая поддержка семей с детьми</t>
    </r>
  </si>
  <si>
    <r>
      <t xml:space="preserve">Задача 2: </t>
    </r>
    <r>
      <rPr>
        <b/>
        <sz val="18"/>
        <color indexed="10"/>
        <rFont val="Times New Roman"/>
        <family val="1"/>
        <charset val="204"/>
      </rPr>
      <t xml:space="preserve"> </t>
    </r>
    <r>
      <rPr>
        <sz val="18"/>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</si>
  <si>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Единовременная денежная выплата к памятной дате России - Дню участников ликвидации последствий радиационных аварий и катастроф и памяти жертв этих аварий и катастроф (26 апреля)</t>
    </r>
    <r>
      <rPr>
        <i/>
        <sz val="18"/>
        <color theme="1"/>
        <rFont val="Times New Roman"/>
        <family val="1"/>
        <charset val="204"/>
      </rPr>
      <t xml:space="preserve"> </t>
    </r>
  </si>
  <si>
    <r>
      <t>Единовременная денежная выплата ко дню воинской славы России - Дню Победы советского народа в Великой Отечественной войне 1941-1945 годов (9 мая)</t>
    </r>
    <r>
      <rPr>
        <i/>
        <sz val="18"/>
        <color theme="1"/>
        <rFont val="Times New Roman"/>
        <family val="1"/>
        <charset val="204"/>
      </rPr>
      <t xml:space="preserve"> </t>
    </r>
  </si>
  <si>
    <t>3. </t>
  </si>
  <si>
    <r>
      <t>Задача 3:</t>
    </r>
    <r>
      <rPr>
        <sz val="16"/>
        <rFont val="Times New Roman"/>
        <family val="1"/>
        <charset val="204"/>
      </rPr>
      <t>Предоставление социальных выплат гражданам, имеющим особые заслуги перед обществом</t>
    </r>
  </si>
  <si>
    <t>3.1.1.</t>
  </si>
  <si>
    <t>3.1.2.</t>
  </si>
  <si>
    <t>3.1.3.</t>
  </si>
  <si>
    <t>3.1.4.</t>
  </si>
  <si>
    <t>3.3.</t>
  </si>
  <si>
    <t>3.4.</t>
  </si>
  <si>
    <t>3.5.</t>
  </si>
  <si>
    <t>3.6.</t>
  </si>
  <si>
    <t>3.7.</t>
  </si>
  <si>
    <t>3.8.</t>
  </si>
  <si>
    <t>3.9.</t>
  </si>
  <si>
    <t>3.10.</t>
  </si>
  <si>
    <t>3.11.</t>
  </si>
  <si>
    <t>3.12.</t>
  </si>
  <si>
    <t>3.13.</t>
  </si>
  <si>
    <t>3.14.</t>
  </si>
  <si>
    <t>3.15.</t>
  </si>
  <si>
    <r>
      <t xml:space="preserve">Задача 4: </t>
    </r>
    <r>
      <rPr>
        <sz val="18"/>
        <color theme="1"/>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</si>
  <si>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t>5. </t>
  </si>
  <si>
    <r>
      <t xml:space="preserve">Задача 5: </t>
    </r>
    <r>
      <rPr>
        <b/>
        <sz val="18"/>
        <color theme="1"/>
        <rFont val="Times New Roman"/>
        <family val="1"/>
        <charset val="204"/>
      </rPr>
      <t xml:space="preserve"> </t>
    </r>
    <r>
      <rPr>
        <sz val="18"/>
        <color theme="1"/>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</si>
  <si>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t>5.2.</t>
  </si>
  <si>
    <t>7.</t>
  </si>
  <si>
    <r>
      <t xml:space="preserve">Задача 7: </t>
    </r>
    <r>
      <rPr>
        <sz val="18"/>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</si>
  <si>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t>8.</t>
  </si>
  <si>
    <r>
      <t xml:space="preserve">Задача 8: </t>
    </r>
    <r>
      <rPr>
        <sz val="18"/>
        <rFont val="Times New Roman"/>
        <family val="1"/>
        <charset val="204"/>
      </rPr>
      <t>Предоставление дополнительных мер социальной поддержки для отдельных категорий граждан из числа инвалидов</t>
    </r>
  </si>
  <si>
    <t>8.2.</t>
  </si>
  <si>
    <t>8.3.</t>
  </si>
  <si>
    <r>
      <t>Задача 9:</t>
    </r>
    <r>
      <rPr>
        <sz val="18"/>
        <rFont val="Times New Roman"/>
        <family val="1"/>
        <charset val="204"/>
      </rPr>
      <t xml:space="preserve">  Популяризация семейных ценностей</t>
    </r>
  </si>
  <si>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</si>
  <si>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Приложение №1 к постановлению администрации                              </t>
  </si>
  <si>
    <t xml:space="preserve">городского   округа Тольятти     </t>
  </si>
  <si>
    <t>от                          №</t>
  </si>
  <si>
    <t xml:space="preserve">Предоставление ежемесячной денежной выплаты на питание учащимся, осваивающим образовательные программы начального общего, основного общего или среднего общего образования в муниципальных образовательных учреждениях городского округа Тольятти
</t>
  </si>
  <si>
    <t>Праздничные мероприятия при участии департамента социального обеспечения администрации городского округа Тольятти, предусмотренные в рамках утвержденных перечней праздничных мероприятй на территории  городского округа Тольятти на соответствующий год, но не включенные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</si>
  <si>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</si>
  <si>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</si>
  <si>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 xml:space="preserve">Оплата расходов, связанных исполнением и сопровождением договоров пожизненной ренты </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</si>
  <si>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</si>
  <si>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r>
      <t xml:space="preserve">Задача 6: </t>
    </r>
    <r>
      <rPr>
        <b/>
        <i/>
        <sz val="18"/>
        <color indexed="10"/>
        <rFont val="Times New Roman"/>
        <family val="1"/>
        <charset val="204"/>
      </rPr>
      <t xml:space="preserve"> </t>
    </r>
    <r>
      <rPr>
        <sz val="18"/>
        <rFont val="Times New Roman"/>
        <family val="1"/>
        <charset val="204"/>
      </rPr>
      <t>Обеспечение условия для реализации дополнительных мер социальной подрежки населения</t>
    </r>
  </si>
  <si>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</si>
  <si>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</si>
  <si>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</si>
  <si>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r>
      <t xml:space="preserve">Финансовое обеспечение реализации муниципальной программы, </t>
    </r>
    <r>
      <rPr>
        <b/>
        <i/>
        <sz val="14"/>
        <color theme="1"/>
        <rFont val="Times New Roman"/>
        <family val="1"/>
        <charset val="204"/>
      </rPr>
      <t>тыс.руб.</t>
    </r>
  </si>
  <si>
    <r>
      <t>Цель:</t>
    </r>
    <r>
      <rPr>
        <sz val="14"/>
        <color theme="1"/>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</si>
  <si>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r>
      <rPr>
        <i/>
        <u/>
        <sz val="18"/>
        <color theme="1"/>
        <rFont val="Times New Roman"/>
        <family val="1"/>
        <charset val="204"/>
      </rPr>
      <t>Задача 1</t>
    </r>
    <r>
      <rPr>
        <b/>
        <i/>
        <sz val="18"/>
        <color theme="1"/>
        <rFont val="Times New Roman"/>
        <family val="1"/>
        <charset val="204"/>
      </rPr>
      <t xml:space="preserve">: </t>
    </r>
    <r>
      <rPr>
        <sz val="18"/>
        <color theme="1"/>
        <rFont val="Times New Roman"/>
        <family val="1"/>
        <charset val="204"/>
      </rPr>
      <t>Финансовая поддержка семей с детьми</t>
    </r>
  </si>
  <si>
    <r>
      <t xml:space="preserve">Задача 2: </t>
    </r>
    <r>
      <rPr>
        <b/>
        <sz val="18"/>
        <color theme="1"/>
        <rFont val="Times New Roman"/>
        <family val="1"/>
        <charset val="204"/>
      </rPr>
      <t xml:space="preserve"> </t>
    </r>
    <r>
      <rPr>
        <sz val="18"/>
        <color theme="1"/>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</si>
  <si>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Задача 3:</t>
    </r>
    <r>
      <rPr>
        <sz val="16"/>
        <color theme="1"/>
        <rFont val="Times New Roman"/>
        <family val="1"/>
        <charset val="204"/>
      </rPr>
      <t>Предоставление социальных выплат гражданам, имеющим особые заслуги перед обществом</t>
    </r>
  </si>
  <si>
    <r>
      <t xml:space="preserve">Задача 6: </t>
    </r>
    <r>
      <rPr>
        <b/>
        <i/>
        <sz val="18"/>
        <color theme="1"/>
        <rFont val="Times New Roman"/>
        <family val="1"/>
        <charset val="204"/>
      </rPr>
      <t xml:space="preserve"> </t>
    </r>
    <r>
      <rPr>
        <sz val="18"/>
        <color theme="1"/>
        <rFont val="Times New Roman"/>
        <family val="1"/>
        <charset val="204"/>
      </rPr>
      <t>Обеспечение условия для реализации дополнительных мер социальной подрежки населения</t>
    </r>
  </si>
  <si>
    <r>
      <t xml:space="preserve">Задача 7: </t>
    </r>
    <r>
      <rPr>
        <sz val="18"/>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</si>
  <si>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8: </t>
    </r>
    <r>
      <rPr>
        <sz val="18"/>
        <color theme="1"/>
        <rFont val="Times New Roman"/>
        <family val="1"/>
        <charset val="204"/>
      </rPr>
      <t>Предоставление дополнительных мер социальной поддержки для отдельных категорий граждан из числа инвалидов</t>
    </r>
  </si>
  <si>
    <r>
      <t>Задача 9:</t>
    </r>
    <r>
      <rPr>
        <sz val="18"/>
        <color theme="1"/>
        <rFont val="Times New Roman"/>
        <family val="1"/>
        <charset val="204"/>
      </rPr>
      <t xml:space="preserve">  Популяризация семейных ценностей</t>
    </r>
  </si>
  <si>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</si>
  <si>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</si>
  <si>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</si>
  <si>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</si>
  <si>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</si>
  <si>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</si>
  <si>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</si>
  <si>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образ</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</si>
  <si>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</si>
  <si>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</si>
  <si>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</si>
  <si>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Оплата ранее принятых обязательств</t>
  </si>
  <si>
    <t>2022-2024</t>
  </si>
  <si>
    <t>Оплата ранее принятых обязательств по задаче 5</t>
  </si>
  <si>
    <t>Итого по задаче 5 без учета ранее принятых обязательств</t>
  </si>
  <si>
    <t>Итого по задаче 5 с учетом ранее принятых обязательств</t>
  </si>
  <si>
    <t>ИТОГО по муниципальной программе без учета ранее принятых обязательств :</t>
  </si>
  <si>
    <t xml:space="preserve">Оплата ранее принятых обязательств по программе </t>
  </si>
  <si>
    <t>ИТОГО по муниципальной программе с учетома ранее принятых обязательств :</t>
  </si>
  <si>
    <t>без ранее принятых</t>
  </si>
  <si>
    <t>без учета ранее принятых</t>
  </si>
  <si>
    <t xml:space="preserve">Итого по главным распорядителям по задаче  5 </t>
  </si>
  <si>
    <t>ИТОГО по муниципальной программе  :</t>
  </si>
  <si>
    <t xml:space="preserve"> без учета ранее принятых</t>
  </si>
  <si>
    <t>с ранее принятыми</t>
  </si>
  <si>
    <t xml:space="preserve"> с учетом ранее принятых</t>
  </si>
  <si>
    <r>
      <t xml:space="preserve">Задача 2: </t>
    </r>
    <r>
      <rPr>
        <b/>
        <sz val="18"/>
        <rFont val="Times New Roman"/>
        <family val="1"/>
        <charset val="204"/>
      </rPr>
      <t xml:space="preserve"> </t>
    </r>
    <r>
      <rPr>
        <sz val="18"/>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</si>
  <si>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t>2020-2022 гг.</t>
  </si>
  <si>
    <t>2020-2022гг.</t>
  </si>
  <si>
    <t>Задача 11: 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</si>
  <si>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</si>
  <si>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ИТОГО по задаче 1:</t>
  </si>
  <si>
    <t>ИТОГО по задаче 2:</t>
  </si>
  <si>
    <t>ИТОГО по задаче 3:</t>
  </si>
  <si>
    <t>ИТОГО по задаче 4:</t>
  </si>
  <si>
    <t>ИТОГО по задаче 6:</t>
  </si>
  <si>
    <t>ИТОГО по задаче 7:</t>
  </si>
  <si>
    <t>ИТОГО по задаче 11:</t>
  </si>
  <si>
    <t>ИТОГО по задаче 10:</t>
  </si>
  <si>
    <t>ИТОГО по задаче 9:</t>
  </si>
  <si>
    <t>ИТОГО по задаче 8:</t>
  </si>
  <si>
    <r>
      <rPr>
        <i/>
        <u/>
        <sz val="18"/>
        <rFont val="Times New Roman"/>
        <family val="1"/>
        <charset val="204"/>
      </rPr>
      <t>Задача 1</t>
    </r>
    <r>
      <rPr>
        <b/>
        <i/>
        <sz val="18"/>
        <rFont val="Times New Roman"/>
        <family val="1"/>
        <charset val="204"/>
      </rPr>
      <t xml:space="preserve">: </t>
    </r>
    <r>
      <rPr>
        <sz val="18"/>
        <rFont val="Times New Roman"/>
        <family val="1"/>
        <charset val="204"/>
      </rPr>
      <t>Финансовая поддержка семей с детьми</t>
    </r>
  </si>
  <si>
    <r>
      <t xml:space="preserve">Задача 4: </t>
    </r>
    <r>
      <rPr>
        <sz val="18"/>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</si>
  <si>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r>
      <t xml:space="preserve">Задача 5: </t>
    </r>
    <r>
      <rPr>
        <b/>
        <sz val="18"/>
        <rFont val="Times New Roman"/>
        <family val="1"/>
        <charset val="204"/>
      </rPr>
      <t xml:space="preserve"> </t>
    </r>
    <r>
      <rPr>
        <sz val="18"/>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</si>
  <si>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 xml:space="preserve">Задача 6: </t>
    </r>
    <r>
      <rPr>
        <b/>
        <i/>
        <sz val="18"/>
        <rFont val="Times New Roman"/>
        <family val="1"/>
        <charset val="204"/>
      </rPr>
      <t xml:space="preserve"> </t>
    </r>
    <r>
      <rPr>
        <sz val="18"/>
        <rFont val="Times New Roman"/>
        <family val="1"/>
        <charset val="204"/>
      </rPr>
      <t>Обеспечение условия для реализации дополнительных мер социальной поддежки населения</t>
    </r>
  </si>
  <si>
    <t>ДО</t>
  </si>
  <si>
    <t>ДИТИС</t>
  </si>
</sst>
</file>

<file path=xl/styles.xml><?xml version="1.0" encoding="utf-8"?>
<styleSheet xmlns="http://schemas.openxmlformats.org/spreadsheetml/2006/main">
  <numFmts count="5">
    <numFmt numFmtId="164" formatCode="_-* #,##0.00_р_._-;\-* #,##0.00_р_._-;_-* &quot;-&quot;??_р_._-;_-@_-"/>
    <numFmt numFmtId="165" formatCode="#,##0.0"/>
    <numFmt numFmtId="166" formatCode="_-* #,##0_р_._-;\-* #,##0_р_._-;_-* &quot;-&quot;??_р_._-;_-@_-"/>
    <numFmt numFmtId="167" formatCode="#,##0.00\ &quot;₽&quot;"/>
    <numFmt numFmtId="168" formatCode="0.0"/>
  </numFmts>
  <fonts count="73">
    <font>
      <sz val="11"/>
      <color theme="1"/>
      <name val="Calibri"/>
      <family val="2"/>
      <charset val="204"/>
      <scheme val="minor"/>
    </font>
    <font>
      <sz val="12"/>
      <name val="Times New Roman"/>
      <family val="1"/>
      <charset val="204"/>
    </font>
    <font>
      <sz val="11"/>
      <name val="Calibri"/>
      <family val="2"/>
      <charset val="204"/>
    </font>
    <font>
      <sz val="14"/>
      <name val="Times New Roman"/>
      <family val="1"/>
      <charset val="204"/>
    </font>
    <font>
      <b/>
      <sz val="12"/>
      <name val="Times New Roman"/>
      <family val="1"/>
      <charset val="204"/>
    </font>
    <font>
      <b/>
      <i/>
      <sz val="12"/>
      <name val="Times New Roman"/>
      <family val="1"/>
      <charset val="204"/>
    </font>
    <font>
      <i/>
      <u/>
      <sz val="14"/>
      <name val="Times New Roman"/>
      <family val="1"/>
      <charset val="204"/>
    </font>
    <font>
      <sz val="7"/>
      <name val="Times New Roman"/>
      <family val="1"/>
      <charset val="204"/>
    </font>
    <font>
      <sz val="11"/>
      <name val="Times New Roman"/>
      <family val="1"/>
      <charset val="204"/>
    </font>
    <font>
      <sz val="13"/>
      <name val="Times New Roman"/>
      <family val="1"/>
      <charset val="204"/>
    </font>
    <font>
      <sz val="8"/>
      <name val="Times New Roman"/>
      <family val="1"/>
      <charset val="204"/>
    </font>
    <font>
      <i/>
      <u/>
      <sz val="13"/>
      <name val="Times New Roman"/>
      <family val="1"/>
      <charset val="204"/>
    </font>
    <font>
      <sz val="8"/>
      <color indexed="81"/>
      <name val="Tahoma"/>
      <family val="2"/>
      <charset val="204"/>
    </font>
    <font>
      <b/>
      <sz val="8"/>
      <color indexed="81"/>
      <name val="Tahoma"/>
      <family val="2"/>
      <charset val="204"/>
    </font>
    <font>
      <sz val="11"/>
      <color indexed="8"/>
      <name val="Calibri"/>
      <family val="2"/>
      <charset val="204"/>
    </font>
    <font>
      <b/>
      <sz val="13"/>
      <name val="Times New Roman"/>
      <family val="1"/>
      <charset val="204"/>
    </font>
    <font>
      <b/>
      <sz val="11"/>
      <name val="Times New Roman"/>
      <family val="1"/>
      <charset val="204"/>
    </font>
    <font>
      <b/>
      <sz val="14"/>
      <color indexed="10"/>
      <name val="Times New Roman"/>
      <family val="1"/>
      <charset val="204"/>
    </font>
    <font>
      <b/>
      <i/>
      <sz val="14"/>
      <color indexed="10"/>
      <name val="Times New Roman"/>
      <family val="1"/>
      <charset val="204"/>
    </font>
    <font>
      <b/>
      <sz val="14"/>
      <name val="Times New Roman"/>
      <family val="1"/>
      <charset val="204"/>
    </font>
    <font>
      <i/>
      <sz val="14"/>
      <name val="Times New Roman"/>
      <family val="1"/>
      <charset val="204"/>
    </font>
    <font>
      <b/>
      <i/>
      <sz val="14"/>
      <name val="Times New Roman"/>
      <family val="1"/>
      <charset val="204"/>
    </font>
    <font>
      <sz val="12"/>
      <color rgb="FFFF0000"/>
      <name val="Times New Roman"/>
      <family val="1"/>
      <charset val="204"/>
    </font>
    <font>
      <sz val="11"/>
      <color rgb="FFFF0000"/>
      <name val="Times New Roman"/>
      <family val="1"/>
      <charset val="204"/>
    </font>
    <font>
      <sz val="11"/>
      <color rgb="FFFF0000"/>
      <name val="Calibri"/>
      <family val="2"/>
      <charset val="204"/>
    </font>
    <font>
      <b/>
      <sz val="14"/>
      <color rgb="FFFF0000"/>
      <name val="Calibri"/>
      <family val="2"/>
      <charset val="204"/>
    </font>
    <font>
      <b/>
      <sz val="12"/>
      <color rgb="FFFF0000"/>
      <name val="Times New Roman"/>
      <family val="1"/>
      <charset val="204"/>
    </font>
    <font>
      <sz val="12"/>
      <color theme="1"/>
      <name val="Times New Roman"/>
      <family val="1"/>
      <charset val="204"/>
    </font>
    <font>
      <i/>
      <sz val="12"/>
      <color theme="1"/>
      <name val="Times New Roman"/>
      <family val="1"/>
      <charset val="204"/>
    </font>
    <font>
      <sz val="11"/>
      <color theme="1"/>
      <name val="Times New Roman"/>
      <family val="1"/>
      <charset val="204"/>
    </font>
    <font>
      <sz val="13"/>
      <color theme="1"/>
      <name val="Times New Roman"/>
      <family val="1"/>
      <charset val="204"/>
    </font>
    <font>
      <b/>
      <sz val="12"/>
      <color theme="1"/>
      <name val="Times New Roman"/>
      <family val="1"/>
      <charset val="204"/>
    </font>
    <font>
      <b/>
      <sz val="13"/>
      <color theme="1"/>
      <name val="Times New Roman"/>
      <family val="1"/>
      <charset val="204"/>
    </font>
    <font>
      <sz val="14"/>
      <color theme="1"/>
      <name val="Times New Roman"/>
      <family val="1"/>
      <charset val="204"/>
    </font>
    <font>
      <sz val="7"/>
      <color theme="1"/>
      <name val="Times New Roman"/>
      <family val="1"/>
      <charset val="204"/>
    </font>
    <font>
      <i/>
      <u/>
      <sz val="14"/>
      <color theme="1"/>
      <name val="Times New Roman"/>
      <family val="1"/>
      <charset val="204"/>
    </font>
    <font>
      <b/>
      <sz val="14"/>
      <color theme="1"/>
      <name val="Times New Roman"/>
      <family val="1"/>
      <charset val="204"/>
    </font>
    <font>
      <u/>
      <sz val="14"/>
      <name val="Times New Roman"/>
      <family val="1"/>
      <charset val="204"/>
    </font>
    <font>
      <b/>
      <sz val="13"/>
      <color rgb="FFFF0000"/>
      <name val="Times New Roman"/>
      <family val="1"/>
      <charset val="204"/>
    </font>
    <font>
      <sz val="13"/>
      <color rgb="FFFF0000"/>
      <name val="Times New Roman"/>
      <family val="1"/>
      <charset val="204"/>
    </font>
    <font>
      <b/>
      <sz val="14"/>
      <color rgb="FFFF0000"/>
      <name val="Times New Roman"/>
      <family val="1"/>
      <charset val="204"/>
    </font>
    <font>
      <b/>
      <sz val="11"/>
      <color rgb="FFFF0000"/>
      <name val="Times New Roman"/>
      <family val="1"/>
      <charset val="204"/>
    </font>
    <font>
      <sz val="14"/>
      <color rgb="FFFF0000"/>
      <name val="Times New Roman"/>
      <family val="1"/>
      <charset val="204"/>
    </font>
    <font>
      <u/>
      <sz val="14"/>
      <color theme="1"/>
      <name val="Times New Roman"/>
      <family val="1"/>
      <charset val="204"/>
    </font>
    <font>
      <sz val="16"/>
      <color theme="1"/>
      <name val="Times New Roman"/>
      <family val="1"/>
      <charset val="204"/>
    </font>
    <font>
      <sz val="14"/>
      <name val="Calibri"/>
      <family val="2"/>
      <charset val="204"/>
    </font>
    <font>
      <sz val="14"/>
      <color rgb="FFFF0000"/>
      <name val="Calibri"/>
      <family val="2"/>
      <charset val="204"/>
    </font>
    <font>
      <i/>
      <u/>
      <sz val="16"/>
      <name val="Times New Roman"/>
      <family val="1"/>
      <charset val="204"/>
    </font>
    <font>
      <sz val="16"/>
      <name val="Times New Roman"/>
      <family val="1"/>
      <charset val="204"/>
    </font>
    <font>
      <sz val="16"/>
      <color rgb="FFFF0000"/>
      <name val="Times New Roman"/>
      <family val="1"/>
      <charset val="204"/>
    </font>
    <font>
      <sz val="18"/>
      <color theme="1"/>
      <name val="Times New Roman"/>
      <family val="1"/>
      <charset val="204"/>
    </font>
    <font>
      <u/>
      <sz val="18"/>
      <color theme="1"/>
      <name val="Times New Roman"/>
      <family val="1"/>
      <charset val="204"/>
    </font>
    <font>
      <i/>
      <sz val="18"/>
      <color rgb="FFFF0000"/>
      <name val="Times New Roman"/>
      <family val="1"/>
      <charset val="204"/>
    </font>
    <font>
      <i/>
      <u/>
      <sz val="18"/>
      <color rgb="FFFF0000"/>
      <name val="Times New Roman"/>
      <family val="1"/>
      <charset val="204"/>
    </font>
    <font>
      <b/>
      <i/>
      <sz val="18"/>
      <color rgb="FFFF0000"/>
      <name val="Times New Roman"/>
      <family val="1"/>
      <charset val="204"/>
    </font>
    <font>
      <sz val="18"/>
      <color rgb="FFFF0000"/>
      <name val="Times New Roman"/>
      <family val="1"/>
      <charset val="204"/>
    </font>
    <font>
      <sz val="18"/>
      <name val="Times New Roman"/>
      <family val="1"/>
      <charset val="204"/>
    </font>
    <font>
      <i/>
      <u/>
      <sz val="18"/>
      <name val="Times New Roman"/>
      <family val="1"/>
      <charset val="204"/>
    </font>
    <font>
      <b/>
      <sz val="18"/>
      <color indexed="10"/>
      <name val="Times New Roman"/>
      <family val="1"/>
      <charset val="204"/>
    </font>
    <font>
      <i/>
      <sz val="18"/>
      <color theme="1"/>
      <name val="Times New Roman"/>
      <family val="1"/>
      <charset val="204"/>
    </font>
    <font>
      <i/>
      <u/>
      <sz val="18"/>
      <color theme="1"/>
      <name val="Times New Roman"/>
      <family val="1"/>
      <charset val="204"/>
    </font>
    <font>
      <b/>
      <sz val="18"/>
      <color theme="1"/>
      <name val="Times New Roman"/>
      <family val="1"/>
      <charset val="204"/>
    </font>
    <font>
      <b/>
      <i/>
      <sz val="18"/>
      <color indexed="10"/>
      <name val="Times New Roman"/>
      <family val="1"/>
      <charset val="204"/>
    </font>
    <font>
      <sz val="14"/>
      <color theme="1"/>
      <name val="Calibri"/>
      <family val="2"/>
      <charset val="204"/>
    </font>
    <font>
      <b/>
      <i/>
      <sz val="14"/>
      <color theme="1"/>
      <name val="Times New Roman"/>
      <family val="1"/>
      <charset val="204"/>
    </font>
    <font>
      <b/>
      <i/>
      <sz val="18"/>
      <color theme="1"/>
      <name val="Times New Roman"/>
      <family val="1"/>
      <charset val="204"/>
    </font>
    <font>
      <i/>
      <u/>
      <sz val="16"/>
      <color theme="1"/>
      <name val="Times New Roman"/>
      <family val="1"/>
      <charset val="204"/>
    </font>
    <font>
      <b/>
      <sz val="14"/>
      <color theme="1"/>
      <name val="Calibri"/>
      <family val="2"/>
      <charset val="204"/>
    </font>
    <font>
      <b/>
      <sz val="18"/>
      <name val="Times New Roman"/>
      <family val="1"/>
      <charset val="204"/>
    </font>
    <font>
      <i/>
      <sz val="18"/>
      <name val="Times New Roman"/>
      <family val="1"/>
      <charset val="204"/>
    </font>
    <font>
      <b/>
      <i/>
      <sz val="18"/>
      <name val="Times New Roman"/>
      <family val="1"/>
      <charset val="204"/>
    </font>
    <font>
      <b/>
      <sz val="14"/>
      <name val="Calibri"/>
      <family val="2"/>
      <charset val="204"/>
    </font>
    <font>
      <u/>
      <sz val="1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164" fontId="14" fillId="0" borderId="0" applyFont="0" applyFill="0" applyBorder="0" applyAlignment="0" applyProtection="0"/>
  </cellStyleXfs>
  <cellXfs count="735">
    <xf numFmtId="0" fontId="0" fillId="0" borderId="0" xfId="0"/>
    <xf numFmtId="0" fontId="1" fillId="2" borderId="0" xfId="0" applyFont="1" applyFill="1"/>
    <xf numFmtId="0" fontId="1" fillId="2" borderId="1" xfId="0" applyFont="1" applyFill="1" applyBorder="1" applyAlignment="1">
      <alignment horizontal="center" wrapText="1"/>
    </xf>
    <xf numFmtId="0" fontId="27" fillId="2" borderId="1" xfId="0" applyFont="1" applyFill="1" applyBorder="1" applyAlignment="1">
      <alignment vertical="top" wrapText="1"/>
    </xf>
    <xf numFmtId="0" fontId="22" fillId="2" borderId="1" xfId="0" applyFont="1" applyFill="1" applyBorder="1" applyAlignment="1">
      <alignment vertical="top" wrapText="1"/>
    </xf>
    <xf numFmtId="0" fontId="1" fillId="2" borderId="1" xfId="0" applyFont="1" applyFill="1" applyBorder="1" applyAlignment="1">
      <alignment horizontal="justify" vertical="top" wrapText="1"/>
    </xf>
    <xf numFmtId="0" fontId="1" fillId="2" borderId="1" xfId="0" applyFont="1" applyFill="1" applyBorder="1" applyAlignment="1">
      <alignment horizontal="left" vertical="top" wrapText="1"/>
    </xf>
    <xf numFmtId="0" fontId="27" fillId="2" borderId="1" xfId="0" applyFont="1" applyFill="1" applyBorder="1" applyAlignment="1">
      <alignment horizontal="left" vertical="top" wrapText="1"/>
    </xf>
    <xf numFmtId="49" fontId="1" fillId="2" borderId="1" xfId="0" applyNumberFormat="1" applyFont="1" applyFill="1" applyBorder="1" applyAlignment="1">
      <alignment horizontal="left" vertical="center" wrapText="1"/>
    </xf>
    <xf numFmtId="0" fontId="3" fillId="2" borderId="0" xfId="0" applyFont="1" applyFill="1"/>
    <xf numFmtId="0" fontId="3" fillId="2" borderId="0" xfId="0" applyFont="1" applyFill="1" applyAlignment="1">
      <alignment horizontal="right"/>
    </xf>
    <xf numFmtId="165" fontId="1" fillId="2" borderId="0" xfId="0" applyNumberFormat="1" applyFont="1" applyFill="1"/>
    <xf numFmtId="0" fontId="1" fillId="2" borderId="1" xfId="0" applyFont="1" applyFill="1" applyBorder="1" applyAlignment="1">
      <alignment horizontal="center" vertical="top"/>
    </xf>
    <xf numFmtId="165" fontId="1" fillId="2" borderId="1" xfId="0" applyNumberFormat="1" applyFont="1" applyFill="1" applyBorder="1" applyAlignment="1">
      <alignment horizontal="center" vertical="top"/>
    </xf>
    <xf numFmtId="165" fontId="8" fillId="2" borderId="1" xfId="0" applyNumberFormat="1" applyFont="1" applyFill="1" applyBorder="1" applyAlignment="1">
      <alignment horizontal="center" vertical="top"/>
    </xf>
    <xf numFmtId="165" fontId="4" fillId="2" borderId="1" xfId="0" applyNumberFormat="1" applyFont="1" applyFill="1" applyBorder="1" applyAlignment="1">
      <alignment horizontal="center" vertical="top"/>
    </xf>
    <xf numFmtId="0" fontId="2" fillId="2" borderId="0" xfId="0" applyFont="1" applyFill="1"/>
    <xf numFmtId="0" fontId="10" fillId="2" borderId="1" xfId="0" applyFont="1" applyFill="1" applyBorder="1" applyAlignment="1">
      <alignment horizontal="center" vertical="top"/>
    </xf>
    <xf numFmtId="0" fontId="25" fillId="2" borderId="0" xfId="0" applyFont="1" applyFill="1"/>
    <xf numFmtId="0" fontId="27" fillId="2" borderId="1" xfId="0" applyFont="1" applyFill="1" applyBorder="1" applyAlignment="1">
      <alignment horizontal="center" vertical="top"/>
    </xf>
    <xf numFmtId="165" fontId="27" fillId="2" borderId="1" xfId="0" applyNumberFormat="1" applyFont="1" applyFill="1" applyBorder="1" applyAlignment="1">
      <alignment horizontal="center" vertical="top"/>
    </xf>
    <xf numFmtId="165" fontId="29" fillId="2" borderId="1" xfId="0" applyNumberFormat="1" applyFont="1" applyFill="1" applyBorder="1" applyAlignment="1">
      <alignment horizontal="center" vertical="top"/>
    </xf>
    <xf numFmtId="0" fontId="1" fillId="2" borderId="0" xfId="0" applyFont="1" applyFill="1" applyAlignment="1">
      <alignment horizontal="center"/>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3" fillId="2" borderId="1" xfId="0" applyFont="1" applyFill="1" applyBorder="1" applyAlignment="1">
      <alignment horizontal="center" vertical="top" wrapText="1"/>
    </xf>
    <xf numFmtId="0" fontId="27" fillId="2" borderId="3" xfId="0" applyNumberFormat="1" applyFont="1" applyFill="1" applyBorder="1" applyAlignment="1">
      <alignment horizontal="left" vertical="top" wrapText="1"/>
    </xf>
    <xf numFmtId="0" fontId="27" fillId="2" borderId="1" xfId="0" applyNumberFormat="1" applyFont="1" applyFill="1" applyBorder="1" applyAlignment="1">
      <alignment vertical="top" wrapText="1"/>
    </xf>
    <xf numFmtId="0" fontId="1" fillId="2" borderId="4" xfId="0" applyFont="1" applyFill="1" applyBorder="1" applyAlignment="1">
      <alignment horizontal="center" vertical="top" wrapText="1"/>
    </xf>
    <xf numFmtId="165" fontId="22" fillId="2" borderId="1" xfId="0" applyNumberFormat="1" applyFont="1" applyFill="1" applyBorder="1" applyAlignment="1">
      <alignment horizontal="center" vertical="top"/>
    </xf>
    <xf numFmtId="165" fontId="23" fillId="2" borderId="1" xfId="0" applyNumberFormat="1" applyFont="1" applyFill="1" applyBorder="1" applyAlignment="1">
      <alignment horizontal="center" vertical="top"/>
    </xf>
    <xf numFmtId="165" fontId="15" fillId="2" borderId="1" xfId="0" applyNumberFormat="1" applyFont="1" applyFill="1" applyBorder="1" applyAlignment="1">
      <alignment horizontal="center" vertical="top"/>
    </xf>
    <xf numFmtId="165" fontId="9" fillId="2" borderId="1" xfId="0" applyNumberFormat="1" applyFont="1" applyFill="1" applyBorder="1" applyAlignment="1">
      <alignment horizontal="center" vertical="top"/>
    </xf>
    <xf numFmtId="165" fontId="2" fillId="2" borderId="0" xfId="0" applyNumberFormat="1" applyFont="1" applyFill="1"/>
    <xf numFmtId="16" fontId="1" fillId="2" borderId="1" xfId="0" applyNumberFormat="1" applyFont="1" applyFill="1" applyBorder="1" applyAlignment="1">
      <alignment horizontal="center" vertical="top"/>
    </xf>
    <xf numFmtId="165" fontId="9" fillId="2" borderId="5" xfId="0" applyNumberFormat="1" applyFont="1" applyFill="1" applyBorder="1" applyAlignment="1">
      <alignment horizontal="center" vertical="top"/>
    </xf>
    <xf numFmtId="165" fontId="1" fillId="2" borderId="5" xfId="0" applyNumberFormat="1" applyFont="1" applyFill="1" applyBorder="1" applyAlignment="1">
      <alignment horizontal="center" vertical="top"/>
    </xf>
    <xf numFmtId="165" fontId="9" fillId="2" borderId="6" xfId="0" applyNumberFormat="1" applyFont="1" applyFill="1" applyBorder="1" applyAlignment="1">
      <alignment horizontal="center" vertical="top"/>
    </xf>
    <xf numFmtId="0" fontId="27" fillId="2" borderId="1" xfId="0" applyFont="1" applyFill="1" applyBorder="1" applyAlignment="1">
      <alignment horizontal="center" vertical="top" wrapText="1"/>
    </xf>
    <xf numFmtId="165" fontId="31" fillId="2" borderId="1" xfId="0" applyNumberFormat="1" applyFont="1" applyFill="1" applyBorder="1" applyAlignment="1">
      <alignment horizontal="center" vertical="top"/>
    </xf>
    <xf numFmtId="165" fontId="32" fillId="2" borderId="1" xfId="0" applyNumberFormat="1" applyFont="1" applyFill="1" applyBorder="1" applyAlignment="1">
      <alignment horizontal="center" vertical="top"/>
    </xf>
    <xf numFmtId="0" fontId="33" fillId="2" borderId="1" xfId="0" applyFont="1" applyFill="1" applyBorder="1" applyAlignment="1">
      <alignment horizontal="center" vertical="top" wrapText="1"/>
    </xf>
    <xf numFmtId="0" fontId="30" fillId="2" borderId="5" xfId="0" applyFont="1" applyFill="1" applyBorder="1" applyAlignment="1">
      <alignment horizontal="left" vertical="center"/>
    </xf>
    <xf numFmtId="165" fontId="30" fillId="2" borderId="5" xfId="0" applyNumberFormat="1" applyFont="1" applyFill="1" applyBorder="1" applyAlignment="1">
      <alignment horizontal="center" vertical="top"/>
    </xf>
    <xf numFmtId="165" fontId="27" fillId="2" borderId="5" xfId="0" applyNumberFormat="1" applyFont="1" applyFill="1" applyBorder="1" applyAlignment="1">
      <alignment horizontal="center" vertical="top"/>
    </xf>
    <xf numFmtId="165" fontId="30" fillId="2" borderId="6" xfId="0" applyNumberFormat="1" applyFont="1" applyFill="1" applyBorder="1" applyAlignment="1">
      <alignment horizontal="center" vertical="top"/>
    </xf>
    <xf numFmtId="0" fontId="24" fillId="2" borderId="0" xfId="0" applyFont="1" applyFill="1"/>
    <xf numFmtId="0" fontId="2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49" fontId="1" fillId="2" borderId="1" xfId="0" applyNumberFormat="1" applyFont="1" applyFill="1" applyBorder="1" applyAlignment="1">
      <alignment horizontal="center" vertical="center"/>
    </xf>
    <xf numFmtId="165" fontId="16" fillId="2" borderId="1" xfId="0" applyNumberFormat="1" applyFont="1" applyFill="1" applyBorder="1" applyAlignment="1">
      <alignment horizontal="center" vertical="top"/>
    </xf>
    <xf numFmtId="16" fontId="1" fillId="2" borderId="1" xfId="0" applyNumberFormat="1" applyFont="1" applyFill="1" applyBorder="1" applyAlignment="1">
      <alignment horizontal="left" vertical="center"/>
    </xf>
    <xf numFmtId="0" fontId="27" fillId="2" borderId="5" xfId="0" applyFont="1" applyFill="1" applyBorder="1" applyAlignment="1">
      <alignment horizontal="left" vertical="center" wrapText="1"/>
    </xf>
    <xf numFmtId="0" fontId="29" fillId="2" borderId="7" xfId="0" applyFont="1" applyFill="1" applyBorder="1" applyAlignment="1">
      <alignment horizontal="center" vertical="top" wrapText="1"/>
    </xf>
    <xf numFmtId="165" fontId="9" fillId="2" borderId="1" xfId="0" applyNumberFormat="1" applyFont="1" applyFill="1" applyBorder="1" applyAlignment="1">
      <alignment horizontal="center" vertical="top" wrapText="1"/>
    </xf>
    <xf numFmtId="165" fontId="15" fillId="2" borderId="1" xfId="0" applyNumberFormat="1" applyFont="1" applyFill="1" applyBorder="1" applyAlignment="1">
      <alignment horizontal="center" vertical="top" wrapText="1"/>
    </xf>
    <xf numFmtId="0" fontId="27" fillId="2" borderId="0" xfId="0" applyFont="1" applyFill="1" applyAlignment="1">
      <alignment wrapText="1"/>
    </xf>
    <xf numFmtId="0" fontId="27" fillId="2" borderId="1" xfId="0" applyFont="1" applyFill="1" applyBorder="1" applyAlignment="1">
      <alignment wrapText="1"/>
    </xf>
    <xf numFmtId="165" fontId="19" fillId="2" borderId="1" xfId="0" applyNumberFormat="1" applyFont="1" applyFill="1" applyBorder="1" applyAlignment="1">
      <alignment horizontal="center" vertical="top" wrapText="1"/>
    </xf>
    <xf numFmtId="0" fontId="1" fillId="2" borderId="0" xfId="0" applyFont="1" applyFill="1" applyBorder="1"/>
    <xf numFmtId="166" fontId="1" fillId="2" borderId="0" xfId="1" applyNumberFormat="1" applyFont="1" applyFill="1" applyAlignment="1">
      <alignment wrapText="1"/>
    </xf>
    <xf numFmtId="0" fontId="1" fillId="2" borderId="0" xfId="0" applyFont="1" applyFill="1" applyAlignment="1">
      <alignment wrapText="1"/>
    </xf>
    <xf numFmtId="165" fontId="3" fillId="2" borderId="0" xfId="0" applyNumberFormat="1" applyFont="1" applyFill="1"/>
    <xf numFmtId="167" fontId="1" fillId="2" borderId="0" xfId="0" applyNumberFormat="1" applyFont="1" applyFill="1"/>
    <xf numFmtId="17" fontId="1" fillId="2" borderId="1" xfId="0" applyNumberFormat="1" applyFont="1" applyFill="1" applyBorder="1" applyAlignment="1">
      <alignment horizontal="center" vertical="top"/>
    </xf>
    <xf numFmtId="0" fontId="27" fillId="2" borderId="3" xfId="0" applyFont="1" applyFill="1" applyBorder="1" applyAlignment="1">
      <alignment horizontal="center" vertical="center"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3"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top" wrapText="1"/>
    </xf>
    <xf numFmtId="0" fontId="30"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0" xfId="0" applyFont="1" applyFill="1" applyAlignment="1">
      <alignment horizontal="right"/>
    </xf>
    <xf numFmtId="165" fontId="1" fillId="2" borderId="0" xfId="0" applyNumberFormat="1" applyFont="1" applyFill="1" applyAlignment="1">
      <alignment horizontal="right"/>
    </xf>
    <xf numFmtId="168" fontId="1" fillId="2" borderId="0" xfId="0" applyNumberFormat="1" applyFont="1" applyFill="1" applyAlignment="1">
      <alignment horizontal="center" vertical="top"/>
    </xf>
    <xf numFmtId="0" fontId="4" fillId="2" borderId="2" xfId="0" applyFont="1" applyFill="1" applyBorder="1" applyAlignment="1">
      <alignment horizontal="center" vertical="center" wrapText="1"/>
    </xf>
    <xf numFmtId="0" fontId="6" fillId="2" borderId="5" xfId="0" applyFont="1" applyFill="1" applyBorder="1" applyAlignment="1">
      <alignment horizontal="left" vertical="top" wrapText="1"/>
    </xf>
    <xf numFmtId="0" fontId="1"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68" fontId="1" fillId="2" borderId="1" xfId="0" applyNumberFormat="1" applyFont="1" applyFill="1" applyBorder="1" applyAlignment="1">
      <alignment horizontal="center" vertical="top" wrapText="1"/>
    </xf>
    <xf numFmtId="168" fontId="19" fillId="2" borderId="5" xfId="0" applyNumberFormat="1" applyFont="1" applyFill="1" applyBorder="1" applyAlignment="1">
      <alignment horizontal="center" vertical="top" wrapText="1"/>
    </xf>
    <xf numFmtId="165" fontId="26" fillId="2" borderId="1" xfId="0" applyNumberFormat="1" applyFont="1" applyFill="1" applyBorder="1" applyAlignment="1">
      <alignment horizontal="center" vertical="top"/>
    </xf>
    <xf numFmtId="168" fontId="3" fillId="2" borderId="1" xfId="0" applyNumberFormat="1" applyFont="1" applyFill="1" applyBorder="1" applyAlignment="1">
      <alignment horizontal="center" vertical="top" wrapText="1"/>
    </xf>
    <xf numFmtId="168" fontId="19" fillId="2" borderId="1" xfId="0" applyNumberFormat="1" applyFont="1" applyFill="1" applyBorder="1" applyAlignment="1">
      <alignment horizontal="center" vertical="top" wrapText="1"/>
    </xf>
    <xf numFmtId="168" fontId="19" fillId="2" borderId="6" xfId="0" applyNumberFormat="1" applyFont="1" applyFill="1" applyBorder="1" applyAlignment="1">
      <alignment horizontal="center" vertical="top" wrapText="1"/>
    </xf>
    <xf numFmtId="0" fontId="1" fillId="3" borderId="0" xfId="0" applyFont="1" applyFill="1" applyAlignment="1">
      <alignment horizontal="center" wrapText="1"/>
    </xf>
    <xf numFmtId="0" fontId="9" fillId="2" borderId="1" xfId="0" applyFont="1" applyFill="1" applyBorder="1" applyAlignment="1">
      <alignment horizontal="left" vertical="center"/>
    </xf>
    <xf numFmtId="0" fontId="1" fillId="2" borderId="1" xfId="0" applyFont="1" applyFill="1" applyBorder="1" applyAlignment="1">
      <alignment horizontal="center" vertical="top" wrapText="1"/>
    </xf>
    <xf numFmtId="0" fontId="1" fillId="2" borderId="7" xfId="0" applyFont="1" applyFill="1" applyBorder="1" applyAlignment="1">
      <alignment horizontal="center"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0" fillId="2" borderId="2" xfId="0" applyFill="1" applyBorder="1" applyAlignment="1">
      <alignment horizontal="center" vertical="top" wrapText="1"/>
    </xf>
    <xf numFmtId="0" fontId="4" fillId="2" borderId="2" xfId="0" applyFont="1" applyFill="1" applyBorder="1" applyAlignment="1">
      <alignment horizontal="center" vertical="center" wrapText="1"/>
    </xf>
    <xf numFmtId="0" fontId="6" fillId="2" borderId="5" xfId="0" applyFont="1" applyFill="1" applyBorder="1" applyAlignment="1">
      <alignment horizontal="left" vertical="top" wrapText="1"/>
    </xf>
    <xf numFmtId="0" fontId="9" fillId="2" borderId="1" xfId="0" applyFont="1" applyFill="1" applyBorder="1" applyAlignment="1">
      <alignment horizontal="left" vertical="center"/>
    </xf>
    <xf numFmtId="0" fontId="6" fillId="2" borderId="4" xfId="0" applyFont="1" applyFill="1" applyBorder="1" applyAlignment="1">
      <alignment horizontal="left" vertical="top" wrapText="1"/>
    </xf>
    <xf numFmtId="0" fontId="30" fillId="2" borderId="1" xfId="0" applyFont="1" applyFill="1" applyBorder="1" applyAlignment="1">
      <alignment horizontal="left" vertical="center"/>
    </xf>
    <xf numFmtId="0" fontId="9" fillId="2" borderId="4" xfId="0" applyFont="1" applyFill="1" applyBorder="1" applyAlignment="1">
      <alignment horizontal="left" vertical="center"/>
    </xf>
    <xf numFmtId="0" fontId="6" fillId="2" borderId="4" xfId="0" applyNumberFormat="1" applyFont="1" applyFill="1" applyBorder="1" applyAlignment="1">
      <alignment horizontal="left" vertical="top" wrapText="1"/>
    </xf>
    <xf numFmtId="0" fontId="27" fillId="2" borderId="3" xfId="0" applyFont="1" applyFill="1" applyBorder="1" applyAlignment="1">
      <alignment horizontal="left" vertical="top" wrapText="1"/>
    </xf>
    <xf numFmtId="0" fontId="27" fillId="2" borderId="1" xfId="0" applyFont="1" applyFill="1" applyBorder="1" applyAlignment="1">
      <alignment horizontal="justify" vertical="top" wrapText="1"/>
    </xf>
    <xf numFmtId="0" fontId="1" fillId="2" borderId="1" xfId="0" applyFont="1" applyFill="1" applyBorder="1" applyAlignment="1">
      <alignment vertical="top" wrapText="1"/>
    </xf>
    <xf numFmtId="0" fontId="27" fillId="2" borderId="2" xfId="0" applyFont="1" applyFill="1" applyBorder="1" applyAlignment="1">
      <alignment vertical="top" wrapText="1"/>
    </xf>
    <xf numFmtId="165" fontId="36" fillId="2" borderId="1" xfId="0" applyNumberFormat="1" applyFont="1" applyFill="1" applyBorder="1" applyAlignment="1">
      <alignment horizontal="center" vertical="top" wrapText="1"/>
    </xf>
    <xf numFmtId="165" fontId="38" fillId="2" borderId="1" xfId="0" applyNumberFormat="1" applyFont="1" applyFill="1" applyBorder="1" applyAlignment="1">
      <alignment horizontal="center" vertical="top"/>
    </xf>
    <xf numFmtId="165" fontId="39" fillId="2" borderId="5" xfId="0" applyNumberFormat="1" applyFont="1" applyFill="1" applyBorder="1" applyAlignment="1">
      <alignment horizontal="center" vertical="top"/>
    </xf>
    <xf numFmtId="165" fontId="22" fillId="2" borderId="5" xfId="0" applyNumberFormat="1" applyFont="1" applyFill="1" applyBorder="1" applyAlignment="1">
      <alignment horizontal="center" vertical="top"/>
    </xf>
    <xf numFmtId="165" fontId="39" fillId="2" borderId="1" xfId="0" applyNumberFormat="1" applyFont="1" applyFill="1" applyBorder="1" applyAlignment="1">
      <alignment horizontal="center" vertical="top"/>
    </xf>
    <xf numFmtId="165" fontId="40" fillId="2" borderId="1" xfId="0" applyNumberFormat="1" applyFont="1" applyFill="1" applyBorder="1" applyAlignment="1">
      <alignment horizontal="center" vertical="top" wrapText="1"/>
    </xf>
    <xf numFmtId="165" fontId="41" fillId="2" borderId="1" xfId="0" applyNumberFormat="1" applyFont="1" applyFill="1" applyBorder="1" applyAlignment="1">
      <alignment horizontal="center" vertical="top"/>
    </xf>
    <xf numFmtId="0" fontId="4" fillId="2" borderId="2" xfId="0" applyFont="1" applyFill="1" applyBorder="1" applyAlignment="1">
      <alignment horizontal="center" vertical="center" wrapText="1"/>
    </xf>
    <xf numFmtId="0" fontId="6" fillId="2" borderId="5" xfId="0" applyFont="1" applyFill="1" applyBorder="1" applyAlignment="1">
      <alignment horizontal="left" vertical="top" wrapText="1"/>
    </xf>
    <xf numFmtId="0" fontId="9" fillId="2" borderId="1" xfId="0" applyFont="1" applyFill="1" applyBorder="1" applyAlignment="1">
      <alignment horizontal="left" vertical="center"/>
    </xf>
    <xf numFmtId="0" fontId="6" fillId="2" borderId="4" xfId="0" applyFont="1" applyFill="1" applyBorder="1" applyAlignment="1">
      <alignment horizontal="left" vertical="top" wrapText="1"/>
    </xf>
    <xf numFmtId="0" fontId="1" fillId="2" borderId="1" xfId="0" applyFont="1" applyFill="1" applyBorder="1" applyAlignment="1">
      <alignment horizontal="center" vertical="center" wrapText="1"/>
    </xf>
    <xf numFmtId="0" fontId="30" fillId="2" borderId="1" xfId="0" applyFont="1" applyFill="1" applyBorder="1" applyAlignment="1">
      <alignment horizontal="left" vertical="center"/>
    </xf>
    <xf numFmtId="0" fontId="1" fillId="2" borderId="3" xfId="0" applyFont="1" applyFill="1" applyBorder="1" applyAlignment="1">
      <alignment horizontal="center" vertical="top"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3" fillId="2" borderId="1" xfId="0" applyFont="1" applyFill="1" applyBorder="1" applyAlignment="1">
      <alignment horizontal="left" vertical="center" wrapText="1"/>
    </xf>
    <xf numFmtId="0" fontId="1" fillId="2" borderId="1" xfId="0" applyFont="1" applyFill="1" applyBorder="1" applyAlignment="1">
      <alignment horizontal="center" vertical="top" wrapText="1"/>
    </xf>
    <xf numFmtId="0" fontId="1" fillId="2" borderId="7" xfId="0" applyFont="1" applyFill="1" applyBorder="1" applyAlignment="1">
      <alignment horizontal="center" vertical="top" wrapText="1"/>
    </xf>
    <xf numFmtId="0" fontId="27" fillId="2" borderId="2" xfId="0" applyFont="1" applyFill="1" applyBorder="1" applyAlignment="1">
      <alignment horizontal="center" vertical="center" wrapText="1"/>
    </xf>
    <xf numFmtId="0" fontId="27" fillId="2" borderId="4" xfId="0" applyFont="1" applyFill="1" applyBorder="1" applyAlignment="1">
      <alignment horizontal="center" vertical="top" wrapText="1"/>
    </xf>
    <xf numFmtId="0" fontId="3" fillId="2" borderId="1" xfId="0" applyFont="1" applyFill="1" applyBorder="1" applyAlignment="1">
      <alignment horizontal="left" vertical="center" wrapText="1"/>
    </xf>
    <xf numFmtId="0" fontId="3" fillId="2" borderId="0" xfId="0" applyFont="1" applyFill="1" applyAlignment="1">
      <alignment horizontal="center"/>
    </xf>
    <xf numFmtId="0" fontId="45" fillId="2" borderId="0" xfId="0" applyFont="1" applyFill="1"/>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textRotation="90" wrapText="1"/>
    </xf>
    <xf numFmtId="0" fontId="19" fillId="2" borderId="2" xfId="0" applyFont="1" applyFill="1" applyBorder="1" applyAlignment="1">
      <alignment horizontal="center" vertical="center" textRotation="90" wrapText="1"/>
    </xf>
    <xf numFmtId="0" fontId="3" fillId="2" borderId="1" xfId="0" applyFont="1" applyFill="1" applyBorder="1" applyAlignment="1">
      <alignment horizontal="center" wrapText="1"/>
    </xf>
    <xf numFmtId="0" fontId="3" fillId="2" borderId="1" xfId="0" applyFont="1" applyFill="1" applyBorder="1" applyAlignment="1">
      <alignment horizontal="center" vertical="top"/>
    </xf>
    <xf numFmtId="165" fontId="42" fillId="2" borderId="1" xfId="0" applyNumberFormat="1" applyFont="1" applyFill="1" applyBorder="1" applyAlignment="1">
      <alignment horizontal="center" vertical="top"/>
    </xf>
    <xf numFmtId="165" fontId="3" fillId="2" borderId="1" xfId="0" applyNumberFormat="1" applyFont="1" applyFill="1" applyBorder="1" applyAlignment="1">
      <alignment horizontal="center" vertical="top"/>
    </xf>
    <xf numFmtId="165" fontId="19" fillId="2" borderId="1" xfId="0" applyNumberFormat="1" applyFont="1" applyFill="1" applyBorder="1" applyAlignment="1">
      <alignment horizontal="center" vertical="top"/>
    </xf>
    <xf numFmtId="0" fontId="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top" wrapText="1"/>
    </xf>
    <xf numFmtId="165" fontId="33" fillId="2" borderId="1" xfId="0" applyNumberFormat="1" applyFont="1" applyFill="1" applyBorder="1" applyAlignment="1">
      <alignment horizontal="center" vertical="top"/>
    </xf>
    <xf numFmtId="0" fontId="3" fillId="2" borderId="4"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165" fontId="45" fillId="2" borderId="0" xfId="0" applyNumberFormat="1" applyFont="1" applyFill="1"/>
    <xf numFmtId="0" fontId="3" fillId="2" borderId="6" xfId="0" applyFont="1" applyFill="1" applyBorder="1" applyAlignment="1">
      <alignment horizontal="left" vertical="center"/>
    </xf>
    <xf numFmtId="165" fontId="36" fillId="2" borderId="1" xfId="0" applyNumberFormat="1" applyFont="1" applyFill="1" applyBorder="1" applyAlignment="1">
      <alignment horizontal="center" vertical="top"/>
    </xf>
    <xf numFmtId="16" fontId="3" fillId="2" borderId="1" xfId="0" applyNumberFormat="1" applyFont="1" applyFill="1" applyBorder="1" applyAlignment="1">
      <alignment horizontal="center" vertical="top"/>
    </xf>
    <xf numFmtId="17" fontId="3" fillId="2" borderId="1" xfId="0" applyNumberFormat="1" applyFont="1" applyFill="1" applyBorder="1" applyAlignment="1">
      <alignment horizontal="center" vertical="top"/>
    </xf>
    <xf numFmtId="0" fontId="3" fillId="2" borderId="3" xfId="0" applyFont="1" applyFill="1" applyBorder="1" applyAlignment="1">
      <alignment horizontal="center" vertical="top" wrapText="1"/>
    </xf>
    <xf numFmtId="165" fontId="33" fillId="2" borderId="5" xfId="0" applyNumberFormat="1" applyFont="1" applyFill="1" applyBorder="1" applyAlignment="1">
      <alignment horizontal="center" vertical="top"/>
    </xf>
    <xf numFmtId="165" fontId="3" fillId="2" borderId="5" xfId="0" applyNumberFormat="1" applyFont="1" applyFill="1" applyBorder="1" applyAlignment="1">
      <alignment horizontal="center" vertical="top"/>
    </xf>
    <xf numFmtId="165" fontId="3" fillId="2" borderId="6" xfId="0" applyNumberFormat="1" applyFont="1" applyFill="1" applyBorder="1" applyAlignment="1">
      <alignment horizontal="center" vertical="top"/>
    </xf>
    <xf numFmtId="0" fontId="33" fillId="2" borderId="1" xfId="0" applyFont="1" applyFill="1" applyBorder="1" applyAlignment="1">
      <alignment horizontal="center" vertical="top"/>
    </xf>
    <xf numFmtId="0" fontId="33" fillId="2" borderId="1" xfId="0" applyFont="1" applyFill="1" applyBorder="1" applyAlignment="1">
      <alignment horizontal="left" vertical="center"/>
    </xf>
    <xf numFmtId="0" fontId="33" fillId="2" borderId="5" xfId="0" applyFont="1" applyFill="1" applyBorder="1" applyAlignment="1">
      <alignment horizontal="left" vertical="center"/>
    </xf>
    <xf numFmtId="165" fontId="33" fillId="2" borderId="6" xfId="0" applyNumberFormat="1" applyFont="1" applyFill="1" applyBorder="1" applyAlignment="1">
      <alignment horizontal="center" vertical="top"/>
    </xf>
    <xf numFmtId="0" fontId="46" fillId="2" borderId="0" xfId="0" applyFont="1" applyFill="1"/>
    <xf numFmtId="49" fontId="3" fillId="2" borderId="1" xfId="0" applyNumberFormat="1" applyFont="1" applyFill="1" applyBorder="1" applyAlignment="1">
      <alignment horizontal="center" vertical="center"/>
    </xf>
    <xf numFmtId="0" fontId="33" fillId="2" borderId="0" xfId="0" applyFont="1" applyFill="1" applyAlignment="1">
      <alignment wrapText="1"/>
    </xf>
    <xf numFmtId="165" fontId="3" fillId="2" borderId="1" xfId="0" applyNumberFormat="1" applyFont="1" applyFill="1" applyBorder="1" applyAlignment="1">
      <alignment horizontal="center" vertical="top" wrapText="1"/>
    </xf>
    <xf numFmtId="0" fontId="33" fillId="2" borderId="1" xfId="0" applyFont="1" applyFill="1" applyBorder="1" applyAlignment="1">
      <alignment wrapText="1"/>
    </xf>
    <xf numFmtId="0" fontId="3" fillId="2" borderId="0" xfId="0" applyFont="1" applyFill="1" applyBorder="1"/>
    <xf numFmtId="166" fontId="3" fillId="2" borderId="0" xfId="1" applyNumberFormat="1" applyFont="1" applyFill="1" applyAlignment="1">
      <alignment wrapText="1"/>
    </xf>
    <xf numFmtId="0" fontId="3" fillId="2" borderId="0" xfId="0" applyFont="1" applyFill="1" applyAlignment="1">
      <alignment wrapText="1"/>
    </xf>
    <xf numFmtId="0" fontId="3" fillId="3" borderId="0" xfId="0" applyFont="1" applyFill="1" applyAlignment="1">
      <alignment horizontal="center" wrapText="1"/>
    </xf>
    <xf numFmtId="165" fontId="3" fillId="2" borderId="0" xfId="0" applyNumberFormat="1" applyFont="1" applyFill="1" applyAlignment="1">
      <alignment horizontal="right"/>
    </xf>
    <xf numFmtId="167" fontId="3" fillId="2" borderId="0" xfId="0" applyNumberFormat="1" applyFont="1" applyFill="1"/>
    <xf numFmtId="0" fontId="50" fillId="2" borderId="1"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top" wrapText="1"/>
    </xf>
    <xf numFmtId="0" fontId="50" fillId="2" borderId="9" xfId="0" applyNumberFormat="1" applyFont="1" applyFill="1" applyBorder="1" applyAlignment="1">
      <alignment horizontal="left" vertical="top" wrapText="1"/>
    </xf>
    <xf numFmtId="0" fontId="50" fillId="2" borderId="4" xfId="0" applyNumberFormat="1" applyFont="1" applyFill="1" applyBorder="1" applyAlignment="1">
      <alignment vertical="top" wrapText="1"/>
    </xf>
    <xf numFmtId="0" fontId="50" fillId="2" borderId="1" xfId="0" applyFont="1" applyFill="1" applyBorder="1" applyAlignment="1">
      <alignment vertical="top" wrapText="1"/>
    </xf>
    <xf numFmtId="165" fontId="49" fillId="2" borderId="1" xfId="0" applyNumberFormat="1" applyFont="1" applyFill="1" applyBorder="1" applyAlignment="1">
      <alignment horizontal="center" vertical="top"/>
    </xf>
    <xf numFmtId="165" fontId="48" fillId="2" borderId="1" xfId="0" applyNumberFormat="1" applyFont="1" applyFill="1" applyBorder="1" applyAlignment="1">
      <alignment horizontal="center" vertical="top"/>
    </xf>
    <xf numFmtId="165" fontId="44" fillId="2" borderId="1" xfId="0" applyNumberFormat="1" applyFont="1" applyFill="1" applyBorder="1" applyAlignment="1">
      <alignment horizontal="center" vertical="top"/>
    </xf>
    <xf numFmtId="168" fontId="44" fillId="2" borderId="0" xfId="0" applyNumberFormat="1" applyFont="1" applyFill="1" applyAlignment="1">
      <alignment horizontal="center" vertical="top"/>
    </xf>
    <xf numFmtId="0" fontId="56" fillId="2" borderId="1" xfId="0" applyFont="1" applyFill="1" applyBorder="1" applyAlignment="1">
      <alignment horizontal="left" vertical="center"/>
    </xf>
    <xf numFmtId="0" fontId="56" fillId="2" borderId="4" xfId="0" applyFont="1" applyFill="1" applyBorder="1" applyAlignment="1">
      <alignment horizontal="left" vertical="center"/>
    </xf>
    <xf numFmtId="0" fontId="56" fillId="2" borderId="5" xfId="0" applyFont="1" applyFill="1" applyBorder="1" applyAlignment="1">
      <alignment horizontal="left" vertical="center"/>
    </xf>
    <xf numFmtId="0" fontId="56" fillId="2" borderId="9" xfId="0" applyFont="1" applyFill="1" applyBorder="1" applyAlignment="1">
      <alignment horizontal="left" vertical="center"/>
    </xf>
    <xf numFmtId="0" fontId="56" fillId="2" borderId="8" xfId="0" applyFont="1" applyFill="1" applyBorder="1" applyAlignment="1">
      <alignment horizontal="left" vertical="center"/>
    </xf>
    <xf numFmtId="0" fontId="50" fillId="2" borderId="1" xfId="0" applyFont="1" applyFill="1" applyBorder="1" applyAlignment="1">
      <alignment horizontal="justify" vertical="top" wrapText="1"/>
    </xf>
    <xf numFmtId="0" fontId="56" fillId="2" borderId="1" xfId="0" applyFont="1" applyFill="1" applyBorder="1" applyAlignment="1">
      <alignment horizontal="justify" vertical="top" wrapText="1"/>
    </xf>
    <xf numFmtId="0" fontId="50" fillId="2" borderId="1" xfId="0" applyNumberFormat="1" applyFont="1" applyFill="1" applyBorder="1" applyAlignment="1">
      <alignment vertical="top" wrapText="1"/>
    </xf>
    <xf numFmtId="0" fontId="50" fillId="2" borderId="1" xfId="0" applyFont="1" applyFill="1" applyBorder="1" applyAlignment="1">
      <alignment horizontal="left" vertical="center"/>
    </xf>
    <xf numFmtId="0" fontId="50" fillId="2" borderId="5" xfId="0" applyFont="1" applyFill="1" applyBorder="1" applyAlignment="1">
      <alignment horizontal="left" vertical="center"/>
    </xf>
    <xf numFmtId="0" fontId="56" fillId="2" borderId="1" xfId="0" applyFont="1" applyFill="1" applyBorder="1" applyAlignment="1">
      <alignment horizontal="left" vertical="top" wrapText="1"/>
    </xf>
    <xf numFmtId="0" fontId="50" fillId="2" borderId="3" xfId="0" applyFont="1" applyFill="1" applyBorder="1" applyAlignment="1">
      <alignment horizontal="left" vertical="top" wrapText="1"/>
    </xf>
    <xf numFmtId="0" fontId="3" fillId="2" borderId="1" xfId="0" applyFont="1" applyFill="1" applyBorder="1" applyAlignment="1">
      <alignment horizontal="left" vertical="center"/>
    </xf>
    <xf numFmtId="0" fontId="3" fillId="2" borderId="0" xfId="0" applyFont="1" applyFill="1" applyAlignment="1">
      <alignment horizontal="left" vertical="top" wrapText="1"/>
    </xf>
    <xf numFmtId="0" fontId="19"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165" fontId="49" fillId="4" borderId="1" xfId="0" applyNumberFormat="1" applyFont="1" applyFill="1" applyBorder="1" applyAlignment="1">
      <alignment horizontal="center" vertical="top"/>
    </xf>
    <xf numFmtId="165" fontId="42" fillId="4" borderId="1" xfId="0" applyNumberFormat="1" applyFont="1" applyFill="1" applyBorder="1" applyAlignment="1">
      <alignment horizontal="center" vertical="top"/>
    </xf>
    <xf numFmtId="165" fontId="3" fillId="4" borderId="1" xfId="0" applyNumberFormat="1" applyFont="1" applyFill="1" applyBorder="1" applyAlignment="1">
      <alignment horizontal="center" vertical="top"/>
    </xf>
    <xf numFmtId="0" fontId="33" fillId="2" borderId="0" xfId="0" applyFont="1" applyFill="1"/>
    <xf numFmtId="0" fontId="63" fillId="2" borderId="0" xfId="0" applyFont="1" applyFill="1"/>
    <xf numFmtId="0" fontId="36" fillId="2" borderId="1" xfId="0" applyFont="1" applyFill="1" applyBorder="1" applyAlignment="1">
      <alignment horizontal="center" vertical="center" textRotation="90" wrapText="1"/>
    </xf>
    <xf numFmtId="0" fontId="36" fillId="2" borderId="2" xfId="0" applyFont="1" applyFill="1" applyBorder="1" applyAlignment="1">
      <alignment horizontal="center" vertical="center" textRotation="90" wrapText="1"/>
    </xf>
    <xf numFmtId="0" fontId="33" fillId="2" borderId="1" xfId="0" applyFont="1" applyFill="1" applyBorder="1" applyAlignment="1">
      <alignment horizontal="center" wrapText="1"/>
    </xf>
    <xf numFmtId="0" fontId="33" fillId="2" borderId="6" xfId="0" applyFont="1" applyFill="1" applyBorder="1" applyAlignment="1">
      <alignment horizontal="center" vertical="top" wrapText="1"/>
    </xf>
    <xf numFmtId="0" fontId="33" fillId="2" borderId="1" xfId="0" applyFont="1" applyFill="1" applyBorder="1" applyAlignment="1">
      <alignment horizontal="center" vertical="center" wrapText="1"/>
    </xf>
    <xf numFmtId="0" fontId="33" fillId="2" borderId="4" xfId="0" applyFont="1" applyFill="1" applyBorder="1" applyAlignment="1">
      <alignment horizontal="left" vertical="center"/>
    </xf>
    <xf numFmtId="0" fontId="50" fillId="2" borderId="9" xfId="0" applyFont="1" applyFill="1" applyBorder="1" applyAlignment="1">
      <alignment horizontal="left" vertical="center"/>
    </xf>
    <xf numFmtId="0" fontId="50" fillId="2" borderId="8" xfId="0" applyFont="1" applyFill="1" applyBorder="1" applyAlignment="1">
      <alignment horizontal="left" vertical="center"/>
    </xf>
    <xf numFmtId="165" fontId="63" fillId="2" borderId="0" xfId="0" applyNumberFormat="1" applyFont="1" applyFill="1"/>
    <xf numFmtId="0" fontId="33" fillId="2" borderId="6" xfId="0" applyFont="1" applyFill="1" applyBorder="1" applyAlignment="1">
      <alignment horizontal="left" vertical="center"/>
    </xf>
    <xf numFmtId="16" fontId="33" fillId="2" borderId="1" xfId="0" applyNumberFormat="1" applyFont="1" applyFill="1" applyBorder="1" applyAlignment="1">
      <alignment horizontal="center" vertical="top"/>
    </xf>
    <xf numFmtId="0" fontId="67" fillId="2" borderId="0" xfId="0" applyFont="1" applyFill="1"/>
    <xf numFmtId="17" fontId="33" fillId="2" borderId="1" xfId="0" applyNumberFormat="1" applyFont="1" applyFill="1" applyBorder="1" applyAlignment="1">
      <alignment horizontal="center" vertical="top"/>
    </xf>
    <xf numFmtId="49" fontId="33" fillId="2" borderId="1" xfId="0" applyNumberFormat="1" applyFont="1" applyFill="1" applyBorder="1" applyAlignment="1">
      <alignment horizontal="center" vertical="center"/>
    </xf>
    <xf numFmtId="0" fontId="33" fillId="2" borderId="1" xfId="0" applyFont="1" applyFill="1" applyBorder="1" applyAlignment="1">
      <alignment horizontal="left" vertical="center" wrapText="1"/>
    </xf>
    <xf numFmtId="165" fontId="33" fillId="2" borderId="1" xfId="0" applyNumberFormat="1" applyFont="1" applyFill="1" applyBorder="1" applyAlignment="1">
      <alignment horizontal="center" vertical="top" wrapText="1"/>
    </xf>
    <xf numFmtId="0" fontId="33" fillId="2" borderId="0" xfId="0" applyFont="1" applyFill="1" applyBorder="1"/>
    <xf numFmtId="165" fontId="33" fillId="2" borderId="0" xfId="0" applyNumberFormat="1" applyFont="1" applyFill="1"/>
    <xf numFmtId="0" fontId="33" fillId="2" borderId="0" xfId="0" applyFont="1" applyFill="1" applyAlignment="1">
      <alignment horizontal="right"/>
    </xf>
    <xf numFmtId="165" fontId="33" fillId="2" borderId="0" xfId="0" applyNumberFormat="1" applyFont="1" applyFill="1" applyAlignment="1">
      <alignment horizontal="right"/>
    </xf>
    <xf numFmtId="167" fontId="33" fillId="2" borderId="0" xfId="0" applyNumberFormat="1" applyFont="1" applyFill="1"/>
    <xf numFmtId="0" fontId="33" fillId="2" borderId="0" xfId="0" applyFont="1" applyFill="1" applyAlignment="1">
      <alignment horizontal="center" wrapText="1"/>
    </xf>
    <xf numFmtId="166" fontId="33" fillId="2" borderId="0" xfId="1" applyNumberFormat="1" applyFont="1" applyFill="1" applyAlignment="1">
      <alignment wrapText="1"/>
    </xf>
    <xf numFmtId="0" fontId="33" fillId="2" borderId="8" xfId="0" applyFont="1" applyFill="1" applyBorder="1" applyAlignment="1">
      <alignment horizontal="center" vertical="top" wrapText="1"/>
    </xf>
    <xf numFmtId="0" fontId="50" fillId="2" borderId="1" xfId="0" applyFont="1" applyFill="1" applyBorder="1" applyAlignment="1">
      <alignment horizontal="left" vertical="center"/>
    </xf>
    <xf numFmtId="0" fontId="33" fillId="2" borderId="1" xfId="0" applyFont="1" applyFill="1" applyBorder="1" applyAlignment="1">
      <alignment horizontal="left" vertical="center"/>
    </xf>
    <xf numFmtId="0" fontId="50" fillId="2" borderId="4" xfId="0" applyFont="1" applyFill="1" applyBorder="1" applyAlignment="1">
      <alignment horizontal="left" vertical="center"/>
    </xf>
    <xf numFmtId="0" fontId="50" fillId="2" borderId="5" xfId="0" applyFont="1" applyFill="1" applyBorder="1" applyAlignment="1">
      <alignment horizontal="left" vertical="center"/>
    </xf>
    <xf numFmtId="0" fontId="33" fillId="2" borderId="0" xfId="0" applyFont="1" applyFill="1" applyAlignment="1">
      <alignment horizontal="left" vertical="top" wrapText="1"/>
    </xf>
    <xf numFmtId="0" fontId="33" fillId="2" borderId="0" xfId="0" applyFont="1" applyFill="1" applyAlignment="1">
      <alignment wrapText="1"/>
    </xf>
    <xf numFmtId="0" fontId="33" fillId="2" borderId="0" xfId="0" applyFont="1" applyFill="1" applyAlignment="1">
      <alignment horizontal="center"/>
    </xf>
    <xf numFmtId="0" fontId="36" fillId="2" borderId="2" xfId="0" applyFont="1" applyFill="1" applyBorder="1" applyAlignment="1">
      <alignment horizontal="center" vertical="center" wrapText="1"/>
    </xf>
    <xf numFmtId="0" fontId="33" fillId="2" borderId="3" xfId="0" applyFont="1" applyFill="1" applyBorder="1" applyAlignment="1">
      <alignment horizontal="center" vertical="top" wrapText="1"/>
    </xf>
    <xf numFmtId="0" fontId="33" fillId="2" borderId="2" xfId="0" applyFont="1" applyFill="1" applyBorder="1" applyAlignment="1">
      <alignment horizontal="center" vertical="center" wrapText="1"/>
    </xf>
    <xf numFmtId="0" fontId="50" fillId="2" borderId="1" xfId="0" applyFont="1" applyFill="1" applyBorder="1" applyAlignment="1">
      <alignment horizontal="left" vertical="center"/>
    </xf>
    <xf numFmtId="0" fontId="33" fillId="2" borderId="3" xfId="0" applyFont="1" applyFill="1" applyBorder="1" applyAlignment="1">
      <alignment horizontal="center" vertical="top" wrapText="1"/>
    </xf>
    <xf numFmtId="0" fontId="33" fillId="2" borderId="2" xfId="0" applyFont="1" applyFill="1" applyBorder="1" applyAlignment="1">
      <alignment horizontal="center" vertical="center" wrapText="1"/>
    </xf>
    <xf numFmtId="0" fontId="33" fillId="2" borderId="0" xfId="0" applyFont="1" applyFill="1" applyAlignment="1">
      <alignment horizontal="left" vertical="top" wrapText="1"/>
    </xf>
    <xf numFmtId="0" fontId="33" fillId="2" borderId="0" xfId="0" applyFont="1" applyFill="1" applyAlignment="1">
      <alignment wrapText="1"/>
    </xf>
    <xf numFmtId="0" fontId="33" fillId="2" borderId="0" xfId="0" applyFont="1" applyFill="1" applyAlignment="1">
      <alignment horizontal="center"/>
    </xf>
    <xf numFmtId="0" fontId="36" fillId="2" borderId="2" xfId="0" applyFont="1" applyFill="1" applyBorder="1" applyAlignment="1">
      <alignment horizontal="center" vertical="center" wrapText="1"/>
    </xf>
    <xf numFmtId="0" fontId="33" fillId="2" borderId="1" xfId="0" applyFont="1" applyFill="1" applyBorder="1" applyAlignment="1">
      <alignment horizontal="left" vertical="center"/>
    </xf>
    <xf numFmtId="0" fontId="50" fillId="2" borderId="4" xfId="0" applyFont="1" applyFill="1" applyBorder="1" applyAlignment="1">
      <alignment horizontal="left" vertical="center"/>
    </xf>
    <xf numFmtId="0" fontId="50" fillId="2" borderId="5" xfId="0" applyFont="1" applyFill="1" applyBorder="1" applyAlignment="1">
      <alignment horizontal="left" vertical="center"/>
    </xf>
    <xf numFmtId="0" fontId="33" fillId="2" borderId="0" xfId="0" applyFont="1" applyFill="1" applyAlignment="1">
      <alignment horizontal="left" vertical="top" wrapText="1"/>
    </xf>
    <xf numFmtId="0" fontId="33" fillId="2" borderId="0" xfId="0" applyFont="1" applyFill="1" applyAlignment="1">
      <alignment wrapText="1"/>
    </xf>
    <xf numFmtId="0" fontId="36" fillId="2" borderId="2" xfId="0" applyFont="1" applyFill="1" applyBorder="1" applyAlignment="1">
      <alignment horizontal="center" vertical="center" wrapText="1"/>
    </xf>
    <xf numFmtId="0" fontId="50" fillId="2" borderId="1" xfId="0" applyFont="1" applyFill="1" applyBorder="1" applyAlignment="1">
      <alignment horizontal="left" vertical="center"/>
    </xf>
    <xf numFmtId="0" fontId="33" fillId="2" borderId="3" xfId="0" applyFont="1" applyFill="1" applyBorder="1" applyAlignment="1">
      <alignment horizontal="center" vertical="top" wrapText="1"/>
    </xf>
    <xf numFmtId="0" fontId="33" fillId="2" borderId="2" xfId="0" applyFont="1" applyFill="1" applyBorder="1" applyAlignment="1">
      <alignment horizontal="center" vertical="center" wrapText="1"/>
    </xf>
    <xf numFmtId="0" fontId="33" fillId="2" borderId="0" xfId="0" applyFont="1" applyFill="1" applyAlignment="1">
      <alignment horizontal="left" vertical="top" wrapText="1"/>
    </xf>
    <xf numFmtId="0" fontId="33" fillId="2" borderId="0" xfId="0" applyFont="1" applyFill="1" applyAlignment="1">
      <alignment wrapText="1"/>
    </xf>
    <xf numFmtId="0" fontId="33" fillId="2" borderId="0" xfId="0" applyFont="1" applyFill="1" applyAlignment="1">
      <alignment horizontal="center"/>
    </xf>
    <xf numFmtId="0" fontId="36" fillId="2" borderId="2" xfId="0" applyFont="1" applyFill="1" applyBorder="1" applyAlignment="1">
      <alignment horizontal="center" vertical="center" wrapText="1"/>
    </xf>
    <xf numFmtId="0" fontId="33" fillId="2" borderId="1" xfId="0" applyFont="1" applyFill="1" applyBorder="1" applyAlignment="1">
      <alignment horizontal="left" vertical="center"/>
    </xf>
    <xf numFmtId="0" fontId="50" fillId="2" borderId="4" xfId="0" applyFont="1" applyFill="1" applyBorder="1" applyAlignment="1">
      <alignment horizontal="left" vertical="center"/>
    </xf>
    <xf numFmtId="0" fontId="50" fillId="2" borderId="5" xfId="0" applyFont="1" applyFill="1" applyBorder="1" applyAlignment="1">
      <alignment horizontal="left" vertical="center"/>
    </xf>
    <xf numFmtId="165" fontId="40" fillId="2" borderId="1" xfId="0" applyNumberFormat="1" applyFont="1" applyFill="1" applyBorder="1" applyAlignment="1">
      <alignment horizontal="center" vertical="top"/>
    </xf>
    <xf numFmtId="0" fontId="50" fillId="2" borderId="1" xfId="0" applyFont="1" applyFill="1" applyBorder="1" applyAlignment="1">
      <alignment horizontal="left" vertical="center"/>
    </xf>
    <xf numFmtId="0" fontId="50" fillId="2" borderId="4" xfId="0" applyFont="1" applyFill="1" applyBorder="1" applyAlignment="1">
      <alignment horizontal="left" vertical="center"/>
    </xf>
    <xf numFmtId="0" fontId="50" fillId="2" borderId="5" xfId="0" applyFont="1" applyFill="1" applyBorder="1" applyAlignment="1">
      <alignment horizontal="left" vertical="center"/>
    </xf>
    <xf numFmtId="0" fontId="33" fillId="2" borderId="0" xfId="0" applyFont="1" applyFill="1" applyAlignment="1">
      <alignment horizontal="left" vertical="top" wrapText="1"/>
    </xf>
    <xf numFmtId="0" fontId="33" fillId="2" borderId="0" xfId="0" applyFont="1" applyFill="1" applyAlignment="1">
      <alignment wrapText="1"/>
    </xf>
    <xf numFmtId="0" fontId="33" fillId="2" borderId="0" xfId="0" applyFont="1" applyFill="1" applyAlignment="1">
      <alignment horizontal="center"/>
    </xf>
    <xf numFmtId="0" fontId="36" fillId="2" borderId="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50" fillId="2" borderId="1" xfId="0" applyFont="1" applyFill="1" applyBorder="1" applyAlignment="1">
      <alignment horizontal="left" vertical="center"/>
    </xf>
    <xf numFmtId="0" fontId="33" fillId="2" borderId="3" xfId="0" applyFont="1" applyFill="1" applyBorder="1" applyAlignment="1">
      <alignment horizontal="center" vertical="top" wrapText="1"/>
    </xf>
    <xf numFmtId="0" fontId="33" fillId="2" borderId="2" xfId="0" applyFont="1" applyFill="1" applyBorder="1" applyAlignment="1">
      <alignment horizontal="center" vertical="center" wrapText="1"/>
    </xf>
    <xf numFmtId="0" fontId="33" fillId="2" borderId="0" xfId="0" applyFont="1" applyFill="1" applyAlignment="1">
      <alignment horizontal="left" vertical="top" wrapText="1"/>
    </xf>
    <xf numFmtId="0" fontId="33" fillId="2" borderId="0" xfId="0" applyFont="1" applyFill="1" applyAlignment="1">
      <alignment wrapText="1"/>
    </xf>
    <xf numFmtId="0" fontId="33" fillId="2" borderId="0" xfId="0" applyFont="1" applyFill="1" applyAlignment="1">
      <alignment horizontal="center"/>
    </xf>
    <xf numFmtId="0" fontId="36" fillId="2" borderId="2" xfId="0" applyFont="1" applyFill="1" applyBorder="1" applyAlignment="1">
      <alignment horizontal="center" vertical="center" wrapText="1"/>
    </xf>
    <xf numFmtId="0" fontId="33" fillId="2" borderId="1" xfId="0" applyFont="1" applyFill="1" applyBorder="1" applyAlignment="1">
      <alignment horizontal="left" vertical="center"/>
    </xf>
    <xf numFmtId="0" fontId="50" fillId="2" borderId="4" xfId="0" applyFont="1" applyFill="1" applyBorder="1" applyAlignment="1">
      <alignment horizontal="left" vertical="center"/>
    </xf>
    <xf numFmtId="0" fontId="50" fillId="2" borderId="5" xfId="0" applyFont="1" applyFill="1" applyBorder="1" applyAlignment="1">
      <alignment horizontal="left" vertical="center"/>
    </xf>
    <xf numFmtId="0" fontId="50" fillId="2" borderId="1" xfId="0" applyFont="1" applyFill="1" applyBorder="1" applyAlignment="1">
      <alignment horizontal="left" vertical="center"/>
    </xf>
    <xf numFmtId="0" fontId="33" fillId="2" borderId="1" xfId="0" applyFont="1" applyFill="1" applyBorder="1" applyAlignment="1">
      <alignment horizontal="left" vertical="center"/>
    </xf>
    <xf numFmtId="0" fontId="50" fillId="2" borderId="5" xfId="0" applyFont="1" applyFill="1" applyBorder="1" applyAlignment="1">
      <alignment horizontal="left" vertical="center"/>
    </xf>
    <xf numFmtId="0" fontId="33" fillId="2" borderId="0" xfId="0" applyFont="1" applyFill="1" applyAlignment="1">
      <alignment wrapText="1"/>
    </xf>
    <xf numFmtId="0" fontId="33" fillId="2" borderId="3" xfId="0" applyFont="1" applyFill="1" applyBorder="1" applyAlignment="1">
      <alignment horizontal="center" vertical="top" wrapText="1"/>
    </xf>
    <xf numFmtId="165" fontId="33" fillId="4" borderId="1" xfId="0" applyNumberFormat="1" applyFont="1" applyFill="1" applyBorder="1" applyAlignment="1">
      <alignment horizontal="center" vertical="top"/>
    </xf>
    <xf numFmtId="165" fontId="44" fillId="4" borderId="1" xfId="0" applyNumberFormat="1" applyFont="1" applyFill="1" applyBorder="1" applyAlignment="1">
      <alignment horizontal="center" vertical="top"/>
    </xf>
    <xf numFmtId="0" fontId="33" fillId="2" borderId="0" xfId="0" applyFont="1" applyFill="1" applyAlignment="1">
      <alignment horizontal="left" vertical="top" wrapText="1"/>
    </xf>
    <xf numFmtId="0" fontId="33" fillId="2" borderId="0" xfId="0" applyFont="1" applyFill="1" applyAlignment="1">
      <alignment wrapText="1"/>
    </xf>
    <xf numFmtId="0" fontId="36" fillId="2" borderId="2" xfId="0" applyFont="1" applyFill="1" applyBorder="1" applyAlignment="1">
      <alignment horizontal="center" vertical="center" wrapText="1"/>
    </xf>
    <xf numFmtId="0" fontId="50" fillId="2" borderId="1" xfId="0" applyFont="1" applyFill="1" applyBorder="1" applyAlignment="1">
      <alignment horizontal="left" vertical="center"/>
    </xf>
    <xf numFmtId="0" fontId="33" fillId="2" borderId="1" xfId="0" applyFont="1" applyFill="1" applyBorder="1" applyAlignment="1">
      <alignment horizontal="left" vertical="center"/>
    </xf>
    <xf numFmtId="0" fontId="50" fillId="2" borderId="4" xfId="0" applyFont="1" applyFill="1" applyBorder="1" applyAlignment="1">
      <alignment horizontal="left" vertical="center"/>
    </xf>
    <xf numFmtId="0" fontId="50" fillId="2" borderId="5" xfId="0" applyFont="1" applyFill="1" applyBorder="1" applyAlignment="1">
      <alignment horizontal="left" vertical="center"/>
    </xf>
    <xf numFmtId="0" fontId="33" fillId="2" borderId="0" xfId="0" applyFont="1" applyFill="1" applyAlignment="1">
      <alignment horizontal="left" vertical="top" wrapText="1"/>
    </xf>
    <xf numFmtId="0" fontId="33" fillId="2" borderId="0" xfId="0" applyFont="1" applyFill="1" applyAlignment="1">
      <alignment wrapText="1"/>
    </xf>
    <xf numFmtId="0" fontId="33" fillId="2" borderId="0" xfId="0" applyFont="1" applyFill="1" applyAlignment="1">
      <alignment horizontal="center"/>
    </xf>
    <xf numFmtId="0" fontId="36" fillId="2" borderId="2" xfId="0" applyFont="1" applyFill="1" applyBorder="1" applyAlignment="1">
      <alignment horizontal="center" vertical="center" wrapText="1"/>
    </xf>
    <xf numFmtId="0" fontId="33" fillId="2" borderId="3" xfId="0" applyFont="1" applyFill="1" applyBorder="1" applyAlignment="1">
      <alignment horizontal="center" vertical="top" wrapText="1"/>
    </xf>
    <xf numFmtId="0" fontId="33" fillId="2" borderId="2" xfId="0" applyFont="1" applyFill="1" applyBorder="1" applyAlignment="1">
      <alignment horizontal="center" vertical="center" wrapText="1"/>
    </xf>
    <xf numFmtId="165" fontId="33" fillId="4" borderId="1" xfId="0" applyNumberFormat="1" applyFont="1" applyFill="1" applyBorder="1" applyAlignment="1">
      <alignment horizontal="center" vertical="top" wrapText="1"/>
    </xf>
    <xf numFmtId="165" fontId="44" fillId="0" borderId="1" xfId="0" applyNumberFormat="1" applyFont="1" applyFill="1" applyBorder="1" applyAlignment="1">
      <alignment horizontal="center" vertical="top"/>
    </xf>
    <xf numFmtId="165" fontId="33" fillId="0" borderId="1" xfId="0" applyNumberFormat="1" applyFont="1" applyFill="1" applyBorder="1" applyAlignment="1">
      <alignment horizontal="center" vertical="top"/>
    </xf>
    <xf numFmtId="165" fontId="33" fillId="0" borderId="1" xfId="0" applyNumberFormat="1" applyFont="1" applyFill="1" applyBorder="1" applyAlignment="1">
      <alignment horizontal="center" vertical="top" wrapText="1"/>
    </xf>
    <xf numFmtId="165" fontId="36" fillId="4" borderId="1" xfId="0" applyNumberFormat="1" applyFont="1" applyFill="1" applyBorder="1" applyAlignment="1">
      <alignment horizontal="center" vertical="top"/>
    </xf>
    <xf numFmtId="0" fontId="50" fillId="2" borderId="1" xfId="0" applyFont="1" applyFill="1" applyBorder="1" applyAlignment="1">
      <alignment horizontal="left" vertical="center"/>
    </xf>
    <xf numFmtId="0" fontId="50" fillId="2" borderId="1" xfId="0" applyFont="1" applyFill="1" applyBorder="1" applyAlignment="1">
      <alignment horizontal="left" vertical="center" wrapText="1"/>
    </xf>
    <xf numFmtId="0" fontId="33" fillId="2" borderId="1" xfId="0" applyFont="1" applyFill="1" applyBorder="1" applyAlignment="1">
      <alignment horizontal="left" vertical="center"/>
    </xf>
    <xf numFmtId="0" fontId="50" fillId="2" borderId="4" xfId="0" applyFont="1" applyFill="1" applyBorder="1" applyAlignment="1">
      <alignment horizontal="left" vertical="center"/>
    </xf>
    <xf numFmtId="0" fontId="50" fillId="2" borderId="5" xfId="0" applyFont="1" applyFill="1" applyBorder="1" applyAlignment="1">
      <alignment horizontal="left" vertical="center"/>
    </xf>
    <xf numFmtId="0" fontId="33" fillId="2" borderId="0" xfId="0" applyFont="1" applyFill="1" applyAlignment="1">
      <alignment horizontal="left" vertical="top" wrapText="1"/>
    </xf>
    <xf numFmtId="0" fontId="33" fillId="2" borderId="0" xfId="0" applyFont="1" applyFill="1" applyAlignment="1">
      <alignment wrapText="1"/>
    </xf>
    <xf numFmtId="0" fontId="33" fillId="2" borderId="0" xfId="0" applyFont="1" applyFill="1" applyAlignment="1">
      <alignment horizontal="center"/>
    </xf>
    <xf numFmtId="0" fontId="36" fillId="2" borderId="2" xfId="0" applyFont="1" applyFill="1" applyBorder="1" applyAlignment="1">
      <alignment horizontal="center" vertical="center" wrapText="1"/>
    </xf>
    <xf numFmtId="0" fontId="33" fillId="2" borderId="3" xfId="0" applyFont="1" applyFill="1" applyBorder="1" applyAlignment="1">
      <alignment horizontal="center" vertical="top" wrapText="1"/>
    </xf>
    <xf numFmtId="0" fontId="33" fillId="2" borderId="2"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0" borderId="0" xfId="0" applyFont="1" applyFill="1" applyAlignment="1">
      <alignment horizontal="center"/>
    </xf>
    <xf numFmtId="0" fontId="33" fillId="0" borderId="0" xfId="0" applyFont="1" applyFill="1"/>
    <xf numFmtId="0" fontId="63" fillId="0" borderId="0" xfId="0" applyFont="1" applyFill="1"/>
    <xf numFmtId="0" fontId="33" fillId="0" borderId="0" xfId="0" applyFont="1" applyFill="1" applyAlignment="1">
      <alignment horizontal="left" vertical="top" wrapText="1"/>
    </xf>
    <xf numFmtId="0" fontId="36" fillId="0" borderId="2" xfId="0" applyFont="1" applyFill="1" applyBorder="1" applyAlignment="1">
      <alignment horizontal="center" vertical="center" wrapText="1"/>
    </xf>
    <xf numFmtId="0" fontId="36" fillId="0" borderId="1" xfId="0" applyFont="1" applyFill="1" applyBorder="1" applyAlignment="1">
      <alignment horizontal="center" vertical="center" textRotation="90" wrapText="1"/>
    </xf>
    <xf numFmtId="0" fontId="36" fillId="0" borderId="2" xfId="0" applyFont="1" applyFill="1" applyBorder="1" applyAlignment="1">
      <alignment horizontal="center" vertical="center" textRotation="90" wrapText="1"/>
    </xf>
    <xf numFmtId="0" fontId="33" fillId="0" borderId="1" xfId="0" applyFont="1" applyFill="1" applyBorder="1" applyAlignment="1">
      <alignment horizontal="center" wrapText="1"/>
    </xf>
    <xf numFmtId="0" fontId="33" fillId="0" borderId="1" xfId="0" applyFont="1" applyFill="1" applyBorder="1" applyAlignment="1">
      <alignment horizontal="center" vertical="top" wrapText="1"/>
    </xf>
    <xf numFmtId="0" fontId="33" fillId="0" borderId="1" xfId="0" applyFont="1" applyFill="1" applyBorder="1" applyAlignment="1">
      <alignment horizontal="center" vertical="top"/>
    </xf>
    <xf numFmtId="0" fontId="50" fillId="0" borderId="9" xfId="0" applyNumberFormat="1" applyFont="1" applyFill="1" applyBorder="1" applyAlignment="1">
      <alignment horizontal="left" vertical="top" wrapText="1"/>
    </xf>
    <xf numFmtId="0" fontId="33" fillId="0" borderId="6" xfId="0" applyFont="1" applyFill="1" applyBorder="1" applyAlignment="1">
      <alignment horizontal="center" vertical="top" wrapText="1"/>
    </xf>
    <xf numFmtId="165" fontId="36" fillId="0" borderId="1" xfId="0" applyNumberFormat="1" applyFont="1" applyFill="1" applyBorder="1" applyAlignment="1">
      <alignment horizontal="center" vertical="top"/>
    </xf>
    <xf numFmtId="0" fontId="50" fillId="0" borderId="4" xfId="0" applyNumberFormat="1" applyFont="1" applyFill="1" applyBorder="1" applyAlignment="1">
      <alignment vertical="top" wrapText="1"/>
    </xf>
    <xf numFmtId="0" fontId="50" fillId="0" borderId="3" xfId="0" applyFont="1" applyFill="1" applyBorder="1" applyAlignment="1">
      <alignment horizontal="left" vertical="top" wrapText="1"/>
    </xf>
    <xf numFmtId="0" fontId="33" fillId="0" borderId="2" xfId="0" applyFont="1" applyFill="1" applyBorder="1" applyAlignment="1">
      <alignment horizontal="center" vertical="center" wrapText="1"/>
    </xf>
    <xf numFmtId="0" fontId="50" fillId="0" borderId="1" xfId="0" applyFont="1" applyFill="1" applyBorder="1" applyAlignment="1">
      <alignment vertical="top" wrapText="1"/>
    </xf>
    <xf numFmtId="0" fontId="33" fillId="0" borderId="1" xfId="0" applyFont="1" applyFill="1" applyBorder="1" applyAlignment="1">
      <alignment horizontal="center" vertical="center" wrapText="1"/>
    </xf>
    <xf numFmtId="0" fontId="33" fillId="0" borderId="4" xfId="0" applyFont="1" applyFill="1" applyBorder="1" applyAlignment="1">
      <alignment horizontal="center" vertical="top" wrapText="1"/>
    </xf>
    <xf numFmtId="0" fontId="50" fillId="0" borderId="1" xfId="0" applyFont="1" applyFill="1" applyBorder="1" applyAlignment="1">
      <alignment horizontal="left" vertical="top" wrapText="1"/>
    </xf>
    <xf numFmtId="165" fontId="42" fillId="0" borderId="1" xfId="0" applyNumberFormat="1" applyFont="1" applyFill="1" applyBorder="1" applyAlignment="1">
      <alignment horizontal="center" vertical="top"/>
    </xf>
    <xf numFmtId="168" fontId="44" fillId="0" borderId="0" xfId="0" applyNumberFormat="1" applyFont="1" applyFill="1" applyAlignment="1">
      <alignment horizontal="center" vertical="top"/>
    </xf>
    <xf numFmtId="0" fontId="33" fillId="0" borderId="4" xfId="0" applyFont="1" applyFill="1" applyBorder="1" applyAlignment="1">
      <alignment horizontal="left" vertical="center"/>
    </xf>
    <xf numFmtId="165" fontId="40" fillId="0" borderId="1" xfId="0" applyNumberFormat="1" applyFont="1" applyFill="1" applyBorder="1" applyAlignment="1">
      <alignment horizontal="center" vertical="top"/>
    </xf>
    <xf numFmtId="0" fontId="50" fillId="0" borderId="1" xfId="0" applyFont="1" applyFill="1" applyBorder="1" applyAlignment="1">
      <alignment horizontal="left" vertical="center"/>
    </xf>
    <xf numFmtId="0" fontId="50" fillId="0" borderId="4" xfId="0" applyFont="1" applyFill="1" applyBorder="1" applyAlignment="1">
      <alignment horizontal="left" vertical="center"/>
    </xf>
    <xf numFmtId="0" fontId="50" fillId="0" borderId="5" xfId="0" applyFont="1" applyFill="1" applyBorder="1" applyAlignment="1">
      <alignment horizontal="left" vertical="center"/>
    </xf>
    <xf numFmtId="0" fontId="33" fillId="0" borderId="5" xfId="0" applyFont="1" applyFill="1" applyBorder="1" applyAlignment="1">
      <alignment horizontal="left" vertical="center"/>
    </xf>
    <xf numFmtId="0" fontId="50" fillId="0" borderId="9" xfId="0" applyFont="1" applyFill="1" applyBorder="1" applyAlignment="1">
      <alignment horizontal="left" vertical="center"/>
    </xf>
    <xf numFmtId="0" fontId="50" fillId="0" borderId="8" xfId="0" applyFont="1" applyFill="1" applyBorder="1" applyAlignment="1">
      <alignment horizontal="left" vertical="center"/>
    </xf>
    <xf numFmtId="165" fontId="63" fillId="0" borderId="0" xfId="0" applyNumberFormat="1" applyFont="1" applyFill="1"/>
    <xf numFmtId="0" fontId="33" fillId="0" borderId="6" xfId="0" applyFont="1" applyFill="1" applyBorder="1" applyAlignment="1">
      <alignment horizontal="left" vertical="center"/>
    </xf>
    <xf numFmtId="0" fontId="50" fillId="0" borderId="1" xfId="0" applyFont="1" applyFill="1" applyBorder="1" applyAlignment="1">
      <alignment horizontal="justify" vertical="top" wrapText="1"/>
    </xf>
    <xf numFmtId="0" fontId="33" fillId="0" borderId="1" xfId="0" applyFont="1" applyFill="1" applyBorder="1" applyAlignment="1">
      <alignment horizontal="left" vertical="center"/>
    </xf>
    <xf numFmtId="16" fontId="33" fillId="0" borderId="1" xfId="0" applyNumberFormat="1" applyFont="1" applyFill="1" applyBorder="1" applyAlignment="1">
      <alignment horizontal="center" vertical="top"/>
    </xf>
    <xf numFmtId="0" fontId="67" fillId="0" borderId="0" xfId="0" applyFont="1" applyFill="1"/>
    <xf numFmtId="17" fontId="33" fillId="0" borderId="1" xfId="0" applyNumberFormat="1" applyFont="1" applyFill="1" applyBorder="1" applyAlignment="1">
      <alignment horizontal="center" vertical="top"/>
    </xf>
    <xf numFmtId="0" fontId="50" fillId="0" borderId="1" xfId="0" applyNumberFormat="1" applyFont="1" applyFill="1" applyBorder="1" applyAlignment="1">
      <alignment vertical="top" wrapText="1"/>
    </xf>
    <xf numFmtId="0" fontId="33" fillId="0" borderId="3" xfId="0" applyFont="1" applyFill="1" applyBorder="1" applyAlignment="1">
      <alignment horizontal="center" vertical="top" wrapText="1"/>
    </xf>
    <xf numFmtId="165" fontId="33" fillId="0" borderId="5" xfId="0" applyNumberFormat="1" applyFont="1" applyFill="1" applyBorder="1" applyAlignment="1">
      <alignment horizontal="center" vertical="top"/>
    </xf>
    <xf numFmtId="165" fontId="33" fillId="0" borderId="6" xfId="0" applyNumberFormat="1" applyFont="1" applyFill="1" applyBorder="1" applyAlignment="1">
      <alignment horizontal="center" vertical="top"/>
    </xf>
    <xf numFmtId="0" fontId="33" fillId="0" borderId="8" xfId="0" applyFont="1" applyFill="1" applyBorder="1" applyAlignment="1">
      <alignment horizontal="center" vertical="top" wrapText="1"/>
    </xf>
    <xf numFmtId="0" fontId="61" fillId="0" borderId="1" xfId="0" applyFont="1" applyFill="1" applyBorder="1" applyAlignment="1">
      <alignment horizontal="left" vertical="center"/>
    </xf>
    <xf numFmtId="0" fontId="61" fillId="0" borderId="5" xfId="0" applyFont="1" applyFill="1" applyBorder="1" applyAlignment="1">
      <alignment horizontal="left" vertical="center"/>
    </xf>
    <xf numFmtId="0" fontId="36" fillId="0" borderId="1" xfId="0" applyFont="1" applyFill="1" applyBorder="1" applyAlignment="1">
      <alignment horizontal="left" vertical="center"/>
    </xf>
    <xf numFmtId="49" fontId="33" fillId="0" borderId="1" xfId="0" applyNumberFormat="1"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0" xfId="0" applyFont="1" applyFill="1" applyAlignment="1">
      <alignment wrapText="1"/>
    </xf>
    <xf numFmtId="0" fontId="33" fillId="0" borderId="1" xfId="0" applyFont="1" applyFill="1" applyBorder="1" applyAlignment="1">
      <alignment wrapText="1"/>
    </xf>
    <xf numFmtId="165" fontId="36" fillId="0" borderId="1" xfId="0" applyNumberFormat="1" applyFont="1" applyFill="1" applyBorder="1" applyAlignment="1">
      <alignment horizontal="center" vertical="top" wrapText="1"/>
    </xf>
    <xf numFmtId="165" fontId="33" fillId="0" borderId="0" xfId="0" applyNumberFormat="1" applyFont="1" applyFill="1"/>
    <xf numFmtId="0" fontId="33" fillId="0" borderId="0" xfId="0" applyFont="1" applyFill="1" applyAlignment="1">
      <alignment horizontal="center" wrapText="1"/>
    </xf>
    <xf numFmtId="0" fontId="33" fillId="0" borderId="0" xfId="0" applyFont="1" applyFill="1" applyAlignment="1">
      <alignment horizontal="right"/>
    </xf>
    <xf numFmtId="165" fontId="33" fillId="0" borderId="0" xfId="0" applyNumberFormat="1" applyFont="1" applyFill="1" applyAlignment="1">
      <alignment horizontal="right"/>
    </xf>
    <xf numFmtId="167" fontId="33" fillId="0" borderId="0" xfId="0" applyNumberFormat="1" applyFont="1" applyFill="1"/>
    <xf numFmtId="0" fontId="3" fillId="0" borderId="1" xfId="0" applyFont="1" applyFill="1" applyBorder="1" applyAlignment="1">
      <alignment horizontal="center" vertical="top"/>
    </xf>
    <xf numFmtId="0" fontId="56" fillId="0"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top" wrapText="1"/>
    </xf>
    <xf numFmtId="165" fontId="48" fillId="0" borderId="1" xfId="0" applyNumberFormat="1" applyFont="1" applyFill="1" applyBorder="1" applyAlignment="1">
      <alignment horizontal="center" vertical="top"/>
    </xf>
    <xf numFmtId="165" fontId="3" fillId="0" borderId="1" xfId="0" applyNumberFormat="1" applyFont="1" applyFill="1" applyBorder="1" applyAlignment="1">
      <alignment horizontal="center" vertical="top"/>
    </xf>
    <xf numFmtId="168" fontId="48" fillId="0" borderId="0" xfId="0" applyNumberFormat="1" applyFont="1" applyFill="1" applyAlignment="1">
      <alignment horizontal="center" vertical="top"/>
    </xf>
    <xf numFmtId="0" fontId="56" fillId="0" borderId="1" xfId="0" applyFont="1" applyFill="1" applyBorder="1" applyAlignment="1">
      <alignment vertical="top" wrapText="1"/>
    </xf>
    <xf numFmtId="0" fontId="3" fillId="0" borderId="4" xfId="0" applyFont="1" applyFill="1" applyBorder="1" applyAlignment="1">
      <alignment horizontal="left" vertical="center"/>
    </xf>
    <xf numFmtId="165" fontId="19" fillId="0" borderId="1" xfId="0" applyNumberFormat="1" applyFont="1" applyFill="1" applyBorder="1" applyAlignment="1">
      <alignment horizontal="center" vertical="top"/>
    </xf>
    <xf numFmtId="0" fontId="56" fillId="0" borderId="1" xfId="0" applyFont="1" applyFill="1" applyBorder="1" applyAlignment="1">
      <alignment horizontal="left" vertical="center"/>
    </xf>
    <xf numFmtId="0" fontId="3" fillId="0" borderId="5" xfId="0" applyFont="1" applyFill="1" applyBorder="1" applyAlignment="1">
      <alignment horizontal="left" vertical="center"/>
    </xf>
    <xf numFmtId="0" fontId="56" fillId="0" borderId="9" xfId="0" applyFont="1" applyFill="1" applyBorder="1" applyAlignment="1">
      <alignment horizontal="left" vertical="center"/>
    </xf>
    <xf numFmtId="0" fontId="56"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1" xfId="0" applyFont="1" applyFill="1" applyBorder="1" applyAlignment="1">
      <alignment horizontal="center" vertical="top" wrapText="1"/>
    </xf>
    <xf numFmtId="165" fontId="42" fillId="0" borderId="1" xfId="0" applyNumberFormat="1" applyFont="1" applyFill="1" applyBorder="1" applyAlignment="1">
      <alignment horizontal="center" vertical="top" wrapText="1"/>
    </xf>
    <xf numFmtId="165" fontId="40" fillId="0" borderId="1" xfId="0" applyNumberFormat="1" applyFont="1" applyFill="1" applyBorder="1" applyAlignment="1">
      <alignment horizontal="center" vertical="top" wrapText="1"/>
    </xf>
    <xf numFmtId="0" fontId="50" fillId="0" borderId="5" xfId="0" applyFont="1" applyFill="1" applyBorder="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Fill="1" applyAlignment="1">
      <alignment horizontal="center"/>
    </xf>
    <xf numFmtId="0" fontId="36" fillId="0" borderId="2" xfId="0" applyFont="1" applyFill="1" applyBorder="1" applyAlignment="1">
      <alignment horizontal="center" vertical="center" wrapText="1"/>
    </xf>
    <xf numFmtId="0" fontId="33" fillId="0" borderId="3" xfId="0" applyFont="1" applyFill="1" applyBorder="1" applyAlignment="1">
      <alignment horizontal="center" vertical="top" wrapText="1"/>
    </xf>
    <xf numFmtId="0" fontId="33" fillId="0" borderId="2" xfId="0" applyFont="1" applyFill="1" applyBorder="1" applyAlignment="1">
      <alignment horizontal="center" vertical="center" wrapText="1"/>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0" fontId="50" fillId="0" borderId="5" xfId="0" applyFont="1" applyFill="1" applyBorder="1" applyAlignment="1">
      <alignment horizontal="left" vertical="center"/>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Fill="1" applyAlignment="1">
      <alignment horizontal="center"/>
    </xf>
    <xf numFmtId="0" fontId="33" fillId="0" borderId="3" xfId="0" applyFont="1" applyFill="1" applyBorder="1" applyAlignment="1">
      <alignment horizontal="center" vertical="top" wrapText="1"/>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0" fontId="50" fillId="0" borderId="4" xfId="0" applyFont="1" applyFill="1" applyBorder="1" applyAlignment="1">
      <alignment horizontal="left" vertical="center"/>
    </xf>
    <xf numFmtId="0" fontId="50" fillId="0" borderId="5" xfId="0" applyFont="1" applyFill="1" applyBorder="1" applyAlignment="1">
      <alignment horizontal="left" vertical="center"/>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6" xfId="0" applyFont="1" applyFill="1" applyBorder="1" applyAlignment="1">
      <alignment horizontal="left" vertical="center"/>
    </xf>
    <xf numFmtId="0" fontId="33"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Fill="1" applyAlignment="1">
      <alignment horizontal="center"/>
    </xf>
    <xf numFmtId="0" fontId="33" fillId="0" borderId="3" xfId="0" applyFont="1" applyFill="1" applyBorder="1" applyAlignment="1">
      <alignment horizontal="center" vertical="top" wrapText="1"/>
    </xf>
    <xf numFmtId="0" fontId="50" fillId="0" borderId="4" xfId="0" applyFont="1" applyFill="1" applyBorder="1" applyAlignment="1">
      <alignment horizontal="left" vertical="center"/>
    </xf>
    <xf numFmtId="0" fontId="50" fillId="0" borderId="5" xfId="0" applyFont="1" applyFill="1" applyBorder="1" applyAlignment="1">
      <alignment horizontal="left" vertical="center"/>
    </xf>
    <xf numFmtId="0" fontId="50" fillId="0" borderId="6" xfId="0" applyFont="1" applyFill="1" applyBorder="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Fill="1" applyAlignment="1">
      <alignment horizontal="center"/>
    </xf>
    <xf numFmtId="0" fontId="36" fillId="0" borderId="2" xfId="0" applyFont="1" applyFill="1" applyBorder="1" applyAlignment="1">
      <alignment horizontal="center" vertical="center" wrapText="1"/>
    </xf>
    <xf numFmtId="0" fontId="33" fillId="0" borderId="3" xfId="0" applyFont="1" applyFill="1" applyBorder="1" applyAlignment="1">
      <alignment horizontal="center" vertical="top" wrapText="1"/>
    </xf>
    <xf numFmtId="0" fontId="33" fillId="0" borderId="2" xfId="0" applyFont="1" applyFill="1" applyBorder="1" applyAlignment="1">
      <alignment horizontal="center" vertical="center" wrapText="1"/>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0" fontId="33" fillId="0" borderId="3" xfId="0" applyFont="1" applyFill="1" applyBorder="1" applyAlignment="1">
      <alignment horizontal="left" vertical="center" wrapText="1"/>
    </xf>
    <xf numFmtId="0" fontId="50" fillId="0" borderId="6" xfId="0" applyFont="1" applyFill="1" applyBorder="1" applyAlignment="1">
      <alignment horizontal="left" vertical="top" wrapText="1"/>
    </xf>
    <xf numFmtId="0" fontId="50" fillId="0" borderId="4" xfId="0" applyFont="1" applyFill="1" applyBorder="1" applyAlignment="1">
      <alignment horizontal="left" vertical="center"/>
    </xf>
    <xf numFmtId="0" fontId="50" fillId="0" borderId="5" xfId="0" applyFont="1" applyFill="1" applyBorder="1" applyAlignment="1">
      <alignment horizontal="left" vertical="center"/>
    </xf>
    <xf numFmtId="0" fontId="50" fillId="0" borderId="6" xfId="0" applyFont="1" applyFill="1" applyBorder="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Fill="1" applyAlignment="1">
      <alignment horizontal="center"/>
    </xf>
    <xf numFmtId="0" fontId="36" fillId="0" borderId="2" xfId="0" applyFont="1" applyFill="1" applyBorder="1" applyAlignment="1">
      <alignment horizontal="center" vertical="center" wrapText="1"/>
    </xf>
    <xf numFmtId="0" fontId="33" fillId="0" borderId="3" xfId="0" applyFont="1" applyFill="1" applyBorder="1" applyAlignment="1">
      <alignment horizontal="center" vertical="top" wrapText="1"/>
    </xf>
    <xf numFmtId="0" fontId="33" fillId="0" borderId="2" xfId="0" applyFont="1" applyFill="1" applyBorder="1" applyAlignment="1">
      <alignment horizontal="center" vertical="center" wrapText="1"/>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0" fontId="56" fillId="0" borderId="6"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xf numFmtId="0" fontId="45" fillId="0" borderId="0" xfId="0" applyFont="1" applyFill="1"/>
    <xf numFmtId="0" fontId="3" fillId="0" borderId="0" xfId="0" applyFont="1" applyFill="1" applyAlignment="1">
      <alignment horizontal="left" vertical="top"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textRotation="90" wrapText="1"/>
    </xf>
    <xf numFmtId="0" fontId="19" fillId="0" borderId="2" xfId="0" applyFont="1" applyFill="1" applyBorder="1" applyAlignment="1">
      <alignment horizontal="center" vertical="center" textRotation="90" wrapText="1"/>
    </xf>
    <xf numFmtId="0" fontId="3" fillId="0" borderId="1" xfId="0" applyFont="1" applyFill="1" applyBorder="1" applyAlignment="1">
      <alignment horizontal="center" wrapText="1"/>
    </xf>
    <xf numFmtId="0" fontId="56" fillId="0" borderId="9" xfId="0" applyNumberFormat="1" applyFont="1" applyFill="1" applyBorder="1" applyAlignment="1">
      <alignment horizontal="left" vertical="top" wrapText="1"/>
    </xf>
    <xf numFmtId="0" fontId="3" fillId="0" borderId="6" xfId="0" applyFont="1" applyFill="1" applyBorder="1" applyAlignment="1">
      <alignment horizontal="center" vertical="top" wrapText="1"/>
    </xf>
    <xf numFmtId="0" fontId="56" fillId="0" borderId="4" xfId="0" applyNumberFormat="1" applyFont="1" applyFill="1" applyBorder="1" applyAlignment="1">
      <alignment vertical="top" wrapText="1"/>
    </xf>
    <xf numFmtId="0" fontId="56" fillId="0" borderId="3" xfId="0" applyFont="1" applyFill="1" applyBorder="1" applyAlignment="1">
      <alignment horizontal="left" vertical="top" wrapText="1"/>
    </xf>
    <xf numFmtId="0" fontId="3" fillId="0" borderId="1" xfId="0" applyFont="1" applyFill="1" applyBorder="1" applyAlignment="1">
      <alignment horizontal="center" vertical="center" wrapText="1"/>
    </xf>
    <xf numFmtId="165" fontId="45" fillId="0" borderId="0" xfId="0" applyNumberFormat="1" applyFont="1" applyFill="1"/>
    <xf numFmtId="0" fontId="56" fillId="0" borderId="1" xfId="0" applyFont="1" applyFill="1" applyBorder="1" applyAlignment="1">
      <alignment horizontal="justify" vertical="top" wrapText="1"/>
    </xf>
    <xf numFmtId="0" fontId="3" fillId="0" borderId="1" xfId="0" applyFont="1" applyFill="1" applyBorder="1" applyAlignment="1">
      <alignment horizontal="left" vertical="center"/>
    </xf>
    <xf numFmtId="16" fontId="3" fillId="0" borderId="1" xfId="0" applyNumberFormat="1" applyFont="1" applyFill="1" applyBorder="1" applyAlignment="1">
      <alignment horizontal="center" vertical="top"/>
    </xf>
    <xf numFmtId="0" fontId="71" fillId="0" borderId="0" xfId="0" applyFont="1" applyFill="1"/>
    <xf numFmtId="17" fontId="3" fillId="0" borderId="1" xfId="0" applyNumberFormat="1" applyFont="1" applyFill="1" applyBorder="1" applyAlignment="1">
      <alignment horizontal="center" vertical="top"/>
    </xf>
    <xf numFmtId="0" fontId="56" fillId="0" borderId="1" xfId="0" applyNumberFormat="1" applyFont="1" applyFill="1" applyBorder="1" applyAlignment="1">
      <alignment vertical="top" wrapText="1"/>
    </xf>
    <xf numFmtId="0" fontId="3" fillId="0" borderId="3" xfId="0" applyFont="1" applyFill="1" applyBorder="1" applyAlignment="1">
      <alignment horizontal="center" vertical="top" wrapText="1"/>
    </xf>
    <xf numFmtId="165" fontId="3" fillId="0" borderId="5" xfId="0" applyNumberFormat="1" applyFont="1" applyFill="1" applyBorder="1" applyAlignment="1">
      <alignment horizontal="center" vertical="top"/>
    </xf>
    <xf numFmtId="165" fontId="3" fillId="0" borderId="6" xfId="0" applyNumberFormat="1" applyFont="1" applyFill="1" applyBorder="1" applyAlignment="1">
      <alignment horizontal="center" vertical="top"/>
    </xf>
    <xf numFmtId="0" fontId="3" fillId="0" borderId="8" xfId="0" applyFont="1" applyFill="1" applyBorder="1" applyAlignment="1">
      <alignment horizontal="center" vertical="top" wrapText="1"/>
    </xf>
    <xf numFmtId="0" fontId="68" fillId="0" borderId="1" xfId="0" applyFont="1" applyFill="1" applyBorder="1" applyAlignment="1">
      <alignment horizontal="left" vertical="center"/>
    </xf>
    <xf numFmtId="0" fontId="68" fillId="0" borderId="5" xfId="0" applyFont="1" applyFill="1" applyBorder="1" applyAlignment="1">
      <alignment horizontal="left" vertical="center"/>
    </xf>
    <xf numFmtId="0" fontId="19"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Alignment="1">
      <alignment wrapText="1"/>
    </xf>
    <xf numFmtId="165" fontId="3" fillId="0" borderId="1" xfId="0" applyNumberFormat="1" applyFont="1" applyFill="1" applyBorder="1" applyAlignment="1">
      <alignment horizontal="center" vertical="top" wrapText="1"/>
    </xf>
    <xf numFmtId="0" fontId="3" fillId="0" borderId="1" xfId="0" applyFont="1" applyFill="1" applyBorder="1" applyAlignment="1">
      <alignment wrapText="1"/>
    </xf>
    <xf numFmtId="165" fontId="19" fillId="0" borderId="1" xfId="0" applyNumberFormat="1" applyFont="1" applyFill="1" applyBorder="1" applyAlignment="1">
      <alignment horizontal="center" vertical="top" wrapText="1"/>
    </xf>
    <xf numFmtId="0" fontId="3" fillId="0" borderId="3" xfId="0" applyFont="1" applyFill="1" applyBorder="1" applyAlignment="1">
      <alignment horizontal="left" vertical="center" wrapText="1"/>
    </xf>
    <xf numFmtId="0" fontId="56" fillId="0" borderId="6" xfId="0" applyFont="1" applyFill="1" applyBorder="1" applyAlignment="1">
      <alignment horizontal="left" vertical="top" wrapText="1"/>
    </xf>
    <xf numFmtId="165" fontId="3" fillId="0" borderId="0" xfId="0" applyNumberFormat="1" applyFont="1" applyFill="1"/>
    <xf numFmtId="0" fontId="3" fillId="0" borderId="0" xfId="0" applyFont="1" applyFill="1" applyAlignment="1">
      <alignment horizontal="center" wrapText="1"/>
    </xf>
    <xf numFmtId="0" fontId="3" fillId="0" borderId="0" xfId="0" applyFont="1" applyFill="1" applyAlignment="1">
      <alignment horizontal="right"/>
    </xf>
    <xf numFmtId="165" fontId="3" fillId="0" borderId="0" xfId="0" applyNumberFormat="1" applyFont="1" applyFill="1" applyAlignment="1">
      <alignment horizontal="right"/>
    </xf>
    <xf numFmtId="167" fontId="3" fillId="0" borderId="0" xfId="0" applyNumberFormat="1" applyFont="1" applyFill="1"/>
    <xf numFmtId="0" fontId="3" fillId="0" borderId="0" xfId="0" applyFont="1" applyFill="1" applyAlignment="1">
      <alignment horizontal="left" vertical="top" wrapText="1"/>
    </xf>
    <xf numFmtId="0" fontId="19" fillId="0" borderId="2" xfId="0" applyFont="1" applyFill="1" applyBorder="1" applyAlignment="1">
      <alignment horizontal="center" vertical="center" wrapText="1"/>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0" fontId="56"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3" fillId="0" borderId="0" xfId="0" applyFont="1" applyFill="1" applyAlignment="1">
      <alignment horizontal="left" vertical="top" wrapText="1"/>
    </xf>
    <xf numFmtId="0" fontId="3" fillId="0" borderId="0" xfId="0" applyFont="1" applyFill="1" applyAlignment="1">
      <alignment wrapText="1"/>
    </xf>
    <xf numFmtId="0" fontId="3" fillId="0" borderId="0" xfId="0" applyFont="1" applyFill="1" applyAlignment="1">
      <alignment horizontal="center"/>
    </xf>
    <xf numFmtId="0" fontId="19" fillId="0" borderId="2" xfId="0" applyFont="1" applyFill="1" applyBorder="1" applyAlignment="1">
      <alignment horizontal="center" vertical="center" wrapText="1"/>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0" fontId="56"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3" fillId="0" borderId="0" xfId="0" applyFont="1" applyFill="1" applyAlignment="1">
      <alignment horizontal="left" vertical="top" wrapText="1"/>
    </xf>
    <xf numFmtId="0" fontId="3" fillId="0" borderId="0" xfId="0" applyFont="1" applyFill="1" applyAlignment="1">
      <alignment wrapText="1"/>
    </xf>
    <xf numFmtId="0" fontId="3" fillId="0" borderId="0" xfId="0" applyFont="1" applyFill="1" applyAlignment="1">
      <alignment horizontal="center"/>
    </xf>
    <xf numFmtId="0" fontId="19" fillId="0"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horizontal="center" vertical="top" wrapText="1"/>
    </xf>
    <xf numFmtId="0" fontId="9" fillId="2" borderId="1" xfId="0" applyFont="1" applyFill="1" applyBorder="1" applyAlignment="1">
      <alignment horizontal="left" vertical="center"/>
    </xf>
    <xf numFmtId="0" fontId="1" fillId="2" borderId="3"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37" fillId="2" borderId="4"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6" xfId="0" applyFont="1" applyFill="1" applyBorder="1" applyAlignment="1">
      <alignment horizontal="left" vertical="top"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11" fillId="2" borderId="4" xfId="0" applyFont="1" applyFill="1" applyBorder="1" applyAlignment="1">
      <alignment horizontal="left" vertical="top" wrapText="1"/>
    </xf>
    <xf numFmtId="0" fontId="30"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5" fillId="2" borderId="4"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6" xfId="0" applyFont="1" applyFill="1" applyBorder="1" applyAlignment="1">
      <alignment horizontal="left"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20" fillId="2" borderId="4" xfId="0" applyFont="1" applyFill="1" applyBorder="1" applyAlignment="1">
      <alignment horizontal="left" vertical="top" wrapText="1"/>
    </xf>
    <xf numFmtId="0" fontId="4" fillId="2" borderId="1" xfId="0" applyFont="1" applyFill="1" applyBorder="1" applyAlignment="1">
      <alignment horizontal="center" vertical="center" wrapText="1"/>
    </xf>
    <xf numFmtId="0" fontId="1" fillId="2" borderId="0" xfId="0" applyFont="1" applyFill="1" applyAlignment="1">
      <alignment horizontal="right" vertical="top" wrapText="1"/>
    </xf>
    <xf numFmtId="0" fontId="3" fillId="2" borderId="0" xfId="0" applyFont="1" applyFill="1" applyAlignment="1">
      <alignment horizontal="center"/>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wrapText="1"/>
    </xf>
    <xf numFmtId="0" fontId="43" fillId="2" borderId="4" xfId="0" applyFont="1" applyFill="1" applyBorder="1" applyAlignment="1">
      <alignment horizontal="left" vertical="top" wrapText="1"/>
    </xf>
    <xf numFmtId="0" fontId="43" fillId="2" borderId="5" xfId="0" applyFont="1" applyFill="1" applyBorder="1" applyAlignment="1">
      <alignment horizontal="left" vertical="top" wrapText="1"/>
    </xf>
    <xf numFmtId="0" fontId="43" fillId="2" borderId="6" xfId="0" applyFont="1" applyFill="1" applyBorder="1" applyAlignment="1">
      <alignment horizontal="left" vertical="top" wrapText="1"/>
    </xf>
    <xf numFmtId="0" fontId="3" fillId="2" borderId="4" xfId="0" applyNumberFormat="1" applyFont="1" applyFill="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7" fillId="2" borderId="4" xfId="0" applyFont="1" applyFill="1" applyBorder="1" applyAlignment="1">
      <alignment horizontal="left" vertical="top" wrapText="1"/>
    </xf>
    <xf numFmtId="0" fontId="57" fillId="2" borderId="5" xfId="0" applyFont="1" applyFill="1" applyBorder="1" applyAlignment="1">
      <alignment horizontal="left" vertical="top" wrapText="1"/>
    </xf>
    <xf numFmtId="0" fontId="57" fillId="2" borderId="6" xfId="0" applyFont="1" applyFill="1" applyBorder="1" applyAlignment="1">
      <alignment horizontal="left" vertical="top" wrapText="1"/>
    </xf>
    <xf numFmtId="0" fontId="56" fillId="2" borderId="1" xfId="0" applyFont="1" applyFill="1" applyBorder="1" applyAlignment="1">
      <alignment horizontal="left" vertical="center"/>
    </xf>
    <xf numFmtId="0" fontId="51" fillId="2" borderId="4" xfId="0" applyFont="1" applyFill="1" applyBorder="1" applyAlignment="1">
      <alignment horizontal="left" vertical="top" wrapText="1"/>
    </xf>
    <xf numFmtId="0" fontId="51" fillId="2" borderId="5" xfId="0" applyFont="1" applyFill="1" applyBorder="1" applyAlignment="1">
      <alignment horizontal="left" vertical="top" wrapText="1"/>
    </xf>
    <xf numFmtId="0" fontId="51" fillId="2" borderId="6" xfId="0" applyFont="1" applyFill="1" applyBorder="1" applyAlignment="1">
      <alignment horizontal="left" vertical="top" wrapText="1"/>
    </xf>
    <xf numFmtId="0" fontId="56" fillId="2" borderId="4" xfId="0" applyFont="1" applyFill="1" applyBorder="1" applyAlignment="1">
      <alignment horizontal="left" vertical="center"/>
    </xf>
    <xf numFmtId="0" fontId="56" fillId="2" borderId="5" xfId="0" applyFont="1" applyFill="1" applyBorder="1" applyAlignment="1">
      <alignment horizontal="left" vertical="center"/>
    </xf>
    <xf numFmtId="0" fontId="56" fillId="2" borderId="6" xfId="0" applyFont="1" applyFill="1" applyBorder="1" applyAlignment="1">
      <alignment horizontal="left" vertical="center"/>
    </xf>
    <xf numFmtId="0" fontId="56"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0" fillId="2" borderId="4" xfId="0" applyFont="1" applyFill="1" applyBorder="1" applyAlignment="1">
      <alignment horizontal="left" vertical="top" wrapText="1"/>
    </xf>
    <xf numFmtId="0" fontId="60" fillId="2" borderId="5" xfId="0" applyFont="1" applyFill="1" applyBorder="1" applyAlignment="1">
      <alignment horizontal="left" vertical="top" wrapText="1"/>
    </xf>
    <xf numFmtId="0" fontId="60" fillId="2" borderId="6" xfId="0" applyFont="1" applyFill="1" applyBorder="1" applyAlignment="1">
      <alignment horizontal="left" vertical="top" wrapText="1"/>
    </xf>
    <xf numFmtId="0" fontId="50"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0" xfId="0" applyFont="1" applyFill="1" applyAlignment="1">
      <alignment horizontal="left"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19" fillId="2" borderId="1" xfId="0" applyFont="1" applyFill="1" applyBorder="1" applyAlignment="1">
      <alignment horizontal="center" vertical="center" wrapText="1"/>
    </xf>
    <xf numFmtId="0" fontId="52" fillId="2" borderId="4" xfId="0" applyFont="1" applyFill="1" applyBorder="1" applyAlignment="1">
      <alignment horizontal="left" vertical="top" wrapText="1"/>
    </xf>
    <xf numFmtId="0" fontId="53" fillId="2" borderId="8" xfId="0" applyFont="1" applyFill="1" applyBorder="1" applyAlignment="1">
      <alignment horizontal="left" vertical="top" wrapText="1"/>
    </xf>
    <xf numFmtId="0" fontId="53" fillId="2" borderId="5" xfId="0" applyFont="1" applyFill="1" applyBorder="1" applyAlignment="1">
      <alignment horizontal="left" vertical="top" wrapText="1"/>
    </xf>
    <xf numFmtId="0" fontId="53" fillId="2" borderId="6" xfId="0" applyFont="1" applyFill="1" applyBorder="1" applyAlignment="1">
      <alignment horizontal="left" vertical="top"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57" fillId="2" borderId="10" xfId="0" applyFont="1" applyFill="1" applyBorder="1" applyAlignment="1">
      <alignment horizontal="left" vertical="top" wrapText="1"/>
    </xf>
    <xf numFmtId="0" fontId="57" fillId="2" borderId="11" xfId="0" applyFont="1" applyFill="1" applyBorder="1" applyAlignment="1">
      <alignment horizontal="left" vertical="top" wrapText="1"/>
    </xf>
    <xf numFmtId="0" fontId="48" fillId="2" borderId="4" xfId="0" applyFont="1" applyFill="1" applyBorder="1" applyAlignment="1">
      <alignment horizontal="left" vertical="center"/>
    </xf>
    <xf numFmtId="0" fontId="48" fillId="2" borderId="5" xfId="0" applyFont="1" applyFill="1" applyBorder="1" applyAlignment="1">
      <alignment horizontal="left" vertical="center"/>
    </xf>
    <xf numFmtId="0" fontId="48" fillId="2" borderId="6" xfId="0" applyFont="1" applyFill="1" applyBorder="1" applyAlignment="1">
      <alignment horizontal="left" vertical="center"/>
    </xf>
    <xf numFmtId="0" fontId="47" fillId="2" borderId="4" xfId="0" applyFont="1" applyFill="1" applyBorder="1" applyAlignment="1">
      <alignment horizontal="left" vertical="top" wrapText="1"/>
    </xf>
    <xf numFmtId="0" fontId="47" fillId="2" borderId="5" xfId="0" applyFont="1" applyFill="1" applyBorder="1" applyAlignment="1">
      <alignment horizontal="left" vertical="top" wrapText="1"/>
    </xf>
    <xf numFmtId="0" fontId="47" fillId="2" borderId="6" xfId="0" applyFont="1" applyFill="1" applyBorder="1" applyAlignment="1">
      <alignment horizontal="left" vertical="top" wrapText="1"/>
    </xf>
    <xf numFmtId="0" fontId="3" fillId="2" borderId="0" xfId="0" applyFont="1" applyFill="1" applyAlignment="1">
      <alignment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wrapText="1"/>
    </xf>
    <xf numFmtId="0" fontId="59" fillId="2" borderId="4" xfId="0" applyFont="1" applyFill="1" applyBorder="1" applyAlignment="1">
      <alignment horizontal="left" vertical="top" wrapText="1"/>
    </xf>
    <xf numFmtId="0" fontId="60" fillId="2" borderId="8" xfId="0" applyFont="1" applyFill="1" applyBorder="1" applyAlignment="1">
      <alignment horizontal="left" vertical="top" wrapText="1"/>
    </xf>
    <xf numFmtId="0" fontId="44" fillId="2" borderId="4" xfId="0" applyFont="1" applyFill="1" applyBorder="1" applyAlignment="1">
      <alignment horizontal="left" vertical="center"/>
    </xf>
    <xf numFmtId="0" fontId="44" fillId="2" borderId="5" xfId="0" applyFont="1" applyFill="1" applyBorder="1" applyAlignment="1">
      <alignment horizontal="left" vertical="center"/>
    </xf>
    <xf numFmtId="0" fontId="44" fillId="2" borderId="6" xfId="0" applyFont="1" applyFill="1" applyBorder="1" applyAlignment="1">
      <alignment horizontal="left" vertical="center"/>
    </xf>
    <xf numFmtId="0" fontId="66" fillId="2" borderId="4" xfId="0" applyFont="1" applyFill="1" applyBorder="1" applyAlignment="1">
      <alignment horizontal="left" vertical="top" wrapText="1"/>
    </xf>
    <xf numFmtId="0" fontId="66" fillId="2" borderId="5" xfId="0" applyFont="1" applyFill="1" applyBorder="1" applyAlignment="1">
      <alignment horizontal="left" vertical="top" wrapText="1"/>
    </xf>
    <xf numFmtId="0" fontId="66" fillId="2" borderId="6" xfId="0" applyFont="1" applyFill="1" applyBorder="1" applyAlignment="1">
      <alignment horizontal="left" vertical="top" wrapText="1"/>
    </xf>
    <xf numFmtId="0" fontId="33" fillId="2" borderId="3" xfId="0" applyFont="1" applyFill="1" applyBorder="1" applyAlignment="1">
      <alignment horizontal="center" vertical="top" wrapText="1"/>
    </xf>
    <xf numFmtId="0" fontId="33" fillId="2" borderId="2" xfId="0" applyFont="1" applyFill="1" applyBorder="1" applyAlignment="1">
      <alignment horizontal="center" vertical="top" wrapText="1"/>
    </xf>
    <xf numFmtId="0" fontId="33" fillId="2" borderId="3"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50" fillId="2" borderId="9" xfId="0" applyFont="1" applyFill="1" applyBorder="1" applyAlignment="1">
      <alignment vertical="top" wrapText="1"/>
    </xf>
    <xf numFmtId="0" fontId="0" fillId="0" borderId="10" xfId="0" applyFont="1" applyBorder="1" applyAlignment="1">
      <alignment vertical="top" wrapText="1"/>
    </xf>
    <xf numFmtId="0" fontId="33" fillId="2" borderId="0" xfId="0" applyFont="1" applyFill="1" applyAlignment="1">
      <alignment horizontal="left" vertical="top" wrapText="1"/>
    </xf>
    <xf numFmtId="0" fontId="33" fillId="2" borderId="0" xfId="0" applyFont="1" applyFill="1" applyAlignment="1">
      <alignment wrapText="1"/>
    </xf>
    <xf numFmtId="0" fontId="33" fillId="2" borderId="0" xfId="0" applyFont="1" applyFill="1" applyAlignment="1">
      <alignment horizontal="center"/>
    </xf>
    <xf numFmtId="0" fontId="36" fillId="2" borderId="1"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1" xfId="0" applyFont="1" applyFill="1" applyBorder="1" applyAlignment="1">
      <alignment horizontal="center" wrapText="1"/>
    </xf>
    <xf numFmtId="0" fontId="35" fillId="2" borderId="4" xfId="0" applyFont="1" applyFill="1" applyBorder="1" applyAlignment="1">
      <alignment horizontal="center" vertical="top" wrapText="1"/>
    </xf>
    <xf numFmtId="0" fontId="35" fillId="2" borderId="5" xfId="0" applyFont="1" applyFill="1" applyBorder="1" applyAlignment="1">
      <alignment horizontal="center" vertical="top" wrapText="1"/>
    </xf>
    <xf numFmtId="0" fontId="35" fillId="2" borderId="6" xfId="0" applyFont="1" applyFill="1" applyBorder="1" applyAlignment="1">
      <alignment horizontal="center" vertical="top" wrapText="1"/>
    </xf>
    <xf numFmtId="0" fontId="33" fillId="2" borderId="3" xfId="0" applyFont="1" applyFill="1" applyBorder="1" applyAlignment="1">
      <alignment horizontal="center" vertical="top"/>
    </xf>
    <xf numFmtId="0" fontId="0" fillId="0" borderId="2" xfId="0" applyFont="1" applyBorder="1" applyAlignment="1">
      <alignment horizontal="center" vertical="top"/>
    </xf>
    <xf numFmtId="0" fontId="60" fillId="2" borderId="10" xfId="0" applyFont="1" applyFill="1" applyBorder="1" applyAlignment="1">
      <alignment horizontal="left" vertical="top" wrapText="1"/>
    </xf>
    <xf numFmtId="0" fontId="60" fillId="2" borderId="11" xfId="0" applyFont="1" applyFill="1" applyBorder="1" applyAlignment="1">
      <alignment horizontal="left" vertical="top" wrapText="1"/>
    </xf>
    <xf numFmtId="0" fontId="50" fillId="2" borderId="1" xfId="0" applyFont="1" applyFill="1" applyBorder="1" applyAlignment="1">
      <alignment horizontal="left" vertical="center" wrapText="1"/>
    </xf>
    <xf numFmtId="0" fontId="33" fillId="2" borderId="1" xfId="0" applyFont="1" applyFill="1" applyBorder="1" applyAlignment="1">
      <alignment horizontal="left" vertical="center"/>
    </xf>
    <xf numFmtId="0" fontId="50" fillId="2" borderId="4" xfId="0" applyFont="1" applyFill="1" applyBorder="1" applyAlignment="1">
      <alignment horizontal="left" vertical="center"/>
    </xf>
    <xf numFmtId="0" fontId="50" fillId="2" borderId="5" xfId="0" applyFont="1" applyFill="1" applyBorder="1" applyAlignment="1">
      <alignment horizontal="left" vertical="center"/>
    </xf>
    <xf numFmtId="0" fontId="50" fillId="2" borderId="6" xfId="0" applyFont="1" applyFill="1" applyBorder="1" applyAlignment="1">
      <alignment horizontal="left" vertical="center"/>
    </xf>
    <xf numFmtId="0" fontId="0" fillId="2" borderId="2" xfId="0" applyFont="1" applyFill="1" applyBorder="1" applyAlignment="1">
      <alignment horizontal="center" vertical="top"/>
    </xf>
    <xf numFmtId="0" fontId="0" fillId="2" borderId="10" xfId="0" applyFont="1" applyFill="1" applyBorder="1" applyAlignment="1">
      <alignment vertical="top" wrapText="1"/>
    </xf>
    <xf numFmtId="0" fontId="50" fillId="2" borderId="4" xfId="0" applyFont="1" applyFill="1" applyBorder="1" applyAlignment="1">
      <alignment horizontal="left" vertical="center" wrapText="1"/>
    </xf>
    <xf numFmtId="0" fontId="50" fillId="2" borderId="6" xfId="0" applyFont="1" applyFill="1" applyBorder="1" applyAlignment="1">
      <alignment horizontal="left" vertical="center" wrapText="1"/>
    </xf>
    <xf numFmtId="0" fontId="60" fillId="0" borderId="4" xfId="0" applyFont="1" applyFill="1" applyBorder="1" applyAlignment="1">
      <alignment horizontal="left" vertical="top" wrapText="1"/>
    </xf>
    <xf numFmtId="0" fontId="60" fillId="0" borderId="5" xfId="0" applyFont="1" applyFill="1" applyBorder="1" applyAlignment="1">
      <alignment horizontal="left" vertical="top" wrapText="1"/>
    </xf>
    <xf numFmtId="0" fontId="60" fillId="0" borderId="6" xfId="0" applyFont="1" applyFill="1" applyBorder="1" applyAlignment="1">
      <alignment horizontal="left" vertical="top" wrapText="1"/>
    </xf>
    <xf numFmtId="0" fontId="50" fillId="0" borderId="4" xfId="0" applyFont="1" applyFill="1" applyBorder="1" applyAlignment="1">
      <alignment horizontal="left" vertical="center"/>
    </xf>
    <xf numFmtId="0" fontId="50" fillId="0" borderId="5" xfId="0" applyFont="1" applyFill="1" applyBorder="1" applyAlignment="1">
      <alignment horizontal="left" vertical="center"/>
    </xf>
    <xf numFmtId="0" fontId="50" fillId="0" borderId="6" xfId="0" applyFont="1" applyFill="1" applyBorder="1" applyAlignment="1">
      <alignment horizontal="left" vertical="center"/>
    </xf>
    <xf numFmtId="0" fontId="51" fillId="0" borderId="4" xfId="0" applyFont="1" applyFill="1" applyBorder="1" applyAlignment="1">
      <alignment horizontal="left" vertical="top" wrapText="1"/>
    </xf>
    <xf numFmtId="0" fontId="51" fillId="0" borderId="5" xfId="0" applyFont="1" applyFill="1" applyBorder="1" applyAlignment="1">
      <alignment horizontal="left" vertical="top" wrapText="1"/>
    </xf>
    <xf numFmtId="0" fontId="51" fillId="0" borderId="6" xfId="0" applyFont="1" applyFill="1" applyBorder="1" applyAlignment="1">
      <alignment horizontal="left" vertical="top" wrapText="1"/>
    </xf>
    <xf numFmtId="0" fontId="33" fillId="0" borderId="3" xfId="0" applyFont="1" applyFill="1" applyBorder="1" applyAlignment="1">
      <alignment horizontal="center" vertical="top"/>
    </xf>
    <xf numFmtId="0" fontId="33" fillId="0" borderId="2" xfId="0" applyFont="1" applyFill="1" applyBorder="1" applyAlignment="1">
      <alignment horizontal="center" vertical="top"/>
    </xf>
    <xf numFmtId="0" fontId="50" fillId="0" borderId="3" xfId="0" applyFont="1" applyFill="1" applyBorder="1" applyAlignment="1">
      <alignment vertical="top" wrapText="1"/>
    </xf>
    <xf numFmtId="0" fontId="50" fillId="0" borderId="2" xfId="0" applyFont="1" applyFill="1" applyBorder="1" applyAlignment="1">
      <alignment vertical="top" wrapText="1"/>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6" xfId="0" applyFont="1" applyFill="1" applyBorder="1" applyAlignment="1">
      <alignment horizontal="left" vertical="center"/>
    </xf>
    <xf numFmtId="0" fontId="44" fillId="0" borderId="4" xfId="0" applyFont="1" applyFill="1" applyBorder="1" applyAlignment="1">
      <alignment horizontal="left" vertical="center"/>
    </xf>
    <xf numFmtId="0" fontId="44" fillId="0" borderId="5" xfId="0" applyFont="1" applyFill="1" applyBorder="1" applyAlignment="1">
      <alignment horizontal="left" vertical="center"/>
    </xf>
    <xf numFmtId="0" fontId="44" fillId="0" borderId="6" xfId="0" applyFont="1" applyFill="1" applyBorder="1" applyAlignment="1">
      <alignment horizontal="left" vertical="center"/>
    </xf>
    <xf numFmtId="0" fontId="66" fillId="0" borderId="4" xfId="0" applyFont="1" applyFill="1" applyBorder="1" applyAlignment="1">
      <alignment horizontal="left" vertical="top" wrapText="1"/>
    </xf>
    <xf numFmtId="0" fontId="66" fillId="0" borderId="5" xfId="0" applyFont="1" applyFill="1" applyBorder="1" applyAlignment="1">
      <alignment horizontal="left" vertical="top" wrapText="1"/>
    </xf>
    <xf numFmtId="0" fontId="66" fillId="0" borderId="6" xfId="0" applyFont="1" applyFill="1" applyBorder="1" applyAlignment="1">
      <alignment horizontal="left" vertical="top"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5" fillId="0" borderId="4" xfId="0" applyFont="1" applyFill="1" applyBorder="1" applyAlignment="1">
      <alignment horizontal="center" vertical="top" wrapText="1"/>
    </xf>
    <xf numFmtId="0" fontId="35" fillId="0" borderId="5" xfId="0" applyFont="1" applyFill="1" applyBorder="1" applyAlignment="1">
      <alignment horizontal="center" vertical="top" wrapText="1"/>
    </xf>
    <xf numFmtId="0" fontId="35" fillId="0" borderId="6" xfId="0" applyFont="1" applyFill="1" applyBorder="1" applyAlignment="1">
      <alignment horizontal="center" vertical="top" wrapText="1"/>
    </xf>
    <xf numFmtId="0" fontId="59" fillId="0" borderId="4" xfId="0" applyFont="1" applyFill="1" applyBorder="1" applyAlignment="1">
      <alignment horizontal="left" vertical="top" wrapText="1"/>
    </xf>
    <xf numFmtId="0" fontId="59" fillId="0" borderId="5" xfId="0" applyFont="1" applyFill="1" applyBorder="1" applyAlignment="1">
      <alignment horizontal="left" vertical="top" wrapText="1"/>
    </xf>
    <xf numFmtId="0" fontId="59" fillId="0" borderId="6" xfId="0" applyFont="1" applyFill="1" applyBorder="1" applyAlignment="1">
      <alignment horizontal="left" vertical="top" wrapText="1"/>
    </xf>
    <xf numFmtId="0" fontId="50" fillId="0" borderId="4"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0" fillId="0" borderId="6" xfId="0" applyFont="1" applyFill="1" applyBorder="1" applyAlignment="1">
      <alignment horizontal="left" vertical="center" wrapText="1"/>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Fill="1" applyAlignment="1">
      <alignment horizontal="center"/>
    </xf>
    <xf numFmtId="0" fontId="36" fillId="0" borderId="7" xfId="0" applyFont="1" applyFill="1" applyBorder="1" applyAlignment="1">
      <alignment horizontal="center" vertical="center" wrapText="1"/>
    </xf>
    <xf numFmtId="0" fontId="36" fillId="0" borderId="4" xfId="0" applyFont="1" applyFill="1" applyBorder="1" applyAlignment="1">
      <alignment horizontal="center" wrapText="1"/>
    </xf>
    <xf numFmtId="0" fontId="36" fillId="0" borderId="5" xfId="0" applyFont="1" applyFill="1" applyBorder="1" applyAlignment="1">
      <alignment horizontal="center" wrapText="1"/>
    </xf>
    <xf numFmtId="0" fontId="36" fillId="0" borderId="6" xfId="0" applyFont="1" applyFill="1" applyBorder="1" applyAlignment="1">
      <alignment horizont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3" fillId="0" borderId="3" xfId="0" applyFont="1" applyFill="1" applyBorder="1" applyAlignment="1">
      <alignment horizontal="center" vertical="top" wrapText="1"/>
    </xf>
    <xf numFmtId="0" fontId="33" fillId="0" borderId="2" xfId="0" applyFont="1" applyFill="1" applyBorder="1" applyAlignment="1">
      <alignment horizontal="center" vertical="top" wrapText="1"/>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0" fontId="56" fillId="0" borderId="6" xfId="0" applyFont="1" applyFill="1" applyBorder="1" applyAlignment="1">
      <alignment horizontal="left" vertical="center"/>
    </xf>
    <xf numFmtId="0" fontId="57" fillId="0" borderId="4" xfId="0" applyFont="1" applyFill="1" applyBorder="1" applyAlignment="1">
      <alignment horizontal="left" vertical="top" wrapText="1"/>
    </xf>
    <xf numFmtId="0" fontId="57" fillId="0" borderId="5" xfId="0" applyFont="1" applyFill="1" applyBorder="1" applyAlignment="1">
      <alignment horizontal="left" vertical="top" wrapText="1"/>
    </xf>
    <xf numFmtId="0" fontId="57" fillId="0" borderId="6" xfId="0" applyFont="1" applyFill="1" applyBorder="1" applyAlignment="1">
      <alignment horizontal="left" vertical="top" wrapText="1"/>
    </xf>
    <xf numFmtId="0" fontId="56" fillId="0" borderId="4" xfId="0" applyFont="1" applyFill="1" applyBorder="1" applyAlignment="1">
      <alignment horizontal="left" vertical="center" wrapText="1"/>
    </xf>
    <xf numFmtId="0" fontId="56" fillId="0" borderId="5" xfId="0" applyFont="1" applyFill="1" applyBorder="1" applyAlignment="1">
      <alignment horizontal="left" vertical="center" wrapText="1"/>
    </xf>
    <xf numFmtId="0" fontId="56" fillId="0" borderId="6"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72" fillId="0" borderId="4" xfId="0" applyFont="1" applyFill="1" applyBorder="1" applyAlignment="1">
      <alignment horizontal="left" vertical="top" wrapText="1"/>
    </xf>
    <xf numFmtId="0" fontId="72" fillId="0" borderId="5" xfId="0" applyFont="1" applyFill="1" applyBorder="1" applyAlignment="1">
      <alignment horizontal="left" vertical="top" wrapText="1"/>
    </xf>
    <xf numFmtId="0" fontId="72" fillId="0" borderId="6" xfId="0" applyFont="1" applyFill="1" applyBorder="1" applyAlignment="1">
      <alignment horizontal="left" vertical="top" wrapText="1"/>
    </xf>
    <xf numFmtId="0" fontId="3" fillId="0" borderId="3" xfId="0" applyFont="1" applyFill="1" applyBorder="1" applyAlignment="1">
      <alignment horizontal="center" vertical="top"/>
    </xf>
    <xf numFmtId="0" fontId="3" fillId="0" borderId="2" xfId="0" applyFont="1" applyFill="1" applyBorder="1" applyAlignment="1">
      <alignment horizontal="center" vertical="top"/>
    </xf>
    <xf numFmtId="0" fontId="56" fillId="0" borderId="3" xfId="0" applyFont="1" applyFill="1" applyBorder="1" applyAlignment="1">
      <alignment vertical="top" wrapText="1"/>
    </xf>
    <xf numFmtId="0" fontId="56" fillId="0" borderId="2" xfId="0" applyFont="1" applyFill="1" applyBorder="1" applyAlignment="1">
      <alignment vertical="top"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8" fillId="0" borderId="4" xfId="0" applyFont="1" applyFill="1" applyBorder="1" applyAlignment="1">
      <alignment horizontal="left" vertical="center"/>
    </xf>
    <xf numFmtId="0" fontId="48" fillId="0" borderId="5" xfId="0" applyFont="1" applyFill="1" applyBorder="1" applyAlignment="1">
      <alignment horizontal="left" vertical="center"/>
    </xf>
    <xf numFmtId="0" fontId="48" fillId="0" borderId="6" xfId="0" applyFont="1" applyFill="1" applyBorder="1" applyAlignment="1">
      <alignment horizontal="left" vertical="center"/>
    </xf>
    <xf numFmtId="0" fontId="47" fillId="0" borderId="4" xfId="0" applyFont="1" applyFill="1" applyBorder="1" applyAlignment="1">
      <alignment horizontal="left" vertical="top" wrapText="1"/>
    </xf>
    <xf numFmtId="0" fontId="47" fillId="0" borderId="5" xfId="0" applyFont="1" applyFill="1" applyBorder="1" applyAlignment="1">
      <alignment horizontal="left" vertical="top" wrapText="1"/>
    </xf>
    <xf numFmtId="0" fontId="47" fillId="0" borderId="6" xfId="0" applyFont="1" applyFill="1" applyBorder="1" applyAlignment="1">
      <alignment horizontal="left" vertical="top" wrapText="1"/>
    </xf>
    <xf numFmtId="0" fontId="3" fillId="0" borderId="3"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center" wrapText="1"/>
    </xf>
    <xf numFmtId="0" fontId="69" fillId="0" borderId="4" xfId="0" applyFont="1" applyFill="1" applyBorder="1" applyAlignment="1">
      <alignment horizontal="left" vertical="top" wrapText="1"/>
    </xf>
    <xf numFmtId="0" fontId="69" fillId="0" borderId="5" xfId="0" applyFont="1" applyFill="1" applyBorder="1" applyAlignment="1">
      <alignment horizontal="left" vertical="top" wrapText="1"/>
    </xf>
    <xf numFmtId="0" fontId="69" fillId="0" borderId="6"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wrapText="1"/>
    </xf>
    <xf numFmtId="0" fontId="3" fillId="0" borderId="0" xfId="0" applyFont="1" applyFill="1" applyAlignment="1">
      <alignment horizontal="center"/>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wrapText="1"/>
    </xf>
    <xf numFmtId="0" fontId="19" fillId="0" borderId="5" xfId="0" applyFont="1" applyFill="1" applyBorder="1" applyAlignment="1">
      <alignment horizontal="center" wrapText="1"/>
    </xf>
    <xf numFmtId="0" fontId="19" fillId="0" borderId="6" xfId="0" applyFont="1" applyFill="1" applyBorder="1" applyAlignment="1">
      <alignment horizont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AI134"/>
  <sheetViews>
    <sheetView view="pageBreakPreview" topLeftCell="A17" zoomScale="65" zoomScaleSheetLayoutView="65" workbookViewId="0">
      <pane ySplit="3345" topLeftCell="A11" activePane="bottomLeft"/>
      <selection sqref="A1:XFD1048576"/>
      <selection pane="bottomLeft" activeCell="B15" sqref="B15"/>
    </sheetView>
  </sheetViews>
  <sheetFormatPr defaultRowHeight="15.75"/>
  <cols>
    <col min="1" max="1" width="5.85546875" style="22" customWidth="1"/>
    <col min="2" max="2" width="57.42578125" style="1" customWidth="1"/>
    <col min="3" max="3" width="15.5703125" style="1" customWidth="1"/>
    <col min="4" max="4" width="17.140625" style="1" customWidth="1"/>
    <col min="5" max="5" width="16.42578125" style="1" customWidth="1"/>
    <col min="6" max="6" width="12.5703125" style="1" customWidth="1"/>
    <col min="7" max="7" width="13" style="1" customWidth="1"/>
    <col min="8" max="8" width="6.7109375" style="1" customWidth="1"/>
    <col min="9" max="9" width="11.28515625" style="1" customWidth="1"/>
    <col min="10" max="10" width="17.85546875" style="1" customWidth="1"/>
    <col min="11" max="11" width="13.28515625" style="1" customWidth="1"/>
    <col min="12" max="12" width="11.5703125" style="1" customWidth="1"/>
    <col min="13" max="13" width="5.28515625" style="1" customWidth="1"/>
    <col min="14" max="14" width="9.7109375" style="1" customWidth="1"/>
    <col min="15" max="15" width="18.28515625" style="1" customWidth="1"/>
    <col min="16" max="16" width="13" style="1" customWidth="1"/>
    <col min="17" max="18" width="9.7109375" style="1" customWidth="1"/>
    <col min="19" max="19" width="13" style="1" customWidth="1"/>
    <col min="20" max="21" width="12.7109375" style="1" customWidth="1"/>
    <col min="22" max="22" width="11.85546875" style="1" customWidth="1"/>
    <col min="23" max="23" width="6.140625" style="1" customWidth="1"/>
    <col min="24" max="24" width="9.7109375" style="1" customWidth="1"/>
    <col min="25" max="25" width="17.42578125" style="1" customWidth="1"/>
    <col min="26" max="26" width="14.5703125" style="1" customWidth="1"/>
    <col min="27" max="28" width="9.7109375" style="1" customWidth="1"/>
    <col min="29" max="29" width="14.28515625" style="1" customWidth="1"/>
    <col min="30" max="30" width="21.7109375" style="1" customWidth="1"/>
    <col min="31" max="16384" width="9.140625" style="16"/>
  </cols>
  <sheetData>
    <row r="1" spans="1:30">
      <c r="Z1" s="1" t="s">
        <v>199</v>
      </c>
    </row>
    <row r="2" spans="1:30">
      <c r="Z2" s="1" t="s">
        <v>200</v>
      </c>
    </row>
    <row r="3" spans="1:30" ht="21" customHeight="1">
      <c r="K3" s="546"/>
      <c r="L3" s="546"/>
      <c r="M3" s="546"/>
      <c r="N3" s="546"/>
      <c r="O3" s="546"/>
      <c r="P3" s="546"/>
      <c r="Q3" s="546"/>
      <c r="R3" s="546"/>
      <c r="S3" s="546"/>
      <c r="T3" s="546"/>
      <c r="U3" s="546"/>
      <c r="V3" s="546"/>
      <c r="W3" s="546"/>
      <c r="X3" s="546"/>
      <c r="Y3" s="546"/>
      <c r="Z3" s="546"/>
      <c r="AA3" s="546"/>
      <c r="AB3" s="546"/>
      <c r="AC3" s="546"/>
      <c r="AD3" s="546"/>
    </row>
    <row r="4" spans="1:30" hidden="1"/>
    <row r="5" spans="1:30" ht="18.75">
      <c r="A5" s="547" t="s">
        <v>0</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row>
    <row r="6" spans="1:30" ht="12" customHeight="1"/>
    <row r="7" spans="1:30">
      <c r="A7" s="545" t="s">
        <v>1</v>
      </c>
      <c r="B7" s="545" t="s">
        <v>142</v>
      </c>
      <c r="C7" s="545" t="s">
        <v>2</v>
      </c>
      <c r="D7" s="548" t="s">
        <v>3</v>
      </c>
      <c r="E7" s="551" t="s">
        <v>4</v>
      </c>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row>
    <row r="8" spans="1:30" ht="15.75" customHeight="1">
      <c r="A8" s="545"/>
      <c r="B8" s="545"/>
      <c r="C8" s="545"/>
      <c r="D8" s="549"/>
      <c r="E8" s="545" t="s">
        <v>88</v>
      </c>
      <c r="F8" s="545"/>
      <c r="G8" s="545"/>
      <c r="H8" s="545"/>
      <c r="I8" s="545"/>
      <c r="J8" s="545" t="s">
        <v>89</v>
      </c>
      <c r="K8" s="545"/>
      <c r="L8" s="545"/>
      <c r="M8" s="545"/>
      <c r="N8" s="545"/>
      <c r="O8" s="545" t="s">
        <v>90</v>
      </c>
      <c r="P8" s="545"/>
      <c r="Q8" s="545"/>
      <c r="R8" s="545"/>
      <c r="S8" s="545"/>
      <c r="T8" s="545" t="s">
        <v>91</v>
      </c>
      <c r="U8" s="545"/>
      <c r="V8" s="545"/>
      <c r="W8" s="545"/>
      <c r="X8" s="545"/>
      <c r="Y8" s="545" t="s">
        <v>92</v>
      </c>
      <c r="Z8" s="545"/>
      <c r="AA8" s="545"/>
      <c r="AB8" s="545"/>
      <c r="AC8" s="545"/>
      <c r="AD8" s="545" t="s">
        <v>5</v>
      </c>
    </row>
    <row r="9" spans="1:30" ht="114.75" customHeight="1">
      <c r="A9" s="545"/>
      <c r="B9" s="545"/>
      <c r="C9" s="545"/>
      <c r="D9" s="550"/>
      <c r="E9" s="96" t="s">
        <v>6</v>
      </c>
      <c r="F9" s="23" t="s">
        <v>7</v>
      </c>
      <c r="G9" s="23" t="s">
        <v>8</v>
      </c>
      <c r="H9" s="23" t="s">
        <v>9</v>
      </c>
      <c r="I9" s="24" t="s">
        <v>10</v>
      </c>
      <c r="J9" s="75" t="s">
        <v>6</v>
      </c>
      <c r="K9" s="23" t="s">
        <v>7</v>
      </c>
      <c r="L9" s="23" t="s">
        <v>8</v>
      </c>
      <c r="M9" s="23" t="s">
        <v>9</v>
      </c>
      <c r="N9" s="24" t="s">
        <v>10</v>
      </c>
      <c r="O9" s="75" t="s">
        <v>6</v>
      </c>
      <c r="P9" s="23" t="s">
        <v>7</v>
      </c>
      <c r="Q9" s="23" t="s">
        <v>8</v>
      </c>
      <c r="R9" s="23" t="s">
        <v>9</v>
      </c>
      <c r="S9" s="24" t="s">
        <v>10</v>
      </c>
      <c r="T9" s="79" t="s">
        <v>6</v>
      </c>
      <c r="U9" s="23" t="s">
        <v>7</v>
      </c>
      <c r="V9" s="23" t="s">
        <v>8</v>
      </c>
      <c r="W9" s="23" t="s">
        <v>9</v>
      </c>
      <c r="X9" s="24" t="s">
        <v>10</v>
      </c>
      <c r="Y9" s="79" t="s">
        <v>6</v>
      </c>
      <c r="Z9" s="23" t="s">
        <v>7</v>
      </c>
      <c r="AA9" s="23" t="s">
        <v>8</v>
      </c>
      <c r="AB9" s="23" t="s">
        <v>9</v>
      </c>
      <c r="AC9" s="24" t="s">
        <v>10</v>
      </c>
      <c r="AD9" s="545"/>
    </row>
    <row r="10" spans="1:30">
      <c r="A10" s="2">
        <v>1</v>
      </c>
      <c r="B10" s="2">
        <v>2</v>
      </c>
      <c r="C10" s="2">
        <v>3</v>
      </c>
      <c r="D10" s="2">
        <v>4</v>
      </c>
      <c r="E10" s="2">
        <v>5</v>
      </c>
      <c r="F10" s="2">
        <v>6</v>
      </c>
      <c r="G10" s="2">
        <v>7</v>
      </c>
      <c r="H10" s="2">
        <v>8</v>
      </c>
      <c r="I10" s="2">
        <v>9</v>
      </c>
      <c r="J10" s="2">
        <v>10</v>
      </c>
      <c r="K10" s="2">
        <v>11</v>
      </c>
      <c r="L10" s="2">
        <v>12</v>
      </c>
      <c r="M10" s="2">
        <v>13</v>
      </c>
      <c r="N10" s="2">
        <v>14</v>
      </c>
      <c r="O10" s="2">
        <v>15</v>
      </c>
      <c r="P10" s="2">
        <v>16</v>
      </c>
      <c r="Q10" s="2">
        <v>17</v>
      </c>
      <c r="R10" s="2">
        <v>18</v>
      </c>
      <c r="S10" s="2">
        <v>19</v>
      </c>
      <c r="T10" s="2">
        <v>20</v>
      </c>
      <c r="U10" s="2">
        <v>21</v>
      </c>
      <c r="V10" s="2">
        <v>22</v>
      </c>
      <c r="W10" s="2">
        <v>23</v>
      </c>
      <c r="X10" s="2">
        <v>24</v>
      </c>
      <c r="Y10" s="2">
        <v>25</v>
      </c>
      <c r="Z10" s="2">
        <v>26</v>
      </c>
      <c r="AA10" s="2">
        <v>27</v>
      </c>
      <c r="AB10" s="2">
        <v>28</v>
      </c>
      <c r="AC10" s="2">
        <v>29</v>
      </c>
      <c r="AD10" s="2">
        <v>30</v>
      </c>
    </row>
    <row r="11" spans="1:30" ht="37.5" customHeight="1">
      <c r="A11" s="541" t="s">
        <v>86</v>
      </c>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3"/>
    </row>
    <row r="12" spans="1:30" ht="57.75" customHeight="1">
      <c r="A12" s="25" t="s">
        <v>11</v>
      </c>
      <c r="B12" s="544" t="s">
        <v>180</v>
      </c>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1"/>
    </row>
    <row r="13" spans="1:30" ht="144.75" customHeight="1">
      <c r="A13" s="12" t="s">
        <v>12</v>
      </c>
      <c r="B13" s="26" t="s">
        <v>81</v>
      </c>
      <c r="C13" s="535" t="s">
        <v>14</v>
      </c>
      <c r="D13" s="70" t="s">
        <v>93</v>
      </c>
      <c r="E13" s="13">
        <f>SUM(F13:I13)</f>
        <v>43350</v>
      </c>
      <c r="F13" s="14">
        <v>43350</v>
      </c>
      <c r="G13" s="14">
        <v>0</v>
      </c>
      <c r="H13" s="14">
        <v>0</v>
      </c>
      <c r="I13" s="14">
        <v>0</v>
      </c>
      <c r="J13" s="13">
        <v>0</v>
      </c>
      <c r="K13" s="14">
        <v>0</v>
      </c>
      <c r="L13" s="14">
        <v>0</v>
      </c>
      <c r="M13" s="14">
        <v>0</v>
      </c>
      <c r="N13" s="14">
        <v>0</v>
      </c>
      <c r="O13" s="13">
        <v>0</v>
      </c>
      <c r="P13" s="14">
        <v>0</v>
      </c>
      <c r="Q13" s="14">
        <v>0</v>
      </c>
      <c r="R13" s="14">
        <v>0</v>
      </c>
      <c r="S13" s="14">
        <v>0</v>
      </c>
      <c r="T13" s="13">
        <f>U13+V13+W13+X13</f>
        <v>46425</v>
      </c>
      <c r="U13" s="14">
        <v>46425</v>
      </c>
      <c r="V13" s="14">
        <v>0</v>
      </c>
      <c r="W13" s="14">
        <v>0</v>
      </c>
      <c r="X13" s="14">
        <v>0</v>
      </c>
      <c r="Y13" s="13">
        <f>Z13+AA13+AB13+AC13</f>
        <v>46425</v>
      </c>
      <c r="Z13" s="14">
        <v>46425</v>
      </c>
      <c r="AA13" s="14">
        <v>0</v>
      </c>
      <c r="AB13" s="14">
        <v>0</v>
      </c>
      <c r="AC13" s="14">
        <v>0</v>
      </c>
      <c r="AD13" s="15">
        <f t="shared" ref="AD13:AD19" si="0">E13+J13+O13+T13+Y13</f>
        <v>136200</v>
      </c>
    </row>
    <row r="14" spans="1:30" ht="177.75" customHeight="1">
      <c r="A14" s="12" t="s">
        <v>13</v>
      </c>
      <c r="B14" s="27" t="s">
        <v>133</v>
      </c>
      <c r="C14" s="537"/>
      <c r="D14" s="70" t="s">
        <v>93</v>
      </c>
      <c r="E14" s="13">
        <f>SUM(F14:I14)</f>
        <v>16641</v>
      </c>
      <c r="F14" s="14">
        <v>12748</v>
      </c>
      <c r="G14" s="14">
        <v>0</v>
      </c>
      <c r="H14" s="14">
        <v>0</v>
      </c>
      <c r="I14" s="14">
        <v>3893</v>
      </c>
      <c r="J14" s="13">
        <v>0</v>
      </c>
      <c r="K14" s="14">
        <v>0</v>
      </c>
      <c r="L14" s="14">
        <v>0</v>
      </c>
      <c r="M14" s="14">
        <v>0</v>
      </c>
      <c r="N14" s="14">
        <v>0</v>
      </c>
      <c r="O14" s="13">
        <v>0</v>
      </c>
      <c r="P14" s="14">
        <v>0</v>
      </c>
      <c r="Q14" s="14">
        <v>0</v>
      </c>
      <c r="R14" s="14">
        <v>0</v>
      </c>
      <c r="S14" s="14">
        <v>0</v>
      </c>
      <c r="T14" s="13">
        <f>U14+V14+W14+X14</f>
        <v>19038</v>
      </c>
      <c r="U14" s="14">
        <v>13655</v>
      </c>
      <c r="V14" s="14">
        <v>0</v>
      </c>
      <c r="W14" s="14">
        <v>0</v>
      </c>
      <c r="X14" s="14">
        <v>5383</v>
      </c>
      <c r="Y14" s="13">
        <f>Z14+AA14+AB14+AC14</f>
        <v>19038</v>
      </c>
      <c r="Z14" s="14">
        <v>13655</v>
      </c>
      <c r="AA14" s="14">
        <v>0</v>
      </c>
      <c r="AB14" s="14">
        <v>0</v>
      </c>
      <c r="AC14" s="14">
        <v>5383</v>
      </c>
      <c r="AD14" s="15">
        <f t="shared" si="0"/>
        <v>54717</v>
      </c>
    </row>
    <row r="15" spans="1:30" ht="105" customHeight="1">
      <c r="A15" s="12" t="s">
        <v>15</v>
      </c>
      <c r="B15" s="3" t="s">
        <v>118</v>
      </c>
      <c r="C15" s="534" t="s">
        <v>94</v>
      </c>
      <c r="D15" s="70" t="s">
        <v>93</v>
      </c>
      <c r="E15" s="29">
        <f>F15+G15+H15+I15</f>
        <v>774</v>
      </c>
      <c r="F15" s="30">
        <f>774</f>
        <v>774</v>
      </c>
      <c r="G15" s="30">
        <v>0</v>
      </c>
      <c r="H15" s="30">
        <v>0</v>
      </c>
      <c r="I15" s="30">
        <v>0</v>
      </c>
      <c r="J15" s="13">
        <f>K15+L15+M15+N15</f>
        <v>774</v>
      </c>
      <c r="K15" s="14">
        <v>774</v>
      </c>
      <c r="L15" s="14">
        <v>0</v>
      </c>
      <c r="M15" s="14">
        <v>0</v>
      </c>
      <c r="N15" s="14">
        <v>0</v>
      </c>
      <c r="O15" s="13">
        <f>P15+Q15+R15+S15</f>
        <v>774</v>
      </c>
      <c r="P15" s="14">
        <v>774</v>
      </c>
      <c r="Q15" s="14">
        <v>0</v>
      </c>
      <c r="R15" s="14">
        <v>0</v>
      </c>
      <c r="S15" s="14">
        <v>0</v>
      </c>
      <c r="T15" s="13">
        <f>U15+V15+W15+X15</f>
        <v>774</v>
      </c>
      <c r="U15" s="14">
        <v>774</v>
      </c>
      <c r="V15" s="14">
        <v>0</v>
      </c>
      <c r="W15" s="14">
        <v>0</v>
      </c>
      <c r="X15" s="14">
        <v>0</v>
      </c>
      <c r="Y15" s="13">
        <f>Z15+AA15+AB15+AC15</f>
        <v>774</v>
      </c>
      <c r="Z15" s="14">
        <v>774</v>
      </c>
      <c r="AA15" s="14">
        <v>0</v>
      </c>
      <c r="AB15" s="14">
        <v>0</v>
      </c>
      <c r="AC15" s="14">
        <v>0</v>
      </c>
      <c r="AD15" s="15">
        <f t="shared" si="0"/>
        <v>3870</v>
      </c>
    </row>
    <row r="16" spans="1:30" ht="112.5" customHeight="1">
      <c r="A16" s="12" t="s">
        <v>16</v>
      </c>
      <c r="B16" s="103" t="s">
        <v>117</v>
      </c>
      <c r="C16" s="534"/>
      <c r="D16" s="70" t="s">
        <v>93</v>
      </c>
      <c r="E16" s="13">
        <v>8260</v>
      </c>
      <c r="F16" s="14">
        <v>8260</v>
      </c>
      <c r="G16" s="14">
        <v>0</v>
      </c>
      <c r="H16" s="14">
        <v>0</v>
      </c>
      <c r="I16" s="14">
        <v>0</v>
      </c>
      <c r="J16" s="13">
        <v>8260</v>
      </c>
      <c r="K16" s="14">
        <v>8260</v>
      </c>
      <c r="L16" s="14">
        <v>0</v>
      </c>
      <c r="M16" s="14">
        <v>0</v>
      </c>
      <c r="N16" s="14">
        <v>0</v>
      </c>
      <c r="O16" s="13">
        <v>8260</v>
      </c>
      <c r="P16" s="14">
        <v>8260</v>
      </c>
      <c r="Q16" s="14">
        <v>0</v>
      </c>
      <c r="R16" s="14">
        <v>0</v>
      </c>
      <c r="S16" s="14">
        <v>0</v>
      </c>
      <c r="T16" s="13">
        <v>12655.3</v>
      </c>
      <c r="U16" s="14">
        <v>12655.3</v>
      </c>
      <c r="V16" s="14">
        <v>0</v>
      </c>
      <c r="W16" s="14">
        <v>0</v>
      </c>
      <c r="X16" s="14">
        <v>0</v>
      </c>
      <c r="Y16" s="14">
        <v>12655.3</v>
      </c>
      <c r="Z16" s="14">
        <v>12655.3</v>
      </c>
      <c r="AA16" s="14">
        <v>0</v>
      </c>
      <c r="AB16" s="14">
        <v>0</v>
      </c>
      <c r="AC16" s="14">
        <v>0</v>
      </c>
      <c r="AD16" s="15">
        <f t="shared" si="0"/>
        <v>50090.600000000006</v>
      </c>
    </row>
    <row r="17" spans="1:31" ht="123" customHeight="1">
      <c r="A17" s="12" t="s">
        <v>17</v>
      </c>
      <c r="B17" s="3" t="s">
        <v>165</v>
      </c>
      <c r="C17" s="73" t="s">
        <v>14</v>
      </c>
      <c r="D17" s="70" t="s">
        <v>93</v>
      </c>
      <c r="E17" s="13">
        <f>F17+G17+H17+I17</f>
        <v>4075</v>
      </c>
      <c r="F17" s="14">
        <v>3300</v>
      </c>
      <c r="G17" s="14">
        <v>0</v>
      </c>
      <c r="H17" s="14">
        <v>0</v>
      </c>
      <c r="I17" s="14">
        <v>775</v>
      </c>
      <c r="J17" s="13">
        <v>0</v>
      </c>
      <c r="K17" s="14">
        <v>0</v>
      </c>
      <c r="L17" s="14">
        <v>0</v>
      </c>
      <c r="M17" s="14">
        <v>0</v>
      </c>
      <c r="N17" s="14">
        <v>0</v>
      </c>
      <c r="O17" s="13">
        <v>0</v>
      </c>
      <c r="P17" s="14">
        <v>0</v>
      </c>
      <c r="Q17" s="14">
        <v>0</v>
      </c>
      <c r="R17" s="14">
        <v>0</v>
      </c>
      <c r="S17" s="14">
        <v>0</v>
      </c>
      <c r="T17" s="13">
        <f>U17+V17+W17+X17</f>
        <v>2909</v>
      </c>
      <c r="U17" s="14">
        <v>2412</v>
      </c>
      <c r="V17" s="14">
        <v>0</v>
      </c>
      <c r="W17" s="14">
        <v>0</v>
      </c>
      <c r="X17" s="14">
        <v>497</v>
      </c>
      <c r="Y17" s="13">
        <f>Z17+AA17+AB17+AC17</f>
        <v>2909</v>
      </c>
      <c r="Z17" s="14">
        <v>2412</v>
      </c>
      <c r="AA17" s="14">
        <v>0</v>
      </c>
      <c r="AB17" s="14">
        <v>0</v>
      </c>
      <c r="AC17" s="14">
        <v>497</v>
      </c>
      <c r="AD17" s="15">
        <f t="shared" si="0"/>
        <v>9893</v>
      </c>
    </row>
    <row r="18" spans="1:31" ht="169.5" customHeight="1">
      <c r="A18" s="12" t="s">
        <v>163</v>
      </c>
      <c r="B18" s="4" t="s">
        <v>181</v>
      </c>
      <c r="C18" s="74" t="s">
        <v>14</v>
      </c>
      <c r="D18" s="28" t="s">
        <v>164</v>
      </c>
      <c r="E18" s="29">
        <v>0</v>
      </c>
      <c r="F18" s="30">
        <f>E18</f>
        <v>0</v>
      </c>
      <c r="G18" s="30">
        <v>0</v>
      </c>
      <c r="H18" s="30">
        <v>0</v>
      </c>
      <c r="I18" s="30">
        <v>0</v>
      </c>
      <c r="J18" s="29">
        <v>0</v>
      </c>
      <c r="K18" s="30">
        <v>0</v>
      </c>
      <c r="L18" s="30">
        <v>0</v>
      </c>
      <c r="M18" s="30">
        <v>0</v>
      </c>
      <c r="N18" s="30">
        <v>0</v>
      </c>
      <c r="O18" s="29">
        <v>0</v>
      </c>
      <c r="P18" s="30">
        <v>0</v>
      </c>
      <c r="Q18" s="30">
        <v>0</v>
      </c>
      <c r="R18" s="30">
        <v>0</v>
      </c>
      <c r="S18" s="30">
        <v>0</v>
      </c>
      <c r="T18" s="29">
        <v>0</v>
      </c>
      <c r="U18" s="30">
        <v>0</v>
      </c>
      <c r="V18" s="30">
        <v>0</v>
      </c>
      <c r="W18" s="30">
        <v>0</v>
      </c>
      <c r="X18" s="30">
        <v>0</v>
      </c>
      <c r="Y18" s="29">
        <v>0</v>
      </c>
      <c r="Z18" s="30">
        <v>0</v>
      </c>
      <c r="AA18" s="30">
        <v>0</v>
      </c>
      <c r="AB18" s="30">
        <v>0</v>
      </c>
      <c r="AC18" s="30">
        <v>0</v>
      </c>
      <c r="AD18" s="85">
        <f t="shared" si="0"/>
        <v>0</v>
      </c>
    </row>
    <row r="19" spans="1:31" ht="122.25" customHeight="1">
      <c r="A19" s="12" t="s">
        <v>182</v>
      </c>
      <c r="B19" s="4" t="s">
        <v>183</v>
      </c>
      <c r="C19" s="74" t="s">
        <v>14</v>
      </c>
      <c r="D19" s="28" t="s">
        <v>164</v>
      </c>
      <c r="E19" s="29">
        <v>0</v>
      </c>
      <c r="F19" s="30">
        <v>0</v>
      </c>
      <c r="G19" s="30">
        <v>0</v>
      </c>
      <c r="H19" s="30">
        <v>0</v>
      </c>
      <c r="I19" s="30">
        <v>0</v>
      </c>
      <c r="J19" s="29">
        <v>0</v>
      </c>
      <c r="K19" s="30">
        <v>0</v>
      </c>
      <c r="L19" s="30">
        <v>0</v>
      </c>
      <c r="M19" s="30">
        <v>0</v>
      </c>
      <c r="N19" s="30">
        <v>0</v>
      </c>
      <c r="O19" s="29">
        <v>0</v>
      </c>
      <c r="P19" s="30">
        <v>0</v>
      </c>
      <c r="Q19" s="30">
        <v>0</v>
      </c>
      <c r="R19" s="30">
        <v>0</v>
      </c>
      <c r="S19" s="30">
        <v>0</v>
      </c>
      <c r="T19" s="29">
        <v>0</v>
      </c>
      <c r="U19" s="30">
        <v>0</v>
      </c>
      <c r="V19" s="30">
        <v>0</v>
      </c>
      <c r="W19" s="30">
        <v>0</v>
      </c>
      <c r="X19" s="30">
        <v>0</v>
      </c>
      <c r="Y19" s="29">
        <v>0</v>
      </c>
      <c r="Z19" s="30">
        <v>0</v>
      </c>
      <c r="AA19" s="30">
        <v>0</v>
      </c>
      <c r="AB19" s="30">
        <v>0</v>
      </c>
      <c r="AC19" s="30">
        <v>0</v>
      </c>
      <c r="AD19" s="85">
        <f t="shared" si="0"/>
        <v>0</v>
      </c>
    </row>
    <row r="20" spans="1:31" ht="16.5">
      <c r="A20" s="519" t="s">
        <v>19</v>
      </c>
      <c r="B20" s="519"/>
      <c r="C20" s="519"/>
      <c r="D20" s="66"/>
      <c r="E20" s="31">
        <f>E21+E22</f>
        <v>73100</v>
      </c>
      <c r="F20" s="31">
        <f>F22+F21</f>
        <v>68432</v>
      </c>
      <c r="G20" s="31">
        <f>SUM(G13:G19)</f>
        <v>0</v>
      </c>
      <c r="H20" s="31">
        <f>SUM(H13:H19)</f>
        <v>0</v>
      </c>
      <c r="I20" s="31">
        <f>SUM(I13:I19)</f>
        <v>4668</v>
      </c>
      <c r="J20" s="31">
        <f>J21+J22</f>
        <v>9034</v>
      </c>
      <c r="K20" s="31">
        <f>K21+K22</f>
        <v>9034</v>
      </c>
      <c r="L20" s="31">
        <f>SUM(L13:L19)</f>
        <v>0</v>
      </c>
      <c r="M20" s="31">
        <f>SUM(M13:M19)</f>
        <v>0</v>
      </c>
      <c r="N20" s="31">
        <f>SUM(N13:N19)</f>
        <v>0</v>
      </c>
      <c r="O20" s="31">
        <f>O21+O22</f>
        <v>9034</v>
      </c>
      <c r="P20" s="31">
        <f>P21+P22</f>
        <v>9034</v>
      </c>
      <c r="Q20" s="31">
        <f>SUM(Q13:Q19)</f>
        <v>0</v>
      </c>
      <c r="R20" s="31">
        <f>SUM(R13:R19)</f>
        <v>0</v>
      </c>
      <c r="S20" s="31">
        <f>SUM(S13:S19)</f>
        <v>0</v>
      </c>
      <c r="T20" s="31">
        <f>T21+T22</f>
        <v>81801.3</v>
      </c>
      <c r="U20" s="31">
        <f>U13+U14+U15+U16+U17+U18+U19</f>
        <v>75921.3</v>
      </c>
      <c r="V20" s="31">
        <f>SUM(V13:V19)</f>
        <v>0</v>
      </c>
      <c r="W20" s="31">
        <f>SUM(W13:W17)</f>
        <v>0</v>
      </c>
      <c r="X20" s="31">
        <f>SUM(X13:X17)</f>
        <v>5880</v>
      </c>
      <c r="Y20" s="31">
        <f>Y21+Y22</f>
        <v>81801.3</v>
      </c>
      <c r="Z20" s="31">
        <f>Z21+Z22</f>
        <v>75921.3</v>
      </c>
      <c r="AA20" s="31">
        <f>SUM(AA13:AA19)</f>
        <v>0</v>
      </c>
      <c r="AB20" s="31">
        <f>SUM(AB13:AB19)</f>
        <v>0</v>
      </c>
      <c r="AC20" s="31">
        <f>SUM(AC13:AC19)</f>
        <v>5880</v>
      </c>
      <c r="AD20" s="31">
        <f>SUM(AD13:AD19)</f>
        <v>254770.6</v>
      </c>
    </row>
    <row r="21" spans="1:31" ht="16.5">
      <c r="A21" s="69" t="s">
        <v>14</v>
      </c>
      <c r="B21" s="101"/>
      <c r="C21" s="67"/>
      <c r="D21" s="67"/>
      <c r="E21" s="32">
        <f>E13+E14+E17</f>
        <v>64066</v>
      </c>
      <c r="F21" s="32">
        <f>F13+F14+F17+F18+F19</f>
        <v>59398</v>
      </c>
      <c r="G21" s="32">
        <f>G13+G14+G17</f>
        <v>0</v>
      </c>
      <c r="H21" s="32">
        <f>G13+G14+G17</f>
        <v>0</v>
      </c>
      <c r="I21" s="32">
        <f>I14+I17</f>
        <v>4668</v>
      </c>
      <c r="J21" s="32">
        <f>J13+J14+J17+J18+J19</f>
        <v>0</v>
      </c>
      <c r="K21" s="32">
        <f>K13+K14+K17+K18+K19</f>
        <v>0</v>
      </c>
      <c r="L21" s="32">
        <f t="shared" ref="L21:V21" si="1">L13+L14+L17</f>
        <v>0</v>
      </c>
      <c r="M21" s="32">
        <f t="shared" si="1"/>
        <v>0</v>
      </c>
      <c r="N21" s="32">
        <f t="shared" si="1"/>
        <v>0</v>
      </c>
      <c r="O21" s="32">
        <f>O13+O14+O17+O18+O19</f>
        <v>0</v>
      </c>
      <c r="P21" s="32">
        <f>P13+P14+P17+P18+P19</f>
        <v>0</v>
      </c>
      <c r="Q21" s="32">
        <f t="shared" si="1"/>
        <v>0</v>
      </c>
      <c r="R21" s="32">
        <f t="shared" si="1"/>
        <v>0</v>
      </c>
      <c r="S21" s="32">
        <f t="shared" si="1"/>
        <v>0</v>
      </c>
      <c r="T21" s="32">
        <f>T13+T14+T17+T18+T19</f>
        <v>68372</v>
      </c>
      <c r="U21" s="32">
        <f>U13+U14+U17+U18+U19</f>
        <v>62492</v>
      </c>
      <c r="V21" s="32">
        <f t="shared" si="1"/>
        <v>0</v>
      </c>
      <c r="W21" s="32">
        <f>V13+V14+V20</f>
        <v>0</v>
      </c>
      <c r="X21" s="32">
        <f t="shared" ref="X21:AC21" si="2">X13+X14+X17</f>
        <v>5880</v>
      </c>
      <c r="Y21" s="32">
        <f>Y13+Y14+Y17+Y18+Y19</f>
        <v>68372</v>
      </c>
      <c r="Z21" s="32">
        <f>Z13+Z14+Z17+Z18+Z19</f>
        <v>62492</v>
      </c>
      <c r="AA21" s="32">
        <f t="shared" si="2"/>
        <v>0</v>
      </c>
      <c r="AB21" s="32">
        <f t="shared" si="2"/>
        <v>0</v>
      </c>
      <c r="AC21" s="32">
        <f t="shared" si="2"/>
        <v>5880</v>
      </c>
      <c r="AD21" s="32">
        <f>E21+J21+O21+T21+Y21</f>
        <v>200810</v>
      </c>
    </row>
    <row r="22" spans="1:31" ht="16.5">
      <c r="A22" s="69" t="s">
        <v>135</v>
      </c>
      <c r="B22" s="101"/>
      <c r="C22" s="67"/>
      <c r="D22" s="67"/>
      <c r="E22" s="32">
        <f>E15+E16</f>
        <v>9034</v>
      </c>
      <c r="F22" s="32">
        <f>F15+F16</f>
        <v>9034</v>
      </c>
      <c r="G22" s="32">
        <f>G16+G17</f>
        <v>0</v>
      </c>
      <c r="H22" s="32">
        <f>G15+G16</f>
        <v>0</v>
      </c>
      <c r="I22" s="32">
        <f t="shared" ref="I22:AC22" si="3">I15+I16</f>
        <v>0</v>
      </c>
      <c r="J22" s="32">
        <f>J15+J16</f>
        <v>9034</v>
      </c>
      <c r="K22" s="32">
        <f>K15+K16</f>
        <v>9034</v>
      </c>
      <c r="L22" s="32">
        <f t="shared" si="3"/>
        <v>0</v>
      </c>
      <c r="M22" s="32">
        <f t="shared" si="3"/>
        <v>0</v>
      </c>
      <c r="N22" s="32">
        <f t="shared" si="3"/>
        <v>0</v>
      </c>
      <c r="O22" s="32">
        <f>O15+O16</f>
        <v>9034</v>
      </c>
      <c r="P22" s="32">
        <f>P15+P16</f>
        <v>9034</v>
      </c>
      <c r="Q22" s="32">
        <f t="shared" si="3"/>
        <v>0</v>
      </c>
      <c r="R22" s="32">
        <f t="shared" si="3"/>
        <v>0</v>
      </c>
      <c r="S22" s="32">
        <f t="shared" si="3"/>
        <v>0</v>
      </c>
      <c r="T22" s="32">
        <f>T15+T16</f>
        <v>13429.3</v>
      </c>
      <c r="U22" s="32">
        <f>U15+U16</f>
        <v>13429.3</v>
      </c>
      <c r="V22" s="32">
        <f t="shared" si="3"/>
        <v>0</v>
      </c>
      <c r="W22" s="32">
        <f t="shared" si="3"/>
        <v>0</v>
      </c>
      <c r="X22" s="32">
        <f t="shared" si="3"/>
        <v>0</v>
      </c>
      <c r="Y22" s="32">
        <f>Y15+Y16</f>
        <v>13429.3</v>
      </c>
      <c r="Z22" s="32">
        <f>Z15+Z16</f>
        <v>13429.3</v>
      </c>
      <c r="AA22" s="32">
        <f t="shared" si="3"/>
        <v>0</v>
      </c>
      <c r="AB22" s="32">
        <f t="shared" si="3"/>
        <v>0</v>
      </c>
      <c r="AC22" s="32">
        <f t="shared" si="3"/>
        <v>0</v>
      </c>
      <c r="AD22" s="32">
        <f>E22+J22+O22+T22+Y22</f>
        <v>53960.600000000006</v>
      </c>
      <c r="AE22" s="33"/>
    </row>
    <row r="23" spans="1:31" ht="36.75" customHeight="1">
      <c r="A23" s="25" t="s">
        <v>20</v>
      </c>
      <c r="B23" s="529" t="s">
        <v>143</v>
      </c>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1"/>
    </row>
    <row r="24" spans="1:31" ht="118.5" customHeight="1">
      <c r="A24" s="12" t="s">
        <v>21</v>
      </c>
      <c r="B24" s="104" t="s">
        <v>192</v>
      </c>
      <c r="C24" s="70" t="s">
        <v>94</v>
      </c>
      <c r="D24" s="70" t="s">
        <v>93</v>
      </c>
      <c r="E24" s="29">
        <f>F24+G24+H24+I24</f>
        <v>2664</v>
      </c>
      <c r="F24" s="30">
        <f>2664</f>
        <v>2664</v>
      </c>
      <c r="G24" s="30">
        <v>0</v>
      </c>
      <c r="H24" s="30">
        <v>0</v>
      </c>
      <c r="I24" s="30">
        <v>0</v>
      </c>
      <c r="J24" s="13">
        <f>K24+L24+M24+N24</f>
        <v>2664</v>
      </c>
      <c r="K24" s="14">
        <v>2664</v>
      </c>
      <c r="L24" s="14">
        <v>0</v>
      </c>
      <c r="M24" s="14">
        <v>0</v>
      </c>
      <c r="N24" s="14">
        <v>0</v>
      </c>
      <c r="O24" s="13">
        <f>P24+Q24+R24+S24</f>
        <v>2664</v>
      </c>
      <c r="P24" s="14">
        <v>2664</v>
      </c>
      <c r="Q24" s="14">
        <v>0</v>
      </c>
      <c r="R24" s="14">
        <v>0</v>
      </c>
      <c r="S24" s="14">
        <v>0</v>
      </c>
      <c r="T24" s="13">
        <f>U24+V24+W24+X24</f>
        <v>2664</v>
      </c>
      <c r="U24" s="14">
        <v>2664</v>
      </c>
      <c r="V24" s="14">
        <v>0</v>
      </c>
      <c r="W24" s="14">
        <v>0</v>
      </c>
      <c r="X24" s="14">
        <v>0</v>
      </c>
      <c r="Y24" s="13">
        <f>Z24+AA24+AB24+AC24</f>
        <v>2664</v>
      </c>
      <c r="Z24" s="14">
        <v>2664</v>
      </c>
      <c r="AA24" s="14">
        <v>0</v>
      </c>
      <c r="AB24" s="14">
        <v>0</v>
      </c>
      <c r="AC24" s="14">
        <v>0</v>
      </c>
      <c r="AD24" s="13">
        <f>E24+J24+O24+T24+Y24</f>
        <v>13320</v>
      </c>
    </row>
    <row r="25" spans="1:31" ht="23.25" customHeight="1">
      <c r="A25" s="519" t="s">
        <v>22</v>
      </c>
      <c r="B25" s="519"/>
      <c r="C25" s="519"/>
      <c r="D25" s="69"/>
      <c r="E25" s="108">
        <f>E24</f>
        <v>2664</v>
      </c>
      <c r="F25" s="108">
        <f>F24</f>
        <v>2664</v>
      </c>
      <c r="G25" s="108">
        <f t="shared" ref="G25:AD25" si="4">SUM(G24:G24)</f>
        <v>0</v>
      </c>
      <c r="H25" s="108">
        <f t="shared" si="4"/>
        <v>0</v>
      </c>
      <c r="I25" s="108">
        <f t="shared" si="4"/>
        <v>0</v>
      </c>
      <c r="J25" s="31">
        <f t="shared" si="4"/>
        <v>2664</v>
      </c>
      <c r="K25" s="31">
        <f t="shared" si="4"/>
        <v>2664</v>
      </c>
      <c r="L25" s="31">
        <f t="shared" si="4"/>
        <v>0</v>
      </c>
      <c r="M25" s="31">
        <f t="shared" si="4"/>
        <v>0</v>
      </c>
      <c r="N25" s="31">
        <f t="shared" si="4"/>
        <v>0</v>
      </c>
      <c r="O25" s="31">
        <f t="shared" si="4"/>
        <v>2664</v>
      </c>
      <c r="P25" s="31">
        <f t="shared" si="4"/>
        <v>2664</v>
      </c>
      <c r="Q25" s="31">
        <f t="shared" si="4"/>
        <v>0</v>
      </c>
      <c r="R25" s="31">
        <f t="shared" si="4"/>
        <v>0</v>
      </c>
      <c r="S25" s="31">
        <f t="shared" si="4"/>
        <v>0</v>
      </c>
      <c r="T25" s="31">
        <f t="shared" si="4"/>
        <v>2664</v>
      </c>
      <c r="U25" s="31">
        <f t="shared" si="4"/>
        <v>2664</v>
      </c>
      <c r="V25" s="31">
        <f t="shared" si="4"/>
        <v>0</v>
      </c>
      <c r="W25" s="31">
        <f t="shared" si="4"/>
        <v>0</v>
      </c>
      <c r="X25" s="31">
        <f t="shared" si="4"/>
        <v>0</v>
      </c>
      <c r="Y25" s="31">
        <f t="shared" si="4"/>
        <v>2664</v>
      </c>
      <c r="Z25" s="31">
        <f t="shared" si="4"/>
        <v>2664</v>
      </c>
      <c r="AA25" s="31">
        <f t="shared" si="4"/>
        <v>0</v>
      </c>
      <c r="AB25" s="31">
        <f t="shared" si="4"/>
        <v>0</v>
      </c>
      <c r="AC25" s="31">
        <f t="shared" si="4"/>
        <v>0</v>
      </c>
      <c r="AD25" s="31">
        <f t="shared" si="4"/>
        <v>13320</v>
      </c>
    </row>
    <row r="26" spans="1:31" ht="36.75" customHeight="1">
      <c r="A26" s="25" t="s">
        <v>23</v>
      </c>
      <c r="B26" s="529" t="s">
        <v>144</v>
      </c>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1"/>
    </row>
    <row r="27" spans="1:31" ht="97.5" customHeight="1">
      <c r="A27" s="12" t="s">
        <v>24</v>
      </c>
      <c r="B27" s="105" t="s">
        <v>190</v>
      </c>
      <c r="C27" s="535" t="s">
        <v>94</v>
      </c>
      <c r="D27" s="70" t="s">
        <v>93</v>
      </c>
      <c r="E27" s="13">
        <v>681</v>
      </c>
      <c r="F27" s="14">
        <v>681</v>
      </c>
      <c r="G27" s="14">
        <v>0</v>
      </c>
      <c r="H27" s="14">
        <v>0</v>
      </c>
      <c r="I27" s="14">
        <v>0</v>
      </c>
      <c r="J27" s="13">
        <v>681</v>
      </c>
      <c r="K27" s="14">
        <v>681</v>
      </c>
      <c r="L27" s="14">
        <v>0</v>
      </c>
      <c r="M27" s="14">
        <v>0</v>
      </c>
      <c r="N27" s="14">
        <v>0</v>
      </c>
      <c r="O27" s="13">
        <v>681</v>
      </c>
      <c r="P27" s="14">
        <v>681</v>
      </c>
      <c r="Q27" s="14">
        <v>0</v>
      </c>
      <c r="R27" s="14">
        <v>0</v>
      </c>
      <c r="S27" s="14">
        <v>0</v>
      </c>
      <c r="T27" s="13">
        <f>U27+V27+W27+X27</f>
        <v>660</v>
      </c>
      <c r="U27" s="14">
        <v>660</v>
      </c>
      <c r="V27" s="14">
        <v>0</v>
      </c>
      <c r="W27" s="14">
        <v>0</v>
      </c>
      <c r="X27" s="14">
        <v>0</v>
      </c>
      <c r="Y27" s="13">
        <f>Z27+AA27+AB27+AC27</f>
        <v>660</v>
      </c>
      <c r="Z27" s="14">
        <v>660</v>
      </c>
      <c r="AA27" s="14">
        <v>0</v>
      </c>
      <c r="AB27" s="14">
        <v>0</v>
      </c>
      <c r="AC27" s="14">
        <v>0</v>
      </c>
      <c r="AD27" s="13">
        <f>E27+J27+O27+T27+Y27</f>
        <v>3363</v>
      </c>
    </row>
    <row r="28" spans="1:31" ht="101.25" customHeight="1">
      <c r="A28" s="12" t="s">
        <v>151</v>
      </c>
      <c r="B28" s="3" t="s">
        <v>189</v>
      </c>
      <c r="C28" s="537"/>
      <c r="D28" s="70" t="s">
        <v>93</v>
      </c>
      <c r="E28" s="29">
        <f>F28+G28+H28+I28</f>
        <v>1192</v>
      </c>
      <c r="F28" s="30">
        <f>1192</f>
        <v>1192</v>
      </c>
      <c r="G28" s="30">
        <v>0</v>
      </c>
      <c r="H28" s="30">
        <v>0</v>
      </c>
      <c r="I28" s="30">
        <v>0</v>
      </c>
      <c r="J28" s="13">
        <v>1192</v>
      </c>
      <c r="K28" s="14">
        <v>1192</v>
      </c>
      <c r="L28" s="14">
        <v>0</v>
      </c>
      <c r="M28" s="14">
        <v>0</v>
      </c>
      <c r="N28" s="14">
        <v>0</v>
      </c>
      <c r="O28" s="13">
        <v>1192</v>
      </c>
      <c r="P28" s="14">
        <v>1192</v>
      </c>
      <c r="Q28" s="14">
        <v>0</v>
      </c>
      <c r="R28" s="14">
        <v>0</v>
      </c>
      <c r="S28" s="14">
        <v>0</v>
      </c>
      <c r="T28" s="13">
        <f>U28+V28+W28+X28</f>
        <v>1290</v>
      </c>
      <c r="U28" s="14">
        <v>1290</v>
      </c>
      <c r="V28" s="14">
        <v>0</v>
      </c>
      <c r="W28" s="14">
        <v>0</v>
      </c>
      <c r="X28" s="14">
        <v>0</v>
      </c>
      <c r="Y28" s="13">
        <f>Z28+AA28+AB28+AC28</f>
        <v>1290</v>
      </c>
      <c r="Z28" s="14">
        <v>1290</v>
      </c>
      <c r="AA28" s="14">
        <v>0</v>
      </c>
      <c r="AB28" s="14">
        <v>0</v>
      </c>
      <c r="AC28" s="14">
        <v>0</v>
      </c>
      <c r="AD28" s="13">
        <f>E28+J28+O28+T28+Y28</f>
        <v>6156</v>
      </c>
    </row>
    <row r="29" spans="1:31" ht="32.25" customHeight="1">
      <c r="A29" s="519" t="s">
        <v>25</v>
      </c>
      <c r="B29" s="519"/>
      <c r="C29" s="519"/>
      <c r="D29" s="69"/>
      <c r="E29" s="108">
        <f>SUM(E27:E28)</f>
        <v>1873</v>
      </c>
      <c r="F29" s="85">
        <f>SUM(F27:F28)</f>
        <v>1873</v>
      </c>
      <c r="G29" s="85">
        <f t="shared" ref="G29:AD29" si="5">SUM(G27:G28)</f>
        <v>0</v>
      </c>
      <c r="H29" s="85">
        <f t="shared" si="5"/>
        <v>0</v>
      </c>
      <c r="I29" s="85">
        <f t="shared" si="5"/>
        <v>0</v>
      </c>
      <c r="J29" s="31">
        <f t="shared" si="5"/>
        <v>1873</v>
      </c>
      <c r="K29" s="15">
        <f t="shared" si="5"/>
        <v>1873</v>
      </c>
      <c r="L29" s="15">
        <f t="shared" si="5"/>
        <v>0</v>
      </c>
      <c r="M29" s="15">
        <f t="shared" si="5"/>
        <v>0</v>
      </c>
      <c r="N29" s="15">
        <f t="shared" si="5"/>
        <v>0</v>
      </c>
      <c r="O29" s="31">
        <f t="shared" si="5"/>
        <v>1873</v>
      </c>
      <c r="P29" s="15">
        <f t="shared" si="5"/>
        <v>1873</v>
      </c>
      <c r="Q29" s="15">
        <f t="shared" si="5"/>
        <v>0</v>
      </c>
      <c r="R29" s="15">
        <f t="shared" si="5"/>
        <v>0</v>
      </c>
      <c r="S29" s="15">
        <f t="shared" si="5"/>
        <v>0</v>
      </c>
      <c r="T29" s="31">
        <f t="shared" si="5"/>
        <v>1950</v>
      </c>
      <c r="U29" s="15">
        <f t="shared" si="5"/>
        <v>1950</v>
      </c>
      <c r="V29" s="15">
        <f t="shared" si="5"/>
        <v>0</v>
      </c>
      <c r="W29" s="15">
        <f t="shared" si="5"/>
        <v>0</v>
      </c>
      <c r="X29" s="15">
        <f t="shared" si="5"/>
        <v>0</v>
      </c>
      <c r="Y29" s="31">
        <f t="shared" si="5"/>
        <v>1950</v>
      </c>
      <c r="Z29" s="15">
        <f t="shared" si="5"/>
        <v>1950</v>
      </c>
      <c r="AA29" s="15">
        <f t="shared" si="5"/>
        <v>0</v>
      </c>
      <c r="AB29" s="15">
        <f t="shared" si="5"/>
        <v>0</v>
      </c>
      <c r="AC29" s="15">
        <f t="shared" si="5"/>
        <v>0</v>
      </c>
      <c r="AD29" s="31">
        <f t="shared" si="5"/>
        <v>9519</v>
      </c>
    </row>
    <row r="30" spans="1:31" ht="28.5" customHeight="1">
      <c r="A30" s="25" t="s">
        <v>26</v>
      </c>
      <c r="B30" s="529" t="s">
        <v>136</v>
      </c>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1"/>
    </row>
    <row r="31" spans="1:31" ht="32.25" customHeight="1">
      <c r="A31" s="12" t="s">
        <v>27</v>
      </c>
      <c r="B31" s="5" t="s">
        <v>68</v>
      </c>
      <c r="C31" s="534" t="s">
        <v>94</v>
      </c>
      <c r="D31" s="70" t="s">
        <v>93</v>
      </c>
      <c r="E31" s="13">
        <f xml:space="preserve"> SUM(F31:I31)</f>
        <v>3306</v>
      </c>
      <c r="F31" s="14">
        <f>SUM(F32:F35)</f>
        <v>3306</v>
      </c>
      <c r="G31" s="14">
        <f>SUM(G32,G33,G34,G35)</f>
        <v>0</v>
      </c>
      <c r="H31" s="14">
        <f>SUM(H32,H33,H34,H35)</f>
        <v>0</v>
      </c>
      <c r="I31" s="14">
        <f>SUM(I32,I33,I34,I35)</f>
        <v>0</v>
      </c>
      <c r="J31" s="13">
        <f xml:space="preserve"> SUM(K31:N31)</f>
        <v>3306</v>
      </c>
      <c r="K31" s="14">
        <f>SUM(K32:K35)</f>
        <v>3306</v>
      </c>
      <c r="L31" s="14">
        <f>SUM(L32,L33,L34,L35)</f>
        <v>0</v>
      </c>
      <c r="M31" s="14">
        <f>SUM(M32,M33,M34,M35)</f>
        <v>0</v>
      </c>
      <c r="N31" s="14">
        <f>SUM(N32,N33,N34,N35)</f>
        <v>0</v>
      </c>
      <c r="O31" s="13">
        <f xml:space="preserve"> SUM(P31:S31)</f>
        <v>3306</v>
      </c>
      <c r="P31" s="14">
        <f>SUM(P32:P35)</f>
        <v>3306</v>
      </c>
      <c r="Q31" s="14">
        <f>SUM(Q32,Q33,Q34,Q35)</f>
        <v>0</v>
      </c>
      <c r="R31" s="14">
        <f>SUM(R32,R33,R34,R35)</f>
        <v>0</v>
      </c>
      <c r="S31" s="14">
        <f>SUM(S32,S33,S34,S35)</f>
        <v>0</v>
      </c>
      <c r="T31" s="13">
        <f xml:space="preserve"> SUM(U31:X31)</f>
        <v>3306</v>
      </c>
      <c r="U31" s="14">
        <f>SUM(U32:U35)</f>
        <v>3306</v>
      </c>
      <c r="V31" s="14">
        <f>SUM(V32,V33,V34,V35)</f>
        <v>0</v>
      </c>
      <c r="W31" s="14">
        <f>SUM(W32,W33,W34,W35)</f>
        <v>0</v>
      </c>
      <c r="X31" s="14">
        <f>SUM(X32,X33,X34,X35)</f>
        <v>0</v>
      </c>
      <c r="Y31" s="13">
        <f xml:space="preserve"> SUM(Z31:AC31)</f>
        <v>3306</v>
      </c>
      <c r="Z31" s="14">
        <f>SUM(Z32:Z35)</f>
        <v>3306</v>
      </c>
      <c r="AA31" s="14">
        <f>SUM(AA32,AA33,AA34,AA35)</f>
        <v>0</v>
      </c>
      <c r="AB31" s="14">
        <f>SUM(AB32,AB33,AB34,AB35)</f>
        <v>0</v>
      </c>
      <c r="AC31" s="14">
        <f>SUM(AC32,AC33,AC34,AC35)</f>
        <v>0</v>
      </c>
      <c r="AD31" s="13">
        <f t="shared" ref="AD31:AD48" si="6">E31+J31+O31+T31+Y31</f>
        <v>16530</v>
      </c>
    </row>
    <row r="32" spans="1:31" ht="67.5" customHeight="1">
      <c r="A32" s="17" t="s">
        <v>28</v>
      </c>
      <c r="B32" s="3" t="s">
        <v>174</v>
      </c>
      <c r="C32" s="534"/>
      <c r="D32" s="70" t="s">
        <v>93</v>
      </c>
      <c r="E32" s="13">
        <f>F32+G32+H32+I32</f>
        <v>124</v>
      </c>
      <c r="F32" s="14">
        <v>124</v>
      </c>
      <c r="G32" s="14">
        <v>0</v>
      </c>
      <c r="H32" s="14">
        <v>0</v>
      </c>
      <c r="I32" s="14">
        <v>0</v>
      </c>
      <c r="J32" s="13">
        <f>K32+L32+M32+N32</f>
        <v>124</v>
      </c>
      <c r="K32" s="14">
        <v>124</v>
      </c>
      <c r="L32" s="14">
        <v>0</v>
      </c>
      <c r="M32" s="14">
        <v>0</v>
      </c>
      <c r="N32" s="14">
        <v>0</v>
      </c>
      <c r="O32" s="13">
        <f>P32+Q32+R32+S32</f>
        <v>124</v>
      </c>
      <c r="P32" s="14">
        <v>124</v>
      </c>
      <c r="Q32" s="14">
        <v>0</v>
      </c>
      <c r="R32" s="14">
        <v>0</v>
      </c>
      <c r="S32" s="14">
        <v>0</v>
      </c>
      <c r="T32" s="13">
        <f>U32+V32+W32+X32</f>
        <v>124</v>
      </c>
      <c r="U32" s="14">
        <v>124</v>
      </c>
      <c r="V32" s="14">
        <v>0</v>
      </c>
      <c r="W32" s="14">
        <v>0</v>
      </c>
      <c r="X32" s="14">
        <v>0</v>
      </c>
      <c r="Y32" s="13">
        <f>Z32+AA32+AB32+AC32</f>
        <v>124</v>
      </c>
      <c r="Z32" s="14">
        <v>124</v>
      </c>
      <c r="AA32" s="14">
        <v>0</v>
      </c>
      <c r="AB32" s="14">
        <v>0</v>
      </c>
      <c r="AC32" s="14">
        <v>0</v>
      </c>
      <c r="AD32" s="13">
        <f t="shared" si="6"/>
        <v>620</v>
      </c>
    </row>
    <row r="33" spans="1:31" ht="50.25" customHeight="1">
      <c r="A33" s="17" t="s">
        <v>29</v>
      </c>
      <c r="B33" s="3" t="s">
        <v>175</v>
      </c>
      <c r="C33" s="534"/>
      <c r="D33" s="70" t="s">
        <v>93</v>
      </c>
      <c r="E33" s="13">
        <f t="shared" ref="E33:E46" si="7">F33+G33+H33+I33</f>
        <v>2147</v>
      </c>
      <c r="F33" s="14">
        <v>2147</v>
      </c>
      <c r="G33" s="14">
        <v>0</v>
      </c>
      <c r="H33" s="14">
        <v>0</v>
      </c>
      <c r="I33" s="14">
        <v>0</v>
      </c>
      <c r="J33" s="13">
        <f>K33+L33+M33+N33</f>
        <v>2147</v>
      </c>
      <c r="K33" s="14">
        <v>2147</v>
      </c>
      <c r="L33" s="14">
        <v>0</v>
      </c>
      <c r="M33" s="14">
        <v>0</v>
      </c>
      <c r="N33" s="14">
        <v>0</v>
      </c>
      <c r="O33" s="13">
        <f>P33+Q33+R33+S33</f>
        <v>2147</v>
      </c>
      <c r="P33" s="14">
        <v>2147</v>
      </c>
      <c r="Q33" s="14">
        <v>0</v>
      </c>
      <c r="R33" s="14">
        <v>0</v>
      </c>
      <c r="S33" s="14">
        <v>0</v>
      </c>
      <c r="T33" s="13">
        <f>U33+V33+W33+X33</f>
        <v>2147</v>
      </c>
      <c r="U33" s="14">
        <v>2147</v>
      </c>
      <c r="V33" s="14">
        <v>0</v>
      </c>
      <c r="W33" s="14">
        <v>0</v>
      </c>
      <c r="X33" s="14">
        <v>0</v>
      </c>
      <c r="Y33" s="13">
        <f>Z33+AA33+AB33+AC33</f>
        <v>2147</v>
      </c>
      <c r="Z33" s="14">
        <v>2147</v>
      </c>
      <c r="AA33" s="14">
        <v>0</v>
      </c>
      <c r="AB33" s="14">
        <v>0</v>
      </c>
      <c r="AC33" s="14">
        <v>0</v>
      </c>
      <c r="AD33" s="13">
        <f t="shared" si="6"/>
        <v>10735</v>
      </c>
    </row>
    <row r="34" spans="1:31" ht="35.25" customHeight="1">
      <c r="A34" s="17" t="s">
        <v>30</v>
      </c>
      <c r="B34" s="3" t="s">
        <v>69</v>
      </c>
      <c r="C34" s="534"/>
      <c r="D34" s="70" t="s">
        <v>93</v>
      </c>
      <c r="E34" s="13">
        <f t="shared" si="7"/>
        <v>921</v>
      </c>
      <c r="F34" s="14">
        <v>921</v>
      </c>
      <c r="G34" s="14">
        <v>0</v>
      </c>
      <c r="H34" s="14">
        <v>0</v>
      </c>
      <c r="I34" s="14">
        <v>0</v>
      </c>
      <c r="J34" s="13">
        <f>K34+L34+M34+N34</f>
        <v>921</v>
      </c>
      <c r="K34" s="14">
        <v>921</v>
      </c>
      <c r="L34" s="14">
        <v>0</v>
      </c>
      <c r="M34" s="14">
        <v>0</v>
      </c>
      <c r="N34" s="14">
        <v>0</v>
      </c>
      <c r="O34" s="13">
        <f>P34+Q34+R34+S34</f>
        <v>921</v>
      </c>
      <c r="P34" s="14">
        <v>921</v>
      </c>
      <c r="Q34" s="14">
        <v>0</v>
      </c>
      <c r="R34" s="14">
        <v>0</v>
      </c>
      <c r="S34" s="14">
        <v>0</v>
      </c>
      <c r="T34" s="13">
        <f>U34+V34+W34+X34</f>
        <v>921</v>
      </c>
      <c r="U34" s="14">
        <v>921</v>
      </c>
      <c r="V34" s="14">
        <v>0</v>
      </c>
      <c r="W34" s="14">
        <v>0</v>
      </c>
      <c r="X34" s="14">
        <v>0</v>
      </c>
      <c r="Y34" s="13">
        <f>Z34+AA34+AB34+AC34</f>
        <v>921</v>
      </c>
      <c r="Z34" s="14">
        <v>921</v>
      </c>
      <c r="AA34" s="14">
        <v>0</v>
      </c>
      <c r="AB34" s="14">
        <v>0</v>
      </c>
      <c r="AC34" s="14">
        <v>0</v>
      </c>
      <c r="AD34" s="13">
        <f t="shared" si="6"/>
        <v>4605</v>
      </c>
    </row>
    <row r="35" spans="1:31" ht="34.5" customHeight="1">
      <c r="A35" s="17" t="s">
        <v>31</v>
      </c>
      <c r="B35" s="3" t="s">
        <v>70</v>
      </c>
      <c r="C35" s="534"/>
      <c r="D35" s="70" t="s">
        <v>93</v>
      </c>
      <c r="E35" s="13">
        <f t="shared" si="7"/>
        <v>114</v>
      </c>
      <c r="F35" s="14">
        <v>114</v>
      </c>
      <c r="G35" s="14">
        <v>0</v>
      </c>
      <c r="H35" s="14">
        <v>0</v>
      </c>
      <c r="I35" s="14">
        <v>0</v>
      </c>
      <c r="J35" s="13">
        <f>K35+L35+M35+N35</f>
        <v>114</v>
      </c>
      <c r="K35" s="14">
        <v>114</v>
      </c>
      <c r="L35" s="14">
        <v>0</v>
      </c>
      <c r="M35" s="14">
        <v>0</v>
      </c>
      <c r="N35" s="14">
        <v>0</v>
      </c>
      <c r="O35" s="13">
        <f>P35+Q35+R35+S35</f>
        <v>114</v>
      </c>
      <c r="P35" s="14">
        <v>114</v>
      </c>
      <c r="Q35" s="14">
        <v>0</v>
      </c>
      <c r="R35" s="14">
        <v>0</v>
      </c>
      <c r="S35" s="14">
        <v>0</v>
      </c>
      <c r="T35" s="13">
        <f>U35+V35+W35+X35</f>
        <v>114</v>
      </c>
      <c r="U35" s="14">
        <v>114</v>
      </c>
      <c r="V35" s="14">
        <v>0</v>
      </c>
      <c r="W35" s="14">
        <v>0</v>
      </c>
      <c r="X35" s="14">
        <v>0</v>
      </c>
      <c r="Y35" s="13">
        <f>Z35+AA35+AB35+AC35</f>
        <v>114</v>
      </c>
      <c r="Z35" s="14">
        <v>114</v>
      </c>
      <c r="AA35" s="14">
        <v>0</v>
      </c>
      <c r="AB35" s="14">
        <v>0</v>
      </c>
      <c r="AC35" s="14">
        <v>0</v>
      </c>
      <c r="AD35" s="13">
        <f t="shared" si="6"/>
        <v>570</v>
      </c>
    </row>
    <row r="36" spans="1:31" ht="227.25" customHeight="1">
      <c r="A36" s="12" t="s">
        <v>32</v>
      </c>
      <c r="B36" s="3" t="s">
        <v>76</v>
      </c>
      <c r="C36" s="73" t="s">
        <v>94</v>
      </c>
      <c r="D36" s="70" t="s">
        <v>93</v>
      </c>
      <c r="E36" s="13">
        <f t="shared" si="7"/>
        <v>9</v>
      </c>
      <c r="F36" s="14">
        <v>9</v>
      </c>
      <c r="G36" s="14">
        <v>0</v>
      </c>
      <c r="H36" s="14">
        <v>0</v>
      </c>
      <c r="I36" s="14">
        <v>0</v>
      </c>
      <c r="J36" s="13">
        <f t="shared" ref="J36:J46" si="8">K36+L36+M36+N36</f>
        <v>9</v>
      </c>
      <c r="K36" s="14">
        <v>9</v>
      </c>
      <c r="L36" s="14">
        <v>0</v>
      </c>
      <c r="M36" s="14">
        <v>0</v>
      </c>
      <c r="N36" s="14">
        <v>0</v>
      </c>
      <c r="O36" s="13">
        <f t="shared" ref="O36:O46" si="9">P36+Q36+R36+S36</f>
        <v>9</v>
      </c>
      <c r="P36" s="14">
        <v>9</v>
      </c>
      <c r="Q36" s="14">
        <v>0</v>
      </c>
      <c r="R36" s="14">
        <v>0</v>
      </c>
      <c r="S36" s="14">
        <v>0</v>
      </c>
      <c r="T36" s="13">
        <f t="shared" ref="T36:T46" si="10">U36+V36+W36+X36</f>
        <v>9</v>
      </c>
      <c r="U36" s="14">
        <v>9</v>
      </c>
      <c r="V36" s="14">
        <v>0</v>
      </c>
      <c r="W36" s="14">
        <v>0</v>
      </c>
      <c r="X36" s="14">
        <v>0</v>
      </c>
      <c r="Y36" s="13">
        <f t="shared" ref="Y36:Y46" si="11">Z36+AA36+AB36+AC36</f>
        <v>9</v>
      </c>
      <c r="Z36" s="14">
        <v>9</v>
      </c>
      <c r="AA36" s="14">
        <v>0</v>
      </c>
      <c r="AB36" s="14">
        <v>0</v>
      </c>
      <c r="AC36" s="14">
        <v>0</v>
      </c>
      <c r="AD36" s="13">
        <f t="shared" si="6"/>
        <v>45</v>
      </c>
    </row>
    <row r="37" spans="1:31" ht="100.5" customHeight="1">
      <c r="A37" s="12" t="s">
        <v>33</v>
      </c>
      <c r="B37" s="3" t="s">
        <v>71</v>
      </c>
      <c r="C37" s="70" t="s">
        <v>94</v>
      </c>
      <c r="D37" s="70" t="s">
        <v>93</v>
      </c>
      <c r="E37" s="13">
        <f t="shared" si="7"/>
        <v>426</v>
      </c>
      <c r="F37" s="14">
        <v>426</v>
      </c>
      <c r="G37" s="14">
        <v>0</v>
      </c>
      <c r="H37" s="14">
        <v>0</v>
      </c>
      <c r="I37" s="14">
        <v>0</v>
      </c>
      <c r="J37" s="13">
        <f t="shared" si="8"/>
        <v>426</v>
      </c>
      <c r="K37" s="14">
        <v>426</v>
      </c>
      <c r="L37" s="14">
        <v>0</v>
      </c>
      <c r="M37" s="14">
        <v>0</v>
      </c>
      <c r="N37" s="14">
        <v>0</v>
      </c>
      <c r="O37" s="13">
        <f t="shared" si="9"/>
        <v>426</v>
      </c>
      <c r="P37" s="14">
        <v>426</v>
      </c>
      <c r="Q37" s="14">
        <v>0</v>
      </c>
      <c r="R37" s="14">
        <v>0</v>
      </c>
      <c r="S37" s="14">
        <v>0</v>
      </c>
      <c r="T37" s="13">
        <f t="shared" si="10"/>
        <v>426</v>
      </c>
      <c r="U37" s="14">
        <v>426</v>
      </c>
      <c r="V37" s="14">
        <v>0</v>
      </c>
      <c r="W37" s="14">
        <v>0</v>
      </c>
      <c r="X37" s="14">
        <v>0</v>
      </c>
      <c r="Y37" s="13">
        <f t="shared" si="11"/>
        <v>426</v>
      </c>
      <c r="Z37" s="14">
        <v>426</v>
      </c>
      <c r="AA37" s="14">
        <v>0</v>
      </c>
      <c r="AB37" s="14">
        <v>0</v>
      </c>
      <c r="AC37" s="14">
        <v>0</v>
      </c>
      <c r="AD37" s="13">
        <f t="shared" si="6"/>
        <v>2130</v>
      </c>
    </row>
    <row r="38" spans="1:31" ht="81" customHeight="1">
      <c r="A38" s="12" t="s">
        <v>34</v>
      </c>
      <c r="B38" s="3" t="s">
        <v>110</v>
      </c>
      <c r="C38" s="520" t="s">
        <v>105</v>
      </c>
      <c r="D38" s="70" t="s">
        <v>93</v>
      </c>
      <c r="E38" s="13">
        <f t="shared" si="7"/>
        <v>3304</v>
      </c>
      <c r="F38" s="14">
        <v>3304</v>
      </c>
      <c r="G38" s="14">
        <v>0</v>
      </c>
      <c r="H38" s="14">
        <v>0</v>
      </c>
      <c r="I38" s="14">
        <v>0</v>
      </c>
      <c r="J38" s="13">
        <f t="shared" si="8"/>
        <v>3304</v>
      </c>
      <c r="K38" s="14">
        <v>3304</v>
      </c>
      <c r="L38" s="14">
        <v>0</v>
      </c>
      <c r="M38" s="14">
        <v>0</v>
      </c>
      <c r="N38" s="14">
        <v>0</v>
      </c>
      <c r="O38" s="13">
        <f t="shared" si="9"/>
        <v>3304</v>
      </c>
      <c r="P38" s="14">
        <v>3304</v>
      </c>
      <c r="Q38" s="14">
        <v>0</v>
      </c>
      <c r="R38" s="14">
        <v>0</v>
      </c>
      <c r="S38" s="14">
        <v>0</v>
      </c>
      <c r="T38" s="13">
        <f t="shared" si="10"/>
        <v>3304</v>
      </c>
      <c r="U38" s="14">
        <v>3304</v>
      </c>
      <c r="V38" s="14">
        <v>0</v>
      </c>
      <c r="W38" s="14">
        <v>0</v>
      </c>
      <c r="X38" s="14">
        <v>0</v>
      </c>
      <c r="Y38" s="13">
        <f t="shared" si="11"/>
        <v>3304</v>
      </c>
      <c r="Z38" s="14">
        <v>3304</v>
      </c>
      <c r="AA38" s="14">
        <v>0</v>
      </c>
      <c r="AB38" s="14">
        <v>0</v>
      </c>
      <c r="AC38" s="14">
        <v>0</v>
      </c>
      <c r="AD38" s="13">
        <f t="shared" si="6"/>
        <v>16520</v>
      </c>
    </row>
    <row r="39" spans="1:31" ht="113.25" customHeight="1">
      <c r="A39" s="12" t="s">
        <v>35</v>
      </c>
      <c r="B39" s="3" t="s">
        <v>191</v>
      </c>
      <c r="C39" s="522"/>
      <c r="D39" s="70" t="s">
        <v>93</v>
      </c>
      <c r="E39" s="13">
        <f t="shared" si="7"/>
        <v>378</v>
      </c>
      <c r="F39" s="14">
        <v>378</v>
      </c>
      <c r="G39" s="14">
        <v>0</v>
      </c>
      <c r="H39" s="14">
        <v>0</v>
      </c>
      <c r="I39" s="14">
        <v>0</v>
      </c>
      <c r="J39" s="13">
        <f t="shared" si="8"/>
        <v>378</v>
      </c>
      <c r="K39" s="14">
        <v>378</v>
      </c>
      <c r="L39" s="14">
        <v>0</v>
      </c>
      <c r="M39" s="14">
        <v>0</v>
      </c>
      <c r="N39" s="14">
        <v>0</v>
      </c>
      <c r="O39" s="13">
        <f t="shared" si="9"/>
        <v>378</v>
      </c>
      <c r="P39" s="14">
        <v>378</v>
      </c>
      <c r="Q39" s="14">
        <v>0</v>
      </c>
      <c r="R39" s="14">
        <v>0</v>
      </c>
      <c r="S39" s="14">
        <v>0</v>
      </c>
      <c r="T39" s="13">
        <f t="shared" si="10"/>
        <v>378</v>
      </c>
      <c r="U39" s="14">
        <v>378</v>
      </c>
      <c r="V39" s="14">
        <v>0</v>
      </c>
      <c r="W39" s="14">
        <v>0</v>
      </c>
      <c r="X39" s="14">
        <v>0</v>
      </c>
      <c r="Y39" s="13">
        <f t="shared" si="11"/>
        <v>378</v>
      </c>
      <c r="Z39" s="14">
        <v>378</v>
      </c>
      <c r="AA39" s="14">
        <v>0</v>
      </c>
      <c r="AB39" s="14">
        <v>0</v>
      </c>
      <c r="AC39" s="14">
        <v>0</v>
      </c>
      <c r="AD39" s="13">
        <f t="shared" si="6"/>
        <v>1890</v>
      </c>
    </row>
    <row r="40" spans="1:31" ht="132.75" customHeight="1">
      <c r="A40" s="12" t="s">
        <v>36</v>
      </c>
      <c r="B40" s="3" t="s">
        <v>77</v>
      </c>
      <c r="C40" s="73" t="s">
        <v>94</v>
      </c>
      <c r="D40" s="70" t="s">
        <v>93</v>
      </c>
      <c r="E40" s="13">
        <f t="shared" si="7"/>
        <v>12</v>
      </c>
      <c r="F40" s="14">
        <v>12</v>
      </c>
      <c r="G40" s="14">
        <v>0</v>
      </c>
      <c r="H40" s="14">
        <v>0</v>
      </c>
      <c r="I40" s="14">
        <v>0</v>
      </c>
      <c r="J40" s="13">
        <f t="shared" si="8"/>
        <v>12</v>
      </c>
      <c r="K40" s="14">
        <v>12</v>
      </c>
      <c r="L40" s="14">
        <v>0</v>
      </c>
      <c r="M40" s="14">
        <v>0</v>
      </c>
      <c r="N40" s="14">
        <v>0</v>
      </c>
      <c r="O40" s="13">
        <f t="shared" si="9"/>
        <v>12</v>
      </c>
      <c r="P40" s="14">
        <v>12</v>
      </c>
      <c r="Q40" s="14">
        <v>0</v>
      </c>
      <c r="R40" s="14">
        <v>0</v>
      </c>
      <c r="S40" s="14">
        <v>0</v>
      </c>
      <c r="T40" s="13">
        <f t="shared" si="10"/>
        <v>12</v>
      </c>
      <c r="U40" s="14">
        <v>12</v>
      </c>
      <c r="V40" s="14">
        <v>0</v>
      </c>
      <c r="W40" s="14">
        <v>0</v>
      </c>
      <c r="X40" s="14">
        <v>0</v>
      </c>
      <c r="Y40" s="13">
        <f t="shared" si="11"/>
        <v>12</v>
      </c>
      <c r="Z40" s="14">
        <v>12</v>
      </c>
      <c r="AA40" s="14">
        <v>0</v>
      </c>
      <c r="AB40" s="14">
        <v>0</v>
      </c>
      <c r="AC40" s="14">
        <v>0</v>
      </c>
      <c r="AD40" s="13">
        <f t="shared" si="6"/>
        <v>60</v>
      </c>
    </row>
    <row r="41" spans="1:31" ht="46.5" customHeight="1">
      <c r="A41" s="12" t="s">
        <v>37</v>
      </c>
      <c r="B41" s="3" t="s">
        <v>119</v>
      </c>
      <c r="C41" s="535" t="s">
        <v>105</v>
      </c>
      <c r="D41" s="70" t="s">
        <v>93</v>
      </c>
      <c r="E41" s="13">
        <f t="shared" si="7"/>
        <v>50</v>
      </c>
      <c r="F41" s="14">
        <v>50</v>
      </c>
      <c r="G41" s="14">
        <v>0</v>
      </c>
      <c r="H41" s="14">
        <v>0</v>
      </c>
      <c r="I41" s="14">
        <v>0</v>
      </c>
      <c r="J41" s="13">
        <f t="shared" si="8"/>
        <v>50</v>
      </c>
      <c r="K41" s="14">
        <v>50</v>
      </c>
      <c r="L41" s="14">
        <v>0</v>
      </c>
      <c r="M41" s="14">
        <v>0</v>
      </c>
      <c r="N41" s="14">
        <v>0</v>
      </c>
      <c r="O41" s="13">
        <f t="shared" si="9"/>
        <v>50</v>
      </c>
      <c r="P41" s="14">
        <v>50</v>
      </c>
      <c r="Q41" s="14">
        <v>0</v>
      </c>
      <c r="R41" s="14">
        <v>0</v>
      </c>
      <c r="S41" s="14">
        <v>0</v>
      </c>
      <c r="T41" s="13">
        <f t="shared" si="10"/>
        <v>50</v>
      </c>
      <c r="U41" s="14">
        <v>50</v>
      </c>
      <c r="V41" s="14">
        <v>0</v>
      </c>
      <c r="W41" s="14">
        <v>0</v>
      </c>
      <c r="X41" s="14">
        <v>0</v>
      </c>
      <c r="Y41" s="13">
        <f t="shared" si="11"/>
        <v>50</v>
      </c>
      <c r="Z41" s="14">
        <v>50</v>
      </c>
      <c r="AA41" s="14">
        <v>0</v>
      </c>
      <c r="AB41" s="14">
        <v>0</v>
      </c>
      <c r="AC41" s="14">
        <v>0</v>
      </c>
      <c r="AD41" s="13">
        <f t="shared" si="6"/>
        <v>250</v>
      </c>
    </row>
    <row r="42" spans="1:31" ht="126" customHeight="1">
      <c r="A42" s="12" t="s">
        <v>38</v>
      </c>
      <c r="B42" s="3" t="s">
        <v>111</v>
      </c>
      <c r="C42" s="536"/>
      <c r="D42" s="70" t="s">
        <v>93</v>
      </c>
      <c r="E42" s="13">
        <f t="shared" si="7"/>
        <v>50</v>
      </c>
      <c r="F42" s="14">
        <v>50</v>
      </c>
      <c r="G42" s="14">
        <v>0</v>
      </c>
      <c r="H42" s="14">
        <v>0</v>
      </c>
      <c r="I42" s="14">
        <v>0</v>
      </c>
      <c r="J42" s="13">
        <f t="shared" si="8"/>
        <v>50</v>
      </c>
      <c r="K42" s="14">
        <v>50</v>
      </c>
      <c r="L42" s="14">
        <v>0</v>
      </c>
      <c r="M42" s="14">
        <v>0</v>
      </c>
      <c r="N42" s="14">
        <v>0</v>
      </c>
      <c r="O42" s="13">
        <f t="shared" si="9"/>
        <v>50</v>
      </c>
      <c r="P42" s="14">
        <v>50</v>
      </c>
      <c r="Q42" s="14">
        <v>0</v>
      </c>
      <c r="R42" s="14">
        <v>0</v>
      </c>
      <c r="S42" s="14">
        <v>0</v>
      </c>
      <c r="T42" s="13">
        <f t="shared" si="10"/>
        <v>50</v>
      </c>
      <c r="U42" s="14">
        <v>50</v>
      </c>
      <c r="V42" s="14">
        <v>0</v>
      </c>
      <c r="W42" s="14">
        <v>0</v>
      </c>
      <c r="X42" s="14">
        <v>0</v>
      </c>
      <c r="Y42" s="13">
        <f t="shared" si="11"/>
        <v>50</v>
      </c>
      <c r="Z42" s="14">
        <v>50</v>
      </c>
      <c r="AA42" s="14">
        <v>0</v>
      </c>
      <c r="AB42" s="14">
        <v>0</v>
      </c>
      <c r="AC42" s="14">
        <v>0</v>
      </c>
      <c r="AD42" s="13">
        <f t="shared" si="6"/>
        <v>250</v>
      </c>
    </row>
    <row r="43" spans="1:31" ht="135" customHeight="1">
      <c r="A43" s="12" t="s">
        <v>39</v>
      </c>
      <c r="B43" s="3" t="s">
        <v>112</v>
      </c>
      <c r="C43" s="536"/>
      <c r="D43" s="70" t="s">
        <v>93</v>
      </c>
      <c r="E43" s="13">
        <f t="shared" si="7"/>
        <v>480</v>
      </c>
      <c r="F43" s="14">
        <v>480</v>
      </c>
      <c r="G43" s="14">
        <v>0</v>
      </c>
      <c r="H43" s="14">
        <v>0</v>
      </c>
      <c r="I43" s="14">
        <v>0</v>
      </c>
      <c r="J43" s="13">
        <f t="shared" si="8"/>
        <v>480</v>
      </c>
      <c r="K43" s="14">
        <v>480</v>
      </c>
      <c r="L43" s="14">
        <v>0</v>
      </c>
      <c r="M43" s="14">
        <v>0</v>
      </c>
      <c r="N43" s="14">
        <v>0</v>
      </c>
      <c r="O43" s="13">
        <f t="shared" si="9"/>
        <v>480</v>
      </c>
      <c r="P43" s="14">
        <v>480</v>
      </c>
      <c r="Q43" s="14">
        <v>0</v>
      </c>
      <c r="R43" s="14">
        <v>0</v>
      </c>
      <c r="S43" s="14">
        <v>0</v>
      </c>
      <c r="T43" s="13">
        <f t="shared" si="10"/>
        <v>480</v>
      </c>
      <c r="U43" s="14">
        <v>480</v>
      </c>
      <c r="V43" s="14">
        <v>0</v>
      </c>
      <c r="W43" s="14">
        <v>0</v>
      </c>
      <c r="X43" s="14">
        <v>0</v>
      </c>
      <c r="Y43" s="13">
        <f t="shared" si="11"/>
        <v>480</v>
      </c>
      <c r="Z43" s="14">
        <v>480</v>
      </c>
      <c r="AA43" s="14">
        <v>0</v>
      </c>
      <c r="AB43" s="14">
        <v>0</v>
      </c>
      <c r="AC43" s="14">
        <v>0</v>
      </c>
      <c r="AD43" s="13">
        <f t="shared" si="6"/>
        <v>2400</v>
      </c>
    </row>
    <row r="44" spans="1:31" ht="186" customHeight="1">
      <c r="A44" s="34" t="s">
        <v>40</v>
      </c>
      <c r="B44" s="3" t="s">
        <v>113</v>
      </c>
      <c r="C44" s="536"/>
      <c r="D44" s="70" t="s">
        <v>93</v>
      </c>
      <c r="E44" s="13">
        <f t="shared" si="7"/>
        <v>30</v>
      </c>
      <c r="F44" s="14">
        <v>30</v>
      </c>
      <c r="G44" s="14">
        <v>0</v>
      </c>
      <c r="H44" s="14">
        <v>0</v>
      </c>
      <c r="I44" s="14">
        <v>0</v>
      </c>
      <c r="J44" s="13">
        <f t="shared" si="8"/>
        <v>30</v>
      </c>
      <c r="K44" s="14">
        <v>30</v>
      </c>
      <c r="L44" s="14">
        <v>0</v>
      </c>
      <c r="M44" s="14">
        <v>0</v>
      </c>
      <c r="N44" s="14">
        <v>0</v>
      </c>
      <c r="O44" s="13">
        <f t="shared" si="9"/>
        <v>30</v>
      </c>
      <c r="P44" s="14">
        <v>30</v>
      </c>
      <c r="Q44" s="14">
        <v>0</v>
      </c>
      <c r="R44" s="14">
        <v>0</v>
      </c>
      <c r="S44" s="14">
        <v>0</v>
      </c>
      <c r="T44" s="13">
        <f t="shared" si="10"/>
        <v>30</v>
      </c>
      <c r="U44" s="14">
        <v>30</v>
      </c>
      <c r="V44" s="14">
        <v>0</v>
      </c>
      <c r="W44" s="14">
        <v>0</v>
      </c>
      <c r="X44" s="14">
        <v>0</v>
      </c>
      <c r="Y44" s="13">
        <f t="shared" si="11"/>
        <v>30</v>
      </c>
      <c r="Z44" s="14">
        <v>30</v>
      </c>
      <c r="AA44" s="14">
        <v>0</v>
      </c>
      <c r="AB44" s="14">
        <v>0</v>
      </c>
      <c r="AC44" s="14">
        <v>0</v>
      </c>
      <c r="AD44" s="13">
        <f t="shared" si="6"/>
        <v>150</v>
      </c>
    </row>
    <row r="45" spans="1:31" ht="159" customHeight="1">
      <c r="A45" s="12" t="s">
        <v>41</v>
      </c>
      <c r="B45" s="3" t="s">
        <v>114</v>
      </c>
      <c r="C45" s="537"/>
      <c r="D45" s="70" t="s">
        <v>93</v>
      </c>
      <c r="E45" s="13">
        <f t="shared" si="7"/>
        <v>50</v>
      </c>
      <c r="F45" s="14">
        <v>50</v>
      </c>
      <c r="G45" s="14">
        <v>0</v>
      </c>
      <c r="H45" s="14">
        <v>0</v>
      </c>
      <c r="I45" s="14">
        <v>0</v>
      </c>
      <c r="J45" s="13">
        <f t="shared" si="8"/>
        <v>50</v>
      </c>
      <c r="K45" s="14">
        <v>50</v>
      </c>
      <c r="L45" s="14">
        <v>0</v>
      </c>
      <c r="M45" s="14">
        <v>0</v>
      </c>
      <c r="N45" s="14">
        <v>0</v>
      </c>
      <c r="O45" s="13">
        <f t="shared" si="9"/>
        <v>50</v>
      </c>
      <c r="P45" s="14">
        <v>50</v>
      </c>
      <c r="Q45" s="14">
        <v>0</v>
      </c>
      <c r="R45" s="14">
        <v>0</v>
      </c>
      <c r="S45" s="14">
        <v>0</v>
      </c>
      <c r="T45" s="13">
        <f t="shared" si="10"/>
        <v>50</v>
      </c>
      <c r="U45" s="14">
        <v>50</v>
      </c>
      <c r="V45" s="14">
        <v>0</v>
      </c>
      <c r="W45" s="14">
        <v>0</v>
      </c>
      <c r="X45" s="14">
        <v>0</v>
      </c>
      <c r="Y45" s="13">
        <f t="shared" si="11"/>
        <v>50</v>
      </c>
      <c r="Z45" s="14">
        <v>50</v>
      </c>
      <c r="AA45" s="14">
        <v>0</v>
      </c>
      <c r="AB45" s="14">
        <v>0</v>
      </c>
      <c r="AC45" s="14">
        <v>0</v>
      </c>
      <c r="AD45" s="13">
        <f t="shared" si="6"/>
        <v>250</v>
      </c>
    </row>
    <row r="46" spans="1:31" ht="99" customHeight="1">
      <c r="A46" s="12" t="s">
        <v>42</v>
      </c>
      <c r="B46" s="3" t="s">
        <v>78</v>
      </c>
      <c r="C46" s="70" t="s">
        <v>18</v>
      </c>
      <c r="D46" s="70" t="s">
        <v>93</v>
      </c>
      <c r="E46" s="13">
        <f t="shared" si="7"/>
        <v>96</v>
      </c>
      <c r="F46" s="14">
        <v>96</v>
      </c>
      <c r="G46" s="14">
        <v>0</v>
      </c>
      <c r="H46" s="14">
        <v>0</v>
      </c>
      <c r="I46" s="14">
        <v>0</v>
      </c>
      <c r="J46" s="13">
        <f t="shared" si="8"/>
        <v>96</v>
      </c>
      <c r="K46" s="14">
        <v>96</v>
      </c>
      <c r="L46" s="14">
        <v>0</v>
      </c>
      <c r="M46" s="14">
        <v>0</v>
      </c>
      <c r="N46" s="14">
        <v>0</v>
      </c>
      <c r="O46" s="13">
        <f t="shared" si="9"/>
        <v>96</v>
      </c>
      <c r="P46" s="14">
        <v>96</v>
      </c>
      <c r="Q46" s="14">
        <v>0</v>
      </c>
      <c r="R46" s="14">
        <v>0</v>
      </c>
      <c r="S46" s="14">
        <v>0</v>
      </c>
      <c r="T46" s="13">
        <f t="shared" si="10"/>
        <v>96</v>
      </c>
      <c r="U46" s="14">
        <v>96</v>
      </c>
      <c r="V46" s="14">
        <v>0</v>
      </c>
      <c r="W46" s="14">
        <v>0</v>
      </c>
      <c r="X46" s="14">
        <v>0</v>
      </c>
      <c r="Y46" s="13">
        <f t="shared" si="11"/>
        <v>96</v>
      </c>
      <c r="Z46" s="14">
        <v>96</v>
      </c>
      <c r="AA46" s="14">
        <v>0</v>
      </c>
      <c r="AB46" s="14">
        <v>0</v>
      </c>
      <c r="AC46" s="14">
        <v>0</v>
      </c>
      <c r="AD46" s="13">
        <f t="shared" si="6"/>
        <v>480</v>
      </c>
    </row>
    <row r="47" spans="1:31" ht="145.5" customHeight="1">
      <c r="A47" s="12" t="s">
        <v>43</v>
      </c>
      <c r="B47" s="3" t="s">
        <v>145</v>
      </c>
      <c r="C47" s="70" t="s">
        <v>94</v>
      </c>
      <c r="D47" s="70" t="s">
        <v>93</v>
      </c>
      <c r="E47" s="29">
        <f>F47+G47+H47+I47</f>
        <v>28325</v>
      </c>
      <c r="F47" s="30">
        <f>6567-902</f>
        <v>5665</v>
      </c>
      <c r="G47" s="30">
        <f>26268-3608</f>
        <v>22660</v>
      </c>
      <c r="H47" s="21">
        <v>0</v>
      </c>
      <c r="I47" s="21">
        <v>0</v>
      </c>
      <c r="J47" s="13">
        <f>1848</f>
        <v>1848</v>
      </c>
      <c r="K47" s="14">
        <v>1848</v>
      </c>
      <c r="L47" s="14">
        <v>0</v>
      </c>
      <c r="M47" s="14">
        <v>0</v>
      </c>
      <c r="N47" s="14">
        <v>0</v>
      </c>
      <c r="O47" s="13">
        <v>1848</v>
      </c>
      <c r="P47" s="14">
        <v>1848</v>
      </c>
      <c r="Q47" s="14">
        <v>0</v>
      </c>
      <c r="R47" s="14">
        <v>0</v>
      </c>
      <c r="S47" s="14">
        <v>0</v>
      </c>
      <c r="T47" s="14">
        <v>2321</v>
      </c>
      <c r="U47" s="14">
        <v>2321</v>
      </c>
      <c r="V47" s="14">
        <v>0</v>
      </c>
      <c r="W47" s="14">
        <v>0</v>
      </c>
      <c r="X47" s="14">
        <v>0</v>
      </c>
      <c r="Y47" s="14">
        <v>2321</v>
      </c>
      <c r="Z47" s="14">
        <v>2321</v>
      </c>
      <c r="AA47" s="14">
        <v>0</v>
      </c>
      <c r="AB47" s="14">
        <v>0</v>
      </c>
      <c r="AC47" s="14">
        <v>0</v>
      </c>
      <c r="AD47" s="13">
        <f t="shared" si="6"/>
        <v>36663</v>
      </c>
      <c r="AE47" s="18"/>
    </row>
    <row r="48" spans="1:31" ht="85.5" customHeight="1">
      <c r="A48" s="64" t="s">
        <v>75</v>
      </c>
      <c r="B48" s="27" t="s">
        <v>87</v>
      </c>
      <c r="C48" s="71" t="s">
        <v>52</v>
      </c>
      <c r="D48" s="70" t="s">
        <v>93</v>
      </c>
      <c r="E48" s="13">
        <v>387</v>
      </c>
      <c r="F48" s="14">
        <v>387</v>
      </c>
      <c r="G48" s="14">
        <v>0</v>
      </c>
      <c r="H48" s="14">
        <v>0</v>
      </c>
      <c r="I48" s="14">
        <v>0</v>
      </c>
      <c r="J48" s="13">
        <v>387</v>
      </c>
      <c r="K48" s="14">
        <v>387</v>
      </c>
      <c r="L48" s="14">
        <v>0</v>
      </c>
      <c r="M48" s="14">
        <v>0</v>
      </c>
      <c r="N48" s="14">
        <v>0</v>
      </c>
      <c r="O48" s="13">
        <v>387</v>
      </c>
      <c r="P48" s="14">
        <v>387</v>
      </c>
      <c r="Q48" s="14">
        <v>0</v>
      </c>
      <c r="R48" s="14">
        <v>0</v>
      </c>
      <c r="S48" s="14">
        <v>0</v>
      </c>
      <c r="T48" s="14">
        <v>386</v>
      </c>
      <c r="U48" s="14">
        <v>386</v>
      </c>
      <c r="V48" s="14">
        <v>0</v>
      </c>
      <c r="W48" s="14">
        <v>0</v>
      </c>
      <c r="X48" s="14">
        <v>0</v>
      </c>
      <c r="Y48" s="14">
        <v>386</v>
      </c>
      <c r="Z48" s="14">
        <v>386</v>
      </c>
      <c r="AA48" s="14">
        <v>0</v>
      </c>
      <c r="AB48" s="14">
        <v>0</v>
      </c>
      <c r="AC48" s="14">
        <v>0</v>
      </c>
      <c r="AD48" s="13">
        <f t="shared" si="6"/>
        <v>1933</v>
      </c>
    </row>
    <row r="49" spans="1:30" ht="16.5">
      <c r="A49" s="519" t="s">
        <v>44</v>
      </c>
      <c r="B49" s="519"/>
      <c r="C49" s="519"/>
      <c r="D49" s="69"/>
      <c r="E49" s="31">
        <f>E50+E51</f>
        <v>36903</v>
      </c>
      <c r="F49" s="15">
        <f>SUM(F31,F36:F48)</f>
        <v>14243</v>
      </c>
      <c r="G49" s="15">
        <f t="shared" ref="G49:AC49" si="12">SUM(G31,G36:G48)</f>
        <v>22660</v>
      </c>
      <c r="H49" s="15">
        <f t="shared" si="12"/>
        <v>0</v>
      </c>
      <c r="I49" s="15">
        <f t="shared" si="12"/>
        <v>0</v>
      </c>
      <c r="J49" s="31">
        <f>SUM(J31,J36:J48)</f>
        <v>10426</v>
      </c>
      <c r="K49" s="15">
        <f>SUM(K31,K36:K48)</f>
        <v>10426</v>
      </c>
      <c r="L49" s="15">
        <f t="shared" si="12"/>
        <v>0</v>
      </c>
      <c r="M49" s="15">
        <f t="shared" si="12"/>
        <v>0</v>
      </c>
      <c r="N49" s="15">
        <f t="shared" si="12"/>
        <v>0</v>
      </c>
      <c r="O49" s="31">
        <f>SUM(O31,O36:O48)</f>
        <v>10426</v>
      </c>
      <c r="P49" s="15">
        <f>SUM(P31,P36:P48)</f>
        <v>10426</v>
      </c>
      <c r="Q49" s="15">
        <f t="shared" si="12"/>
        <v>0</v>
      </c>
      <c r="R49" s="15">
        <f t="shared" si="12"/>
        <v>0</v>
      </c>
      <c r="S49" s="15">
        <f t="shared" si="12"/>
        <v>0</v>
      </c>
      <c r="T49" s="31">
        <f>SUM(T31,T36:T48)</f>
        <v>10898</v>
      </c>
      <c r="U49" s="15">
        <f>SUM(U31,U36:U48)</f>
        <v>10898</v>
      </c>
      <c r="V49" s="15">
        <f t="shared" si="12"/>
        <v>0</v>
      </c>
      <c r="W49" s="15">
        <f t="shared" si="12"/>
        <v>0</v>
      </c>
      <c r="X49" s="15">
        <f t="shared" si="12"/>
        <v>0</v>
      </c>
      <c r="Y49" s="31">
        <f>SUM(Y31,Y36:Y48)</f>
        <v>10898</v>
      </c>
      <c r="Z49" s="15">
        <f>SUM(Z31,Z36:Z48)</f>
        <v>10898</v>
      </c>
      <c r="AA49" s="15">
        <f t="shared" si="12"/>
        <v>0</v>
      </c>
      <c r="AB49" s="15">
        <f t="shared" si="12"/>
        <v>0</v>
      </c>
      <c r="AC49" s="15">
        <f t="shared" si="12"/>
        <v>0</v>
      </c>
      <c r="AD49" s="31">
        <f>SUM(AD31,AD36:AD48)</f>
        <v>79551</v>
      </c>
    </row>
    <row r="50" spans="1:30" ht="16.5">
      <c r="A50" s="69" t="s">
        <v>73</v>
      </c>
      <c r="B50" s="98"/>
      <c r="C50" s="67"/>
      <c r="D50" s="67"/>
      <c r="E50" s="35">
        <f t="shared" ref="E50:AD50" si="13">E48</f>
        <v>387</v>
      </c>
      <c r="F50" s="36">
        <f t="shared" si="13"/>
        <v>387</v>
      </c>
      <c r="G50" s="36">
        <f t="shared" si="13"/>
        <v>0</v>
      </c>
      <c r="H50" s="36">
        <f t="shared" si="13"/>
        <v>0</v>
      </c>
      <c r="I50" s="36">
        <f t="shared" si="13"/>
        <v>0</v>
      </c>
      <c r="J50" s="35">
        <f t="shared" si="13"/>
        <v>387</v>
      </c>
      <c r="K50" s="36">
        <f t="shared" si="13"/>
        <v>387</v>
      </c>
      <c r="L50" s="36">
        <f t="shared" si="13"/>
        <v>0</v>
      </c>
      <c r="M50" s="36">
        <f t="shared" si="13"/>
        <v>0</v>
      </c>
      <c r="N50" s="36">
        <f t="shared" si="13"/>
        <v>0</v>
      </c>
      <c r="O50" s="35">
        <f t="shared" si="13"/>
        <v>387</v>
      </c>
      <c r="P50" s="36">
        <f t="shared" si="13"/>
        <v>387</v>
      </c>
      <c r="Q50" s="36">
        <f t="shared" si="13"/>
        <v>0</v>
      </c>
      <c r="R50" s="36">
        <f t="shared" si="13"/>
        <v>0</v>
      </c>
      <c r="S50" s="36">
        <f t="shared" si="13"/>
        <v>0</v>
      </c>
      <c r="T50" s="35">
        <f t="shared" si="13"/>
        <v>386</v>
      </c>
      <c r="U50" s="36">
        <f t="shared" si="13"/>
        <v>386</v>
      </c>
      <c r="V50" s="36">
        <f t="shared" si="13"/>
        <v>0</v>
      </c>
      <c r="W50" s="36">
        <f t="shared" si="13"/>
        <v>0</v>
      </c>
      <c r="X50" s="36">
        <f t="shared" si="13"/>
        <v>0</v>
      </c>
      <c r="Y50" s="35">
        <f t="shared" si="13"/>
        <v>386</v>
      </c>
      <c r="Z50" s="36">
        <f t="shared" si="13"/>
        <v>386</v>
      </c>
      <c r="AA50" s="36">
        <f t="shared" si="13"/>
        <v>0</v>
      </c>
      <c r="AB50" s="36">
        <f t="shared" si="13"/>
        <v>0</v>
      </c>
      <c r="AC50" s="36">
        <f t="shared" si="13"/>
        <v>0</v>
      </c>
      <c r="AD50" s="37">
        <f t="shared" si="13"/>
        <v>1933</v>
      </c>
    </row>
    <row r="51" spans="1:30" ht="16.5">
      <c r="A51" s="69" t="s">
        <v>135</v>
      </c>
      <c r="B51" s="98"/>
      <c r="C51" s="67"/>
      <c r="D51" s="67"/>
      <c r="E51" s="35">
        <f>SUM(E32:E47)</f>
        <v>36516</v>
      </c>
      <c r="F51" s="36">
        <f>F32+F33+F34+F35+F36+F37+F38+F39+F40+F41+F42+F43+F44+F45+F46+F47</f>
        <v>13856</v>
      </c>
      <c r="G51" s="36">
        <f>G31+G36+G32+G33+G34+G35+G36+G37+G38+G39+G40+G41+G42+G43+G44+G45+G46+G47</f>
        <v>22660</v>
      </c>
      <c r="H51" s="36">
        <f>0</f>
        <v>0</v>
      </c>
      <c r="I51" s="36">
        <v>0</v>
      </c>
      <c r="J51" s="35">
        <f>J31+J36+J37+J38+J39+J40+J41+J42+J43+J44+J45+J46+J47</f>
        <v>10039</v>
      </c>
      <c r="K51" s="36">
        <f>K31+K36+K37+K38+K39+K40+K41+K42+K43+K44+K45+K46+K47</f>
        <v>10039</v>
      </c>
      <c r="L51" s="36">
        <v>0</v>
      </c>
      <c r="M51" s="36">
        <v>0</v>
      </c>
      <c r="N51" s="36">
        <v>0</v>
      </c>
      <c r="O51" s="35">
        <f>O31+O36+O37+O38+O39+O40+O41+O42+O43+O44+O45+O46+O47</f>
        <v>10039</v>
      </c>
      <c r="P51" s="36">
        <f>P31+P36+P37+P38+P39+P40+P41+P42+P43+P44+P45+P46+P47</f>
        <v>10039</v>
      </c>
      <c r="Q51" s="36">
        <v>0</v>
      </c>
      <c r="R51" s="36">
        <v>0</v>
      </c>
      <c r="S51" s="36">
        <v>0</v>
      </c>
      <c r="T51" s="35">
        <f>T31+T36+T37+T38+T39+T40+T41+T42+T43+T44+T45+T46+T47</f>
        <v>10512</v>
      </c>
      <c r="U51" s="36">
        <f>U31+U36+U37+U38+U39+U40+U41+U42+U43+U44+U45+U46+U47</f>
        <v>10512</v>
      </c>
      <c r="V51" s="36">
        <v>0</v>
      </c>
      <c r="W51" s="36">
        <v>0</v>
      </c>
      <c r="X51" s="36">
        <v>0</v>
      </c>
      <c r="Y51" s="35">
        <f>Y31+Y36+Y37+Y38+Y39+Y40+Y41+Y42+Y43+Y44+Y45+Y46+Y47</f>
        <v>10512</v>
      </c>
      <c r="Z51" s="36">
        <f>Z31+Z36+Z37+Z38+Z39+Z40+Z41+Z42+Z43+Z44+Z45+Z46+Z47</f>
        <v>10512</v>
      </c>
      <c r="AA51" s="36">
        <v>0</v>
      </c>
      <c r="AB51" s="36">
        <v>0</v>
      </c>
      <c r="AC51" s="36">
        <v>0</v>
      </c>
      <c r="AD51" s="37">
        <f>AD31+AD36+AD37+AD38+AD39+AD40+AD41+AD42+AD43+AD44+AD45+AD46+AD47</f>
        <v>77618</v>
      </c>
    </row>
    <row r="52" spans="1:30" ht="21" customHeight="1">
      <c r="A52" s="25" t="s">
        <v>45</v>
      </c>
      <c r="B52" s="529" t="s">
        <v>146</v>
      </c>
      <c r="C52" s="530"/>
      <c r="D52" s="530"/>
      <c r="E52" s="530"/>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1"/>
    </row>
    <row r="53" spans="1:30" ht="171.75" customHeight="1">
      <c r="A53" s="19" t="s">
        <v>46</v>
      </c>
      <c r="B53" s="106" t="s">
        <v>132</v>
      </c>
      <c r="C53" s="65" t="s">
        <v>147</v>
      </c>
      <c r="D53" s="38" t="s">
        <v>93</v>
      </c>
      <c r="E53" s="13">
        <f>F53+G53+H53+I53</f>
        <v>1248</v>
      </c>
      <c r="F53" s="14">
        <v>1248</v>
      </c>
      <c r="G53" s="14">
        <v>0</v>
      </c>
      <c r="H53" s="14">
        <v>0</v>
      </c>
      <c r="I53" s="14">
        <v>0</v>
      </c>
      <c r="J53" s="13">
        <f>K53+L53+M53+N53</f>
        <v>1248</v>
      </c>
      <c r="K53" s="14">
        <v>1248</v>
      </c>
      <c r="L53" s="14">
        <v>0</v>
      </c>
      <c r="M53" s="14">
        <v>0</v>
      </c>
      <c r="N53" s="14">
        <v>0</v>
      </c>
      <c r="O53" s="13">
        <f>P53+Q53+R53+S53</f>
        <v>1248</v>
      </c>
      <c r="P53" s="14">
        <v>1248</v>
      </c>
      <c r="Q53" s="14">
        <v>0</v>
      </c>
      <c r="R53" s="14">
        <v>0</v>
      </c>
      <c r="S53" s="14">
        <v>0</v>
      </c>
      <c r="T53" s="13">
        <f>U53+V53+W53+X53</f>
        <v>1248</v>
      </c>
      <c r="U53" s="14">
        <v>1248</v>
      </c>
      <c r="V53" s="14">
        <v>0</v>
      </c>
      <c r="W53" s="14">
        <v>0</v>
      </c>
      <c r="X53" s="14">
        <v>0</v>
      </c>
      <c r="Y53" s="13">
        <f>Z53+AA53+AB53+AC53</f>
        <v>1248</v>
      </c>
      <c r="Z53" s="14">
        <v>1248</v>
      </c>
      <c r="AA53" s="14">
        <v>0</v>
      </c>
      <c r="AB53" s="14">
        <v>0</v>
      </c>
      <c r="AC53" s="14">
        <v>0</v>
      </c>
      <c r="AD53" s="20">
        <f>E53+J53+O53+T53+Y53</f>
        <v>6240</v>
      </c>
    </row>
    <row r="54" spans="1:30" ht="16.5">
      <c r="A54" s="533" t="s">
        <v>47</v>
      </c>
      <c r="B54" s="533"/>
      <c r="C54" s="533"/>
      <c r="D54" s="72"/>
      <c r="E54" s="39">
        <f t="shared" ref="E54:AD54" si="14">E53</f>
        <v>1248</v>
      </c>
      <c r="F54" s="40">
        <f t="shared" si="14"/>
        <v>1248</v>
      </c>
      <c r="G54" s="40">
        <f t="shared" si="14"/>
        <v>0</v>
      </c>
      <c r="H54" s="40">
        <f t="shared" si="14"/>
        <v>0</v>
      </c>
      <c r="I54" s="40">
        <f t="shared" si="14"/>
        <v>0</v>
      </c>
      <c r="J54" s="39">
        <f t="shared" si="14"/>
        <v>1248</v>
      </c>
      <c r="K54" s="40">
        <f t="shared" si="14"/>
        <v>1248</v>
      </c>
      <c r="L54" s="40">
        <f t="shared" si="14"/>
        <v>0</v>
      </c>
      <c r="M54" s="40">
        <f t="shared" si="14"/>
        <v>0</v>
      </c>
      <c r="N54" s="40">
        <f t="shared" si="14"/>
        <v>0</v>
      </c>
      <c r="O54" s="39">
        <f t="shared" si="14"/>
        <v>1248</v>
      </c>
      <c r="P54" s="40">
        <f t="shared" si="14"/>
        <v>1248</v>
      </c>
      <c r="Q54" s="40">
        <f t="shared" si="14"/>
        <v>0</v>
      </c>
      <c r="R54" s="40">
        <f t="shared" si="14"/>
        <v>0</v>
      </c>
      <c r="S54" s="40">
        <f t="shared" si="14"/>
        <v>0</v>
      </c>
      <c r="T54" s="39">
        <f t="shared" si="14"/>
        <v>1248</v>
      </c>
      <c r="U54" s="40">
        <f t="shared" si="14"/>
        <v>1248</v>
      </c>
      <c r="V54" s="40">
        <f t="shared" si="14"/>
        <v>0</v>
      </c>
      <c r="W54" s="40">
        <f t="shared" si="14"/>
        <v>0</v>
      </c>
      <c r="X54" s="40">
        <f t="shared" si="14"/>
        <v>0</v>
      </c>
      <c r="Y54" s="39">
        <f t="shared" si="14"/>
        <v>1248</v>
      </c>
      <c r="Z54" s="40">
        <f t="shared" si="14"/>
        <v>1248</v>
      </c>
      <c r="AA54" s="40">
        <f t="shared" si="14"/>
        <v>0</v>
      </c>
      <c r="AB54" s="40">
        <f t="shared" si="14"/>
        <v>0</v>
      </c>
      <c r="AC54" s="40">
        <f t="shared" si="14"/>
        <v>0</v>
      </c>
      <c r="AD54" s="40">
        <f t="shared" si="14"/>
        <v>6240</v>
      </c>
    </row>
    <row r="55" spans="1:30" ht="21.75" customHeight="1">
      <c r="A55" s="41" t="s">
        <v>176</v>
      </c>
      <c r="B55" s="538" t="s">
        <v>177</v>
      </c>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40"/>
    </row>
    <row r="56" spans="1:30" ht="101.25" customHeight="1">
      <c r="A56" s="19" t="s">
        <v>48</v>
      </c>
      <c r="B56" s="3" t="s">
        <v>120</v>
      </c>
      <c r="C56" s="38" t="s">
        <v>94</v>
      </c>
      <c r="D56" s="38" t="s">
        <v>93</v>
      </c>
      <c r="E56" s="20">
        <f>F56+G56+H56+I56</f>
        <v>700</v>
      </c>
      <c r="F56" s="21">
        <v>700</v>
      </c>
      <c r="G56" s="21">
        <v>0</v>
      </c>
      <c r="H56" s="21">
        <v>0</v>
      </c>
      <c r="I56" s="21">
        <v>0</v>
      </c>
      <c r="J56" s="20">
        <f>K56+L56+M56+N56</f>
        <v>700</v>
      </c>
      <c r="K56" s="21">
        <v>700</v>
      </c>
      <c r="L56" s="21">
        <v>0</v>
      </c>
      <c r="M56" s="21">
        <v>0</v>
      </c>
      <c r="N56" s="21">
        <v>0</v>
      </c>
      <c r="O56" s="20">
        <f>P56+Q56+R56+S56</f>
        <v>700</v>
      </c>
      <c r="P56" s="21">
        <v>700</v>
      </c>
      <c r="Q56" s="21">
        <v>0</v>
      </c>
      <c r="R56" s="21">
        <v>0</v>
      </c>
      <c r="S56" s="21">
        <v>0</v>
      </c>
      <c r="T56" s="20">
        <f>U56+V56+W56+X56</f>
        <v>700</v>
      </c>
      <c r="U56" s="21">
        <v>700</v>
      </c>
      <c r="V56" s="21">
        <v>0</v>
      </c>
      <c r="W56" s="21">
        <v>0</v>
      </c>
      <c r="X56" s="21">
        <v>0</v>
      </c>
      <c r="Y56" s="20">
        <f>Z56+AA56+AB56+AC56</f>
        <v>700</v>
      </c>
      <c r="Z56" s="21">
        <v>700</v>
      </c>
      <c r="AA56" s="21">
        <v>0</v>
      </c>
      <c r="AB56" s="21">
        <v>0</v>
      </c>
      <c r="AC56" s="21">
        <v>0</v>
      </c>
      <c r="AD56" s="20">
        <f>E56+J56+O56+T56+Y56</f>
        <v>3500</v>
      </c>
    </row>
    <row r="57" spans="1:30" ht="16.5">
      <c r="A57" s="533" t="s">
        <v>49</v>
      </c>
      <c r="B57" s="533"/>
      <c r="C57" s="533"/>
      <c r="D57" s="72"/>
      <c r="E57" s="40">
        <f t="shared" ref="E57:AD57" si="15">SUM(E56:E56)</f>
        <v>700</v>
      </c>
      <c r="F57" s="39">
        <f t="shared" si="15"/>
        <v>700</v>
      </c>
      <c r="G57" s="39">
        <f t="shared" si="15"/>
        <v>0</v>
      </c>
      <c r="H57" s="39">
        <f t="shared" si="15"/>
        <v>0</v>
      </c>
      <c r="I57" s="39">
        <f t="shared" si="15"/>
        <v>0</v>
      </c>
      <c r="J57" s="40">
        <f t="shared" si="15"/>
        <v>700</v>
      </c>
      <c r="K57" s="39">
        <f t="shared" si="15"/>
        <v>700</v>
      </c>
      <c r="L57" s="39">
        <f t="shared" si="15"/>
        <v>0</v>
      </c>
      <c r="M57" s="39">
        <f t="shared" si="15"/>
        <v>0</v>
      </c>
      <c r="N57" s="39">
        <f t="shared" si="15"/>
        <v>0</v>
      </c>
      <c r="O57" s="40">
        <f t="shared" si="15"/>
        <v>700</v>
      </c>
      <c r="P57" s="39">
        <f t="shared" si="15"/>
        <v>700</v>
      </c>
      <c r="Q57" s="39">
        <f t="shared" si="15"/>
        <v>0</v>
      </c>
      <c r="R57" s="39">
        <f t="shared" si="15"/>
        <v>0</v>
      </c>
      <c r="S57" s="39">
        <f t="shared" si="15"/>
        <v>0</v>
      </c>
      <c r="T57" s="40">
        <f t="shared" si="15"/>
        <v>700</v>
      </c>
      <c r="U57" s="39">
        <f t="shared" si="15"/>
        <v>700</v>
      </c>
      <c r="V57" s="39">
        <f t="shared" si="15"/>
        <v>0</v>
      </c>
      <c r="W57" s="39">
        <f t="shared" si="15"/>
        <v>0</v>
      </c>
      <c r="X57" s="39">
        <f t="shared" si="15"/>
        <v>0</v>
      </c>
      <c r="Y57" s="40">
        <f t="shared" si="15"/>
        <v>700</v>
      </c>
      <c r="Z57" s="39">
        <f t="shared" si="15"/>
        <v>700</v>
      </c>
      <c r="AA57" s="39">
        <f t="shared" si="15"/>
        <v>0</v>
      </c>
      <c r="AB57" s="39">
        <f t="shared" si="15"/>
        <v>0</v>
      </c>
      <c r="AC57" s="39">
        <f t="shared" si="15"/>
        <v>0</v>
      </c>
      <c r="AD57" s="40">
        <f t="shared" si="15"/>
        <v>3500</v>
      </c>
    </row>
    <row r="58" spans="1:30" ht="20.25" customHeight="1">
      <c r="A58" s="41" t="s">
        <v>178</v>
      </c>
      <c r="B58" s="538" t="s">
        <v>179</v>
      </c>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40"/>
    </row>
    <row r="59" spans="1:30" ht="99" customHeight="1">
      <c r="A59" s="19" t="s">
        <v>50</v>
      </c>
      <c r="B59" s="3" t="s">
        <v>109</v>
      </c>
      <c r="C59" s="38" t="s">
        <v>94</v>
      </c>
      <c r="D59" s="38" t="s">
        <v>93</v>
      </c>
      <c r="E59" s="20">
        <f>F59+G59+H59+I59</f>
        <v>1656</v>
      </c>
      <c r="F59" s="21">
        <v>1656</v>
      </c>
      <c r="G59" s="21">
        <v>0</v>
      </c>
      <c r="H59" s="21">
        <v>0</v>
      </c>
      <c r="I59" s="21">
        <v>0</v>
      </c>
      <c r="J59" s="20">
        <f>K59+L59+M59+N59</f>
        <v>1656</v>
      </c>
      <c r="K59" s="21">
        <v>1656</v>
      </c>
      <c r="L59" s="21">
        <v>0</v>
      </c>
      <c r="M59" s="21">
        <v>0</v>
      </c>
      <c r="N59" s="21">
        <v>0</v>
      </c>
      <c r="O59" s="20">
        <f>P59+Q59+R59+S59</f>
        <v>1656</v>
      </c>
      <c r="P59" s="21">
        <v>1656</v>
      </c>
      <c r="Q59" s="21">
        <v>0</v>
      </c>
      <c r="R59" s="21">
        <v>0</v>
      </c>
      <c r="S59" s="21">
        <v>0</v>
      </c>
      <c r="T59" s="20">
        <f>U59+V59+W59+X59</f>
        <v>1656</v>
      </c>
      <c r="U59" s="21">
        <v>1656</v>
      </c>
      <c r="V59" s="21">
        <v>0</v>
      </c>
      <c r="W59" s="21">
        <v>0</v>
      </c>
      <c r="X59" s="21">
        <v>0</v>
      </c>
      <c r="Y59" s="20">
        <f>Z59+AA59+AB59+AC59</f>
        <v>1656</v>
      </c>
      <c r="Z59" s="21">
        <v>1656</v>
      </c>
      <c r="AA59" s="21">
        <v>0</v>
      </c>
      <c r="AB59" s="21">
        <v>0</v>
      </c>
      <c r="AC59" s="21">
        <v>0</v>
      </c>
      <c r="AD59" s="20">
        <f>E59+J59+O59+T59+Y59</f>
        <v>8280</v>
      </c>
    </row>
    <row r="60" spans="1:30" ht="68.25" customHeight="1">
      <c r="A60" s="19" t="s">
        <v>51</v>
      </c>
      <c r="B60" s="3" t="s">
        <v>141</v>
      </c>
      <c r="C60" s="38" t="s">
        <v>52</v>
      </c>
      <c r="D60" s="38" t="s">
        <v>93</v>
      </c>
      <c r="E60" s="20">
        <f>F60+G60+H60+I60</f>
        <v>86</v>
      </c>
      <c r="F60" s="21">
        <v>86</v>
      </c>
      <c r="G60" s="21">
        <v>0</v>
      </c>
      <c r="H60" s="21">
        <v>0</v>
      </c>
      <c r="I60" s="21">
        <v>0</v>
      </c>
      <c r="J60" s="20">
        <f>K60+L60+M60+N60</f>
        <v>86</v>
      </c>
      <c r="K60" s="21">
        <v>86</v>
      </c>
      <c r="L60" s="21">
        <v>0</v>
      </c>
      <c r="M60" s="21">
        <v>0</v>
      </c>
      <c r="N60" s="21">
        <v>0</v>
      </c>
      <c r="O60" s="20">
        <f>P60+Q60+R60+S60</f>
        <v>86</v>
      </c>
      <c r="P60" s="21">
        <v>86</v>
      </c>
      <c r="Q60" s="21">
        <v>0</v>
      </c>
      <c r="R60" s="21">
        <v>0</v>
      </c>
      <c r="S60" s="21">
        <v>0</v>
      </c>
      <c r="T60" s="20">
        <f>U60+V60+W60+X60</f>
        <v>86</v>
      </c>
      <c r="U60" s="21">
        <v>86</v>
      </c>
      <c r="V60" s="21">
        <v>0</v>
      </c>
      <c r="W60" s="21">
        <v>0</v>
      </c>
      <c r="X60" s="21">
        <v>0</v>
      </c>
      <c r="Y60" s="20">
        <f>Z60+AA60+AB60+AC60</f>
        <v>86</v>
      </c>
      <c r="Z60" s="21">
        <v>86</v>
      </c>
      <c r="AA60" s="21">
        <v>0</v>
      </c>
      <c r="AB60" s="21">
        <v>0</v>
      </c>
      <c r="AC60" s="21">
        <v>0</v>
      </c>
      <c r="AD60" s="20">
        <f>E60+J60+O60+T60+Y60</f>
        <v>430</v>
      </c>
    </row>
    <row r="61" spans="1:30" ht="16.5">
      <c r="A61" s="533" t="s">
        <v>53</v>
      </c>
      <c r="B61" s="533"/>
      <c r="C61" s="533"/>
      <c r="D61" s="72"/>
      <c r="E61" s="40">
        <f t="shared" ref="E61:AD61" si="16">SUM(E59:E60)</f>
        <v>1742</v>
      </c>
      <c r="F61" s="39">
        <f t="shared" si="16"/>
        <v>1742</v>
      </c>
      <c r="G61" s="39">
        <f t="shared" si="16"/>
        <v>0</v>
      </c>
      <c r="H61" s="39">
        <f t="shared" si="16"/>
        <v>0</v>
      </c>
      <c r="I61" s="39">
        <f t="shared" si="16"/>
        <v>0</v>
      </c>
      <c r="J61" s="40">
        <f t="shared" si="16"/>
        <v>1742</v>
      </c>
      <c r="K61" s="39">
        <f t="shared" si="16"/>
        <v>1742</v>
      </c>
      <c r="L61" s="39">
        <f t="shared" si="16"/>
        <v>0</v>
      </c>
      <c r="M61" s="39">
        <f t="shared" si="16"/>
        <v>0</v>
      </c>
      <c r="N61" s="39">
        <f t="shared" si="16"/>
        <v>0</v>
      </c>
      <c r="O61" s="40">
        <f t="shared" si="16"/>
        <v>1742</v>
      </c>
      <c r="P61" s="39">
        <f t="shared" si="16"/>
        <v>1742</v>
      </c>
      <c r="Q61" s="39">
        <f t="shared" si="16"/>
        <v>0</v>
      </c>
      <c r="R61" s="39">
        <f t="shared" si="16"/>
        <v>0</v>
      </c>
      <c r="S61" s="39">
        <f t="shared" si="16"/>
        <v>0</v>
      </c>
      <c r="T61" s="40">
        <f t="shared" si="16"/>
        <v>1742</v>
      </c>
      <c r="U61" s="39">
        <f t="shared" si="16"/>
        <v>1742</v>
      </c>
      <c r="V61" s="39">
        <f t="shared" si="16"/>
        <v>0</v>
      </c>
      <c r="W61" s="39">
        <f t="shared" si="16"/>
        <v>0</v>
      </c>
      <c r="X61" s="39">
        <f t="shared" si="16"/>
        <v>0</v>
      </c>
      <c r="Y61" s="40">
        <f t="shared" si="16"/>
        <v>1742</v>
      </c>
      <c r="Z61" s="39">
        <f t="shared" si="16"/>
        <v>1742</v>
      </c>
      <c r="AA61" s="39">
        <f t="shared" si="16"/>
        <v>0</v>
      </c>
      <c r="AB61" s="39">
        <f t="shared" si="16"/>
        <v>0</v>
      </c>
      <c r="AC61" s="39">
        <f t="shared" si="16"/>
        <v>0</v>
      </c>
      <c r="AD61" s="40">
        <f t="shared" si="16"/>
        <v>8710</v>
      </c>
    </row>
    <row r="62" spans="1:30" ht="16.5">
      <c r="A62" s="72" t="s">
        <v>73</v>
      </c>
      <c r="B62" s="100"/>
      <c r="C62" s="42"/>
      <c r="D62" s="42"/>
      <c r="E62" s="43">
        <f>E60</f>
        <v>86</v>
      </c>
      <c r="F62" s="44">
        <f>F60</f>
        <v>86</v>
      </c>
      <c r="G62" s="44">
        <v>0</v>
      </c>
      <c r="H62" s="44">
        <v>0</v>
      </c>
      <c r="I62" s="44">
        <v>0</v>
      </c>
      <c r="J62" s="43">
        <f>J60</f>
        <v>86</v>
      </c>
      <c r="K62" s="44">
        <f>K60</f>
        <v>86</v>
      </c>
      <c r="L62" s="44">
        <v>0</v>
      </c>
      <c r="M62" s="44">
        <v>0</v>
      </c>
      <c r="N62" s="44">
        <v>0</v>
      </c>
      <c r="O62" s="43">
        <f>O60</f>
        <v>86</v>
      </c>
      <c r="P62" s="44">
        <f>P60</f>
        <v>86</v>
      </c>
      <c r="Q62" s="44">
        <v>0</v>
      </c>
      <c r="R62" s="44">
        <v>0</v>
      </c>
      <c r="S62" s="44">
        <v>0</v>
      </c>
      <c r="T62" s="43">
        <f>T60</f>
        <v>86</v>
      </c>
      <c r="U62" s="44">
        <f>U60</f>
        <v>86</v>
      </c>
      <c r="V62" s="44">
        <v>0</v>
      </c>
      <c r="W62" s="44">
        <v>0</v>
      </c>
      <c r="X62" s="44">
        <v>0</v>
      </c>
      <c r="Y62" s="43">
        <f>Y60</f>
        <v>86</v>
      </c>
      <c r="Z62" s="44">
        <f>Z60</f>
        <v>86</v>
      </c>
      <c r="AA62" s="44">
        <v>0</v>
      </c>
      <c r="AB62" s="44">
        <v>0</v>
      </c>
      <c r="AC62" s="44">
        <v>0</v>
      </c>
      <c r="AD62" s="45">
        <f>AD60</f>
        <v>430</v>
      </c>
    </row>
    <row r="63" spans="1:30" ht="16.5">
      <c r="A63" s="72" t="s">
        <v>135</v>
      </c>
      <c r="B63" s="100"/>
      <c r="C63" s="42"/>
      <c r="D63" s="42"/>
      <c r="E63" s="43">
        <f>E59</f>
        <v>1656</v>
      </c>
      <c r="F63" s="44">
        <f>F59</f>
        <v>1656</v>
      </c>
      <c r="G63" s="44">
        <v>0</v>
      </c>
      <c r="H63" s="44">
        <v>0</v>
      </c>
      <c r="I63" s="44">
        <v>0</v>
      </c>
      <c r="J63" s="43">
        <f>J59</f>
        <v>1656</v>
      </c>
      <c r="K63" s="44">
        <f>K59</f>
        <v>1656</v>
      </c>
      <c r="L63" s="44">
        <v>0</v>
      </c>
      <c r="M63" s="44">
        <v>0</v>
      </c>
      <c r="N63" s="44">
        <v>0</v>
      </c>
      <c r="O63" s="43">
        <f>O59</f>
        <v>1656</v>
      </c>
      <c r="P63" s="44">
        <f>P59</f>
        <v>1656</v>
      </c>
      <c r="Q63" s="44">
        <v>0</v>
      </c>
      <c r="R63" s="44">
        <v>0</v>
      </c>
      <c r="S63" s="44">
        <v>0</v>
      </c>
      <c r="T63" s="43">
        <f>T59</f>
        <v>1656</v>
      </c>
      <c r="U63" s="44">
        <f>U59</f>
        <v>1656</v>
      </c>
      <c r="V63" s="44">
        <v>0</v>
      </c>
      <c r="W63" s="44">
        <v>0</v>
      </c>
      <c r="X63" s="44">
        <v>0</v>
      </c>
      <c r="Y63" s="43">
        <f>Y59</f>
        <v>1656</v>
      </c>
      <c r="Z63" s="44">
        <f>Z59</f>
        <v>1656</v>
      </c>
      <c r="AA63" s="44">
        <v>0</v>
      </c>
      <c r="AB63" s="44">
        <v>0</v>
      </c>
      <c r="AC63" s="44">
        <v>0</v>
      </c>
      <c r="AD63" s="45">
        <f>AD59</f>
        <v>8280</v>
      </c>
    </row>
    <row r="64" spans="1:30" ht="30" customHeight="1">
      <c r="A64" s="25" t="s">
        <v>54</v>
      </c>
      <c r="B64" s="529" t="s">
        <v>148</v>
      </c>
      <c r="C64" s="530"/>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1"/>
    </row>
    <row r="65" spans="1:35" ht="105" customHeight="1">
      <c r="A65" s="12" t="s">
        <v>55</v>
      </c>
      <c r="B65" s="6" t="s">
        <v>108</v>
      </c>
      <c r="C65" s="70" t="s">
        <v>94</v>
      </c>
      <c r="D65" s="70" t="s">
        <v>93</v>
      </c>
      <c r="E65" s="13">
        <v>409</v>
      </c>
      <c r="F65" s="14">
        <v>409</v>
      </c>
      <c r="G65" s="14">
        <v>0</v>
      </c>
      <c r="H65" s="14">
        <v>0</v>
      </c>
      <c r="I65" s="14">
        <v>0</v>
      </c>
      <c r="J65" s="13">
        <v>409</v>
      </c>
      <c r="K65" s="14">
        <v>409</v>
      </c>
      <c r="L65" s="14">
        <v>0</v>
      </c>
      <c r="M65" s="14">
        <v>0</v>
      </c>
      <c r="N65" s="14">
        <v>0</v>
      </c>
      <c r="O65" s="13">
        <v>409</v>
      </c>
      <c r="P65" s="14">
        <v>409</v>
      </c>
      <c r="Q65" s="14">
        <v>0</v>
      </c>
      <c r="R65" s="14">
        <v>0</v>
      </c>
      <c r="S65" s="14">
        <v>0</v>
      </c>
      <c r="T65" s="14">
        <v>510</v>
      </c>
      <c r="U65" s="14">
        <v>510</v>
      </c>
      <c r="V65" s="14">
        <v>0</v>
      </c>
      <c r="W65" s="14">
        <v>0</v>
      </c>
      <c r="X65" s="14">
        <v>0</v>
      </c>
      <c r="Y65" s="14">
        <v>510</v>
      </c>
      <c r="Z65" s="14">
        <v>510</v>
      </c>
      <c r="AA65" s="21">
        <v>0</v>
      </c>
      <c r="AB65" s="21">
        <v>0</v>
      </c>
      <c r="AC65" s="21">
        <v>0</v>
      </c>
      <c r="AD65" s="20">
        <f>E65+J65+O65+T65+Y65</f>
        <v>2247</v>
      </c>
      <c r="AF65" s="46" t="s">
        <v>131</v>
      </c>
      <c r="AG65" s="46"/>
      <c r="AH65" s="46"/>
      <c r="AI65" s="46"/>
    </row>
    <row r="66" spans="1:35" ht="16.5">
      <c r="A66" s="519" t="s">
        <v>56</v>
      </c>
      <c r="B66" s="519"/>
      <c r="C66" s="519"/>
      <c r="D66" s="69"/>
      <c r="E66" s="31">
        <f t="shared" ref="E66:AD66" si="17">SUM(E65:E65)</f>
        <v>409</v>
      </c>
      <c r="F66" s="15">
        <f t="shared" si="17"/>
        <v>409</v>
      </c>
      <c r="G66" s="15">
        <f t="shared" si="17"/>
        <v>0</v>
      </c>
      <c r="H66" s="15">
        <f t="shared" si="17"/>
        <v>0</v>
      </c>
      <c r="I66" s="15">
        <f t="shared" si="17"/>
        <v>0</v>
      </c>
      <c r="J66" s="31">
        <f t="shared" si="17"/>
        <v>409</v>
      </c>
      <c r="K66" s="15">
        <f t="shared" si="17"/>
        <v>409</v>
      </c>
      <c r="L66" s="15">
        <f t="shared" si="17"/>
        <v>0</v>
      </c>
      <c r="M66" s="15">
        <f t="shared" si="17"/>
        <v>0</v>
      </c>
      <c r="N66" s="15">
        <f t="shared" si="17"/>
        <v>0</v>
      </c>
      <c r="O66" s="31">
        <f t="shared" si="17"/>
        <v>409</v>
      </c>
      <c r="P66" s="15">
        <f t="shared" si="17"/>
        <v>409</v>
      </c>
      <c r="Q66" s="15">
        <f t="shared" si="17"/>
        <v>0</v>
      </c>
      <c r="R66" s="15">
        <f t="shared" si="17"/>
        <v>0</v>
      </c>
      <c r="S66" s="15">
        <f t="shared" si="17"/>
        <v>0</v>
      </c>
      <c r="T66" s="31">
        <f t="shared" si="17"/>
        <v>510</v>
      </c>
      <c r="U66" s="15">
        <f t="shared" si="17"/>
        <v>510</v>
      </c>
      <c r="V66" s="15">
        <f t="shared" si="17"/>
        <v>0</v>
      </c>
      <c r="W66" s="15">
        <f t="shared" si="17"/>
        <v>0</v>
      </c>
      <c r="X66" s="15">
        <f t="shared" si="17"/>
        <v>0</v>
      </c>
      <c r="Y66" s="31">
        <f t="shared" si="17"/>
        <v>510</v>
      </c>
      <c r="Z66" s="15">
        <f t="shared" si="17"/>
        <v>510</v>
      </c>
      <c r="AA66" s="15">
        <f t="shared" si="17"/>
        <v>0</v>
      </c>
      <c r="AB66" s="15">
        <f t="shared" si="17"/>
        <v>0</v>
      </c>
      <c r="AC66" s="15">
        <f t="shared" si="17"/>
        <v>0</v>
      </c>
      <c r="AD66" s="31">
        <f t="shared" si="17"/>
        <v>2247</v>
      </c>
    </row>
    <row r="67" spans="1:35" ht="27.75" customHeight="1">
      <c r="A67" s="69" t="s">
        <v>97</v>
      </c>
      <c r="B67" s="532" t="s">
        <v>149</v>
      </c>
      <c r="C67" s="530"/>
      <c r="D67" s="530"/>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1"/>
    </row>
    <row r="68" spans="1:35" ht="192" customHeight="1">
      <c r="A68" s="69" t="s">
        <v>57</v>
      </c>
      <c r="B68" s="7" t="s">
        <v>115</v>
      </c>
      <c r="C68" s="70" t="s">
        <v>106</v>
      </c>
      <c r="D68" s="70" t="s">
        <v>93</v>
      </c>
      <c r="E68" s="13">
        <f>F68+G68+H68+I68</f>
        <v>27786</v>
      </c>
      <c r="F68" s="14">
        <v>27786</v>
      </c>
      <c r="G68" s="14">
        <v>0</v>
      </c>
      <c r="H68" s="14">
        <v>0</v>
      </c>
      <c r="I68" s="14">
        <v>0</v>
      </c>
      <c r="J68" s="13">
        <v>27786</v>
      </c>
      <c r="K68" s="14">
        <v>27786</v>
      </c>
      <c r="L68" s="14">
        <v>0</v>
      </c>
      <c r="M68" s="14">
        <v>0</v>
      </c>
      <c r="N68" s="14">
        <v>0</v>
      </c>
      <c r="O68" s="13">
        <v>27786</v>
      </c>
      <c r="P68" s="14">
        <v>27786</v>
      </c>
      <c r="Q68" s="14">
        <v>0</v>
      </c>
      <c r="R68" s="14">
        <v>0</v>
      </c>
      <c r="S68" s="14">
        <v>0</v>
      </c>
      <c r="T68" s="14">
        <v>40120</v>
      </c>
      <c r="U68" s="14">
        <v>40120</v>
      </c>
      <c r="V68" s="14">
        <v>0</v>
      </c>
      <c r="W68" s="14">
        <v>0</v>
      </c>
      <c r="X68" s="14">
        <v>0</v>
      </c>
      <c r="Y68" s="14">
        <v>40120</v>
      </c>
      <c r="Z68" s="14">
        <v>40120</v>
      </c>
      <c r="AA68" s="14">
        <v>0</v>
      </c>
      <c r="AB68" s="14">
        <v>0</v>
      </c>
      <c r="AC68" s="14">
        <v>0</v>
      </c>
      <c r="AD68" s="13">
        <f>E68+J68+O68+T68+Y68</f>
        <v>163598</v>
      </c>
    </row>
    <row r="69" spans="1:35" ht="16.5">
      <c r="A69" s="526" t="s">
        <v>58</v>
      </c>
      <c r="B69" s="527"/>
      <c r="C69" s="528"/>
      <c r="D69" s="69"/>
      <c r="E69" s="31">
        <f t="shared" ref="E69:AD69" si="18">SUM(E68:E68)</f>
        <v>27786</v>
      </c>
      <c r="F69" s="15">
        <f t="shared" si="18"/>
        <v>27786</v>
      </c>
      <c r="G69" s="15">
        <f t="shared" si="18"/>
        <v>0</v>
      </c>
      <c r="H69" s="15">
        <f t="shared" si="18"/>
        <v>0</v>
      </c>
      <c r="I69" s="15">
        <f t="shared" si="18"/>
        <v>0</v>
      </c>
      <c r="J69" s="31">
        <f t="shared" si="18"/>
        <v>27786</v>
      </c>
      <c r="K69" s="15">
        <f t="shared" si="18"/>
        <v>27786</v>
      </c>
      <c r="L69" s="15">
        <f t="shared" si="18"/>
        <v>0</v>
      </c>
      <c r="M69" s="15">
        <f t="shared" si="18"/>
        <v>0</v>
      </c>
      <c r="N69" s="15">
        <f t="shared" si="18"/>
        <v>0</v>
      </c>
      <c r="O69" s="31">
        <f t="shared" si="18"/>
        <v>27786</v>
      </c>
      <c r="P69" s="15">
        <f t="shared" si="18"/>
        <v>27786</v>
      </c>
      <c r="Q69" s="15">
        <f t="shared" si="18"/>
        <v>0</v>
      </c>
      <c r="R69" s="15">
        <f t="shared" si="18"/>
        <v>0</v>
      </c>
      <c r="S69" s="15">
        <f t="shared" si="18"/>
        <v>0</v>
      </c>
      <c r="T69" s="31">
        <f t="shared" si="18"/>
        <v>40120</v>
      </c>
      <c r="U69" s="15">
        <f t="shared" si="18"/>
        <v>40120</v>
      </c>
      <c r="V69" s="15">
        <f t="shared" si="18"/>
        <v>0</v>
      </c>
      <c r="W69" s="15">
        <f t="shared" si="18"/>
        <v>0</v>
      </c>
      <c r="X69" s="15">
        <f t="shared" si="18"/>
        <v>0</v>
      </c>
      <c r="Y69" s="31">
        <f t="shared" si="18"/>
        <v>40120</v>
      </c>
      <c r="Z69" s="15">
        <f t="shared" si="18"/>
        <v>40120</v>
      </c>
      <c r="AA69" s="15">
        <f t="shared" si="18"/>
        <v>0</v>
      </c>
      <c r="AB69" s="15">
        <f t="shared" si="18"/>
        <v>0</v>
      </c>
      <c r="AC69" s="15">
        <f t="shared" si="18"/>
        <v>0</v>
      </c>
      <c r="AD69" s="31">
        <f t="shared" si="18"/>
        <v>163598</v>
      </c>
    </row>
    <row r="70" spans="1:35" ht="39" customHeight="1">
      <c r="A70" s="69" t="s">
        <v>80</v>
      </c>
      <c r="B70" s="532" t="s">
        <v>187</v>
      </c>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1"/>
    </row>
    <row r="71" spans="1:35" ht="98.25" customHeight="1">
      <c r="A71" s="69" t="s">
        <v>59</v>
      </c>
      <c r="B71" s="103" t="s">
        <v>96</v>
      </c>
      <c r="C71" s="70" t="s">
        <v>94</v>
      </c>
      <c r="D71" s="70" t="s">
        <v>93</v>
      </c>
      <c r="E71" s="13">
        <f>F71+G71+H71+I71</f>
        <v>6486</v>
      </c>
      <c r="F71" s="13">
        <v>6486</v>
      </c>
      <c r="G71" s="14">
        <v>0</v>
      </c>
      <c r="H71" s="14">
        <v>0</v>
      </c>
      <c r="I71" s="14">
        <v>0</v>
      </c>
      <c r="J71" s="13">
        <f>K71+L71+M71+N71</f>
        <v>6486</v>
      </c>
      <c r="K71" s="13">
        <v>6486</v>
      </c>
      <c r="L71" s="14">
        <v>0</v>
      </c>
      <c r="M71" s="14">
        <v>0</v>
      </c>
      <c r="N71" s="14">
        <v>0</v>
      </c>
      <c r="O71" s="13">
        <f>P71+Q71+R71+S71</f>
        <v>6486</v>
      </c>
      <c r="P71" s="13">
        <v>6486</v>
      </c>
      <c r="Q71" s="14">
        <v>0</v>
      </c>
      <c r="R71" s="14">
        <v>0</v>
      </c>
      <c r="S71" s="14">
        <v>0</v>
      </c>
      <c r="T71" s="13">
        <f>U71+V71+W71+X71</f>
        <v>6486</v>
      </c>
      <c r="U71" s="13">
        <v>6486</v>
      </c>
      <c r="V71" s="14">
        <v>0</v>
      </c>
      <c r="W71" s="14">
        <v>0</v>
      </c>
      <c r="X71" s="14">
        <v>0</v>
      </c>
      <c r="Y71" s="13">
        <f>Z71+AA71+AB71+AC71</f>
        <v>6486</v>
      </c>
      <c r="Z71" s="13">
        <v>6486</v>
      </c>
      <c r="AA71" s="14">
        <v>0</v>
      </c>
      <c r="AB71" s="14">
        <v>0</v>
      </c>
      <c r="AC71" s="14">
        <v>0</v>
      </c>
      <c r="AD71" s="13">
        <f>E71+J71+O71+T71+Y71</f>
        <v>32430</v>
      </c>
    </row>
    <row r="72" spans="1:35" ht="81" customHeight="1">
      <c r="A72" s="69" t="s">
        <v>98</v>
      </c>
      <c r="B72" s="47" t="s">
        <v>85</v>
      </c>
      <c r="C72" s="70" t="s">
        <v>73</v>
      </c>
      <c r="D72" s="70" t="s">
        <v>93</v>
      </c>
      <c r="E72" s="13">
        <v>77</v>
      </c>
      <c r="F72" s="14">
        <v>77</v>
      </c>
      <c r="G72" s="14">
        <v>0</v>
      </c>
      <c r="H72" s="14">
        <v>0</v>
      </c>
      <c r="I72" s="14">
        <v>0</v>
      </c>
      <c r="J72" s="14">
        <v>77</v>
      </c>
      <c r="K72" s="14">
        <v>77</v>
      </c>
      <c r="L72" s="14">
        <v>0</v>
      </c>
      <c r="M72" s="14">
        <v>0</v>
      </c>
      <c r="N72" s="14">
        <v>0</v>
      </c>
      <c r="O72" s="14">
        <v>77</v>
      </c>
      <c r="P72" s="14">
        <v>77</v>
      </c>
      <c r="Q72" s="14">
        <v>0</v>
      </c>
      <c r="R72" s="14">
        <v>0</v>
      </c>
      <c r="S72" s="14">
        <v>0</v>
      </c>
      <c r="T72" s="14">
        <v>77</v>
      </c>
      <c r="U72" s="14">
        <v>77</v>
      </c>
      <c r="V72" s="14">
        <v>0</v>
      </c>
      <c r="W72" s="14">
        <v>0</v>
      </c>
      <c r="X72" s="14">
        <v>0</v>
      </c>
      <c r="Y72" s="14">
        <v>77</v>
      </c>
      <c r="Z72" s="14">
        <v>77</v>
      </c>
      <c r="AA72" s="14">
        <v>0</v>
      </c>
      <c r="AB72" s="14">
        <v>0</v>
      </c>
      <c r="AC72" s="14">
        <v>0</v>
      </c>
      <c r="AD72" s="13">
        <f>E72+J72+O72+T72+Y72</f>
        <v>385</v>
      </c>
    </row>
    <row r="73" spans="1:35" ht="16.5">
      <c r="A73" s="526" t="s">
        <v>60</v>
      </c>
      <c r="B73" s="527"/>
      <c r="C73" s="528"/>
      <c r="D73" s="69"/>
      <c r="E73" s="31">
        <f>SUM(E71:E72)</f>
        <v>6563</v>
      </c>
      <c r="F73" s="15">
        <f>SUM(F71:F72)</f>
        <v>6563</v>
      </c>
      <c r="G73" s="15">
        <f t="shared" ref="G73:AD73" si="19">SUM(G71:G72)</f>
        <v>0</v>
      </c>
      <c r="H73" s="15">
        <f t="shared" si="19"/>
        <v>0</v>
      </c>
      <c r="I73" s="15">
        <f t="shared" si="19"/>
        <v>0</v>
      </c>
      <c r="J73" s="31">
        <f t="shared" si="19"/>
        <v>6563</v>
      </c>
      <c r="K73" s="15">
        <f t="shared" si="19"/>
        <v>6563</v>
      </c>
      <c r="L73" s="15">
        <f t="shared" si="19"/>
        <v>0</v>
      </c>
      <c r="M73" s="15">
        <f t="shared" si="19"/>
        <v>0</v>
      </c>
      <c r="N73" s="15">
        <f t="shared" si="19"/>
        <v>0</v>
      </c>
      <c r="O73" s="31">
        <f t="shared" si="19"/>
        <v>6563</v>
      </c>
      <c r="P73" s="15">
        <f t="shared" si="19"/>
        <v>6563</v>
      </c>
      <c r="Q73" s="15">
        <f t="shared" si="19"/>
        <v>0</v>
      </c>
      <c r="R73" s="15">
        <f t="shared" si="19"/>
        <v>0</v>
      </c>
      <c r="S73" s="15">
        <f t="shared" si="19"/>
        <v>0</v>
      </c>
      <c r="T73" s="31">
        <f t="shared" si="19"/>
        <v>6563</v>
      </c>
      <c r="U73" s="15">
        <f t="shared" si="19"/>
        <v>6563</v>
      </c>
      <c r="V73" s="15">
        <f t="shared" si="19"/>
        <v>0</v>
      </c>
      <c r="W73" s="15">
        <f t="shared" si="19"/>
        <v>0</v>
      </c>
      <c r="X73" s="15">
        <f t="shared" si="19"/>
        <v>0</v>
      </c>
      <c r="Y73" s="31">
        <f t="shared" si="19"/>
        <v>6563</v>
      </c>
      <c r="Z73" s="15">
        <f t="shared" si="19"/>
        <v>6563</v>
      </c>
      <c r="AA73" s="15">
        <f t="shared" si="19"/>
        <v>0</v>
      </c>
      <c r="AB73" s="15">
        <f t="shared" si="19"/>
        <v>0</v>
      </c>
      <c r="AC73" s="15">
        <f t="shared" si="19"/>
        <v>0</v>
      </c>
      <c r="AD73" s="31">
        <f t="shared" si="19"/>
        <v>32815</v>
      </c>
    </row>
    <row r="74" spans="1:35" ht="16.5">
      <c r="A74" s="69" t="s">
        <v>73</v>
      </c>
      <c r="B74" s="98"/>
      <c r="C74" s="67"/>
      <c r="D74" s="67"/>
      <c r="E74" s="35">
        <f>E72</f>
        <v>77</v>
      </c>
      <c r="F74" s="36">
        <f>E72</f>
        <v>77</v>
      </c>
      <c r="G74" s="36">
        <v>0</v>
      </c>
      <c r="H74" s="36">
        <v>0</v>
      </c>
      <c r="I74" s="36">
        <v>0</v>
      </c>
      <c r="J74" s="35">
        <f>J72</f>
        <v>77</v>
      </c>
      <c r="K74" s="36">
        <f>K72</f>
        <v>77</v>
      </c>
      <c r="L74" s="36">
        <v>0</v>
      </c>
      <c r="M74" s="36">
        <v>0</v>
      </c>
      <c r="N74" s="36">
        <v>0</v>
      </c>
      <c r="O74" s="35">
        <f>O72</f>
        <v>77</v>
      </c>
      <c r="P74" s="36">
        <f>P72</f>
        <v>77</v>
      </c>
      <c r="Q74" s="36">
        <v>0</v>
      </c>
      <c r="R74" s="36">
        <v>0</v>
      </c>
      <c r="S74" s="36">
        <v>0</v>
      </c>
      <c r="T74" s="35">
        <f>T72</f>
        <v>77</v>
      </c>
      <c r="U74" s="36">
        <f>U72</f>
        <v>77</v>
      </c>
      <c r="V74" s="36">
        <v>0</v>
      </c>
      <c r="W74" s="36">
        <v>0</v>
      </c>
      <c r="X74" s="36">
        <v>0</v>
      </c>
      <c r="Y74" s="35">
        <f>Y72</f>
        <v>77</v>
      </c>
      <c r="Z74" s="36">
        <f>Z72</f>
        <v>77</v>
      </c>
      <c r="AA74" s="36">
        <v>0</v>
      </c>
      <c r="AB74" s="36">
        <v>0</v>
      </c>
      <c r="AC74" s="36">
        <v>0</v>
      </c>
      <c r="AD74" s="37">
        <f>AD72</f>
        <v>385</v>
      </c>
    </row>
    <row r="75" spans="1:35" ht="16.5">
      <c r="A75" s="69" t="s">
        <v>135</v>
      </c>
      <c r="B75" s="98"/>
      <c r="C75" s="67"/>
      <c r="D75" s="67"/>
      <c r="E75" s="35">
        <f>E71</f>
        <v>6486</v>
      </c>
      <c r="F75" s="36">
        <f>F71</f>
        <v>6486</v>
      </c>
      <c r="G75" s="36">
        <v>0</v>
      </c>
      <c r="H75" s="36">
        <v>0</v>
      </c>
      <c r="I75" s="36">
        <v>0</v>
      </c>
      <c r="J75" s="35">
        <f>J71</f>
        <v>6486</v>
      </c>
      <c r="K75" s="36">
        <f>K71</f>
        <v>6486</v>
      </c>
      <c r="L75" s="36">
        <v>0</v>
      </c>
      <c r="M75" s="36">
        <v>0</v>
      </c>
      <c r="N75" s="36">
        <v>0</v>
      </c>
      <c r="O75" s="35">
        <f>O71</f>
        <v>6486</v>
      </c>
      <c r="P75" s="36">
        <f>P71</f>
        <v>6486</v>
      </c>
      <c r="Q75" s="36">
        <v>0</v>
      </c>
      <c r="R75" s="36">
        <v>0</v>
      </c>
      <c r="S75" s="36">
        <v>0</v>
      </c>
      <c r="T75" s="35">
        <f>T71</f>
        <v>6486</v>
      </c>
      <c r="U75" s="36">
        <f>U71</f>
        <v>6486</v>
      </c>
      <c r="V75" s="36">
        <v>0</v>
      </c>
      <c r="W75" s="36">
        <v>0</v>
      </c>
      <c r="X75" s="36">
        <v>0</v>
      </c>
      <c r="Y75" s="35">
        <f>Y71</f>
        <v>6486</v>
      </c>
      <c r="Z75" s="36">
        <f>Z71</f>
        <v>6486</v>
      </c>
      <c r="AA75" s="36">
        <v>0</v>
      </c>
      <c r="AB75" s="36">
        <v>0</v>
      </c>
      <c r="AC75" s="36">
        <v>0</v>
      </c>
      <c r="AD75" s="37">
        <f>AD71</f>
        <v>32430</v>
      </c>
    </row>
    <row r="76" spans="1:35" ht="57.75" customHeight="1">
      <c r="A76" s="48" t="s">
        <v>61</v>
      </c>
      <c r="B76" s="102" t="s">
        <v>203</v>
      </c>
      <c r="C76" s="93"/>
      <c r="D76" s="93"/>
      <c r="E76" s="97"/>
      <c r="F76" s="97"/>
      <c r="G76" s="97"/>
      <c r="H76" s="97"/>
      <c r="I76" s="97"/>
      <c r="J76" s="93"/>
      <c r="K76" s="93"/>
      <c r="L76" s="93"/>
      <c r="M76" s="93"/>
      <c r="N76" s="93"/>
      <c r="O76" s="93"/>
      <c r="P76" s="93"/>
      <c r="Q76" s="93"/>
      <c r="R76" s="93"/>
      <c r="S76" s="93"/>
      <c r="T76" s="93"/>
      <c r="U76" s="93"/>
      <c r="V76" s="93"/>
      <c r="W76" s="93"/>
      <c r="X76" s="93"/>
      <c r="Y76" s="93"/>
      <c r="Z76" s="93"/>
      <c r="AA76" s="93"/>
      <c r="AB76" s="93"/>
      <c r="AC76" s="93"/>
      <c r="AD76" s="94"/>
    </row>
    <row r="77" spans="1:35" ht="150" customHeight="1">
      <c r="A77" s="90" t="s">
        <v>62</v>
      </c>
      <c r="B77" s="7" t="s">
        <v>121</v>
      </c>
      <c r="C77" s="91" t="s">
        <v>107</v>
      </c>
      <c r="D77" s="91" t="s">
        <v>93</v>
      </c>
      <c r="E77" s="13">
        <v>6183</v>
      </c>
      <c r="F77" s="14">
        <v>6183</v>
      </c>
      <c r="G77" s="14">
        <v>0</v>
      </c>
      <c r="H77" s="14">
        <v>0</v>
      </c>
      <c r="I77" s="14">
        <v>0</v>
      </c>
      <c r="J77" s="13">
        <v>6213</v>
      </c>
      <c r="K77" s="14">
        <v>6213</v>
      </c>
      <c r="L77" s="14">
        <v>0</v>
      </c>
      <c r="M77" s="14">
        <v>0</v>
      </c>
      <c r="N77" s="14">
        <v>0</v>
      </c>
      <c r="O77" s="13">
        <v>6213</v>
      </c>
      <c r="P77" s="14">
        <v>6213</v>
      </c>
      <c r="Q77" s="14">
        <v>0</v>
      </c>
      <c r="R77" s="14">
        <v>0</v>
      </c>
      <c r="S77" s="14">
        <v>0</v>
      </c>
      <c r="T77" s="13">
        <v>6150</v>
      </c>
      <c r="U77" s="14">
        <v>6150</v>
      </c>
      <c r="V77" s="14">
        <v>0</v>
      </c>
      <c r="W77" s="14">
        <v>0</v>
      </c>
      <c r="X77" s="14">
        <v>0</v>
      </c>
      <c r="Y77" s="13">
        <v>6150</v>
      </c>
      <c r="Z77" s="14">
        <v>6150</v>
      </c>
      <c r="AA77" s="14">
        <v>0</v>
      </c>
      <c r="AB77" s="14">
        <v>0</v>
      </c>
      <c r="AC77" s="14">
        <v>0</v>
      </c>
      <c r="AD77" s="13">
        <v>30909</v>
      </c>
    </row>
    <row r="78" spans="1:35" ht="39.75" customHeight="1">
      <c r="A78" s="90" t="s">
        <v>63</v>
      </c>
      <c r="B78" s="7" t="s">
        <v>124</v>
      </c>
      <c r="C78" s="92" t="s">
        <v>107</v>
      </c>
      <c r="D78" s="91" t="s">
        <v>93</v>
      </c>
      <c r="E78" s="13">
        <v>785</v>
      </c>
      <c r="F78" s="14">
        <v>785</v>
      </c>
      <c r="G78" s="14">
        <v>0</v>
      </c>
      <c r="H78" s="14">
        <v>0</v>
      </c>
      <c r="I78" s="14">
        <v>0</v>
      </c>
      <c r="J78" s="13">
        <v>785</v>
      </c>
      <c r="K78" s="14">
        <v>785</v>
      </c>
      <c r="L78" s="14">
        <v>0</v>
      </c>
      <c r="M78" s="14">
        <v>0</v>
      </c>
      <c r="N78" s="14">
        <v>0</v>
      </c>
      <c r="O78" s="13">
        <v>785</v>
      </c>
      <c r="P78" s="14">
        <v>785</v>
      </c>
      <c r="Q78" s="14">
        <v>0</v>
      </c>
      <c r="R78" s="14">
        <v>0</v>
      </c>
      <c r="S78" s="14">
        <v>0</v>
      </c>
      <c r="T78" s="13">
        <v>940</v>
      </c>
      <c r="U78" s="14">
        <v>940</v>
      </c>
      <c r="V78" s="14">
        <v>0</v>
      </c>
      <c r="W78" s="14">
        <v>0</v>
      </c>
      <c r="X78" s="14">
        <v>0</v>
      </c>
      <c r="Y78" s="13">
        <v>950</v>
      </c>
      <c r="Z78" s="14">
        <v>950</v>
      </c>
      <c r="AA78" s="14">
        <v>0</v>
      </c>
      <c r="AB78" s="14">
        <v>0</v>
      </c>
      <c r="AC78" s="14">
        <v>0</v>
      </c>
      <c r="AD78" s="13">
        <v>4245</v>
      </c>
    </row>
    <row r="79" spans="1:35" ht="63" customHeight="1">
      <c r="A79" s="90" t="s">
        <v>99</v>
      </c>
      <c r="B79" s="7" t="s">
        <v>126</v>
      </c>
      <c r="C79" s="92"/>
      <c r="D79" s="91" t="s">
        <v>93</v>
      </c>
      <c r="E79" s="13">
        <v>110</v>
      </c>
      <c r="F79" s="14">
        <v>110</v>
      </c>
      <c r="G79" s="14">
        <v>0</v>
      </c>
      <c r="H79" s="14">
        <v>0</v>
      </c>
      <c r="I79" s="14">
        <v>0</v>
      </c>
      <c r="J79" s="13">
        <v>110</v>
      </c>
      <c r="K79" s="14">
        <v>110</v>
      </c>
      <c r="L79" s="14">
        <v>0</v>
      </c>
      <c r="M79" s="14">
        <v>0</v>
      </c>
      <c r="N79" s="14">
        <v>0</v>
      </c>
      <c r="O79" s="13">
        <v>110</v>
      </c>
      <c r="P79" s="14">
        <v>110</v>
      </c>
      <c r="Q79" s="14">
        <v>0</v>
      </c>
      <c r="R79" s="14">
        <v>0</v>
      </c>
      <c r="S79" s="14">
        <v>0</v>
      </c>
      <c r="T79" s="13">
        <v>140</v>
      </c>
      <c r="U79" s="14">
        <v>140</v>
      </c>
      <c r="V79" s="14">
        <v>0</v>
      </c>
      <c r="W79" s="14">
        <v>0</v>
      </c>
      <c r="X79" s="14">
        <v>0</v>
      </c>
      <c r="Y79" s="13">
        <v>140</v>
      </c>
      <c r="Z79" s="14">
        <v>140</v>
      </c>
      <c r="AA79" s="14">
        <v>0</v>
      </c>
      <c r="AB79" s="14">
        <v>0</v>
      </c>
      <c r="AC79" s="14">
        <v>0</v>
      </c>
      <c r="AD79" s="13">
        <v>610</v>
      </c>
    </row>
    <row r="80" spans="1:35" ht="94.5" customHeight="1">
      <c r="A80" s="90" t="s">
        <v>127</v>
      </c>
      <c r="B80" s="7" t="s">
        <v>122</v>
      </c>
      <c r="C80" s="92"/>
      <c r="D80" s="91" t="s">
        <v>93</v>
      </c>
      <c r="E80" s="13">
        <v>53</v>
      </c>
      <c r="F80" s="14">
        <v>53</v>
      </c>
      <c r="G80" s="14">
        <v>0</v>
      </c>
      <c r="H80" s="14">
        <v>0</v>
      </c>
      <c r="I80" s="14">
        <v>0</v>
      </c>
      <c r="J80" s="13">
        <v>53</v>
      </c>
      <c r="K80" s="14">
        <v>53</v>
      </c>
      <c r="L80" s="14">
        <v>0</v>
      </c>
      <c r="M80" s="14">
        <v>0</v>
      </c>
      <c r="N80" s="14">
        <v>0</v>
      </c>
      <c r="O80" s="13">
        <v>53</v>
      </c>
      <c r="P80" s="14">
        <v>53</v>
      </c>
      <c r="Q80" s="14">
        <v>0</v>
      </c>
      <c r="R80" s="14">
        <v>0</v>
      </c>
      <c r="S80" s="14">
        <v>0</v>
      </c>
      <c r="T80" s="13">
        <v>50</v>
      </c>
      <c r="U80" s="14">
        <v>50</v>
      </c>
      <c r="V80" s="14">
        <v>0</v>
      </c>
      <c r="W80" s="14">
        <v>0</v>
      </c>
      <c r="X80" s="14">
        <v>0</v>
      </c>
      <c r="Y80" s="13">
        <v>50</v>
      </c>
      <c r="Z80" s="14">
        <v>50</v>
      </c>
      <c r="AA80" s="14">
        <v>0</v>
      </c>
      <c r="AB80" s="14">
        <v>0</v>
      </c>
      <c r="AC80" s="14">
        <v>0</v>
      </c>
      <c r="AD80" s="13">
        <v>259</v>
      </c>
    </row>
    <row r="81" spans="1:31" ht="96" customHeight="1">
      <c r="A81" s="90" t="s">
        <v>128</v>
      </c>
      <c r="B81" s="7" t="s">
        <v>123</v>
      </c>
      <c r="C81" s="92"/>
      <c r="D81" s="91" t="s">
        <v>93</v>
      </c>
      <c r="E81" s="13">
        <v>112</v>
      </c>
      <c r="F81" s="14">
        <v>112</v>
      </c>
      <c r="G81" s="14">
        <v>0</v>
      </c>
      <c r="H81" s="14">
        <v>0</v>
      </c>
      <c r="I81" s="14">
        <v>0</v>
      </c>
      <c r="J81" s="13">
        <v>112</v>
      </c>
      <c r="K81" s="14">
        <v>112</v>
      </c>
      <c r="L81" s="14">
        <v>0</v>
      </c>
      <c r="M81" s="14">
        <v>0</v>
      </c>
      <c r="N81" s="14">
        <v>0</v>
      </c>
      <c r="O81" s="13">
        <v>112</v>
      </c>
      <c r="P81" s="14">
        <v>112</v>
      </c>
      <c r="Q81" s="14">
        <v>0</v>
      </c>
      <c r="R81" s="14">
        <v>0</v>
      </c>
      <c r="S81" s="14">
        <v>0</v>
      </c>
      <c r="T81" s="13">
        <v>60</v>
      </c>
      <c r="U81" s="14">
        <v>60</v>
      </c>
      <c r="V81" s="14">
        <v>0</v>
      </c>
      <c r="W81" s="14">
        <v>0</v>
      </c>
      <c r="X81" s="14">
        <v>0</v>
      </c>
      <c r="Y81" s="13">
        <v>60</v>
      </c>
      <c r="Z81" s="14">
        <v>60</v>
      </c>
      <c r="AA81" s="14">
        <v>0</v>
      </c>
      <c r="AB81" s="14">
        <v>0</v>
      </c>
      <c r="AC81" s="14">
        <v>0</v>
      </c>
      <c r="AD81" s="13">
        <v>456</v>
      </c>
    </row>
    <row r="82" spans="1:31" ht="93" customHeight="1">
      <c r="A82" s="90" t="s">
        <v>129</v>
      </c>
      <c r="B82" s="7" t="s">
        <v>125</v>
      </c>
      <c r="C82" s="95"/>
      <c r="D82" s="91" t="s">
        <v>93</v>
      </c>
      <c r="E82" s="13">
        <v>120</v>
      </c>
      <c r="F82" s="14">
        <v>120</v>
      </c>
      <c r="G82" s="14">
        <v>0</v>
      </c>
      <c r="H82" s="14">
        <v>0</v>
      </c>
      <c r="I82" s="14">
        <v>0</v>
      </c>
      <c r="J82" s="13">
        <v>90</v>
      </c>
      <c r="K82" s="14">
        <v>90</v>
      </c>
      <c r="L82" s="14">
        <v>0</v>
      </c>
      <c r="M82" s="14">
        <v>0</v>
      </c>
      <c r="N82" s="14">
        <v>0</v>
      </c>
      <c r="O82" s="13">
        <v>90</v>
      </c>
      <c r="P82" s="14">
        <v>90</v>
      </c>
      <c r="Q82" s="14">
        <v>0</v>
      </c>
      <c r="R82" s="14">
        <v>0</v>
      </c>
      <c r="S82" s="14">
        <v>0</v>
      </c>
      <c r="T82" s="13">
        <v>90</v>
      </c>
      <c r="U82" s="14">
        <v>90</v>
      </c>
      <c r="V82" s="14">
        <v>0</v>
      </c>
      <c r="W82" s="14">
        <v>0</v>
      </c>
      <c r="X82" s="14">
        <v>0</v>
      </c>
      <c r="Y82" s="13">
        <v>90</v>
      </c>
      <c r="Z82" s="14">
        <v>90</v>
      </c>
      <c r="AA82" s="14">
        <v>0</v>
      </c>
      <c r="AB82" s="14">
        <v>0</v>
      </c>
      <c r="AC82" s="14">
        <v>0</v>
      </c>
      <c r="AD82" s="13">
        <v>480</v>
      </c>
    </row>
    <row r="83" spans="1:31" ht="54.75" customHeight="1">
      <c r="A83" s="90" t="s">
        <v>130</v>
      </c>
      <c r="B83" s="7" t="s">
        <v>205</v>
      </c>
      <c r="C83" s="91" t="s">
        <v>95</v>
      </c>
      <c r="D83" s="91" t="s">
        <v>93</v>
      </c>
      <c r="E83" s="13">
        <v>23068</v>
      </c>
      <c r="F83" s="14">
        <v>0</v>
      </c>
      <c r="G83" s="14">
        <v>23068</v>
      </c>
      <c r="H83" s="14">
        <v>0</v>
      </c>
      <c r="I83" s="14">
        <v>0</v>
      </c>
      <c r="J83" s="13">
        <v>0</v>
      </c>
      <c r="K83" s="14">
        <v>0</v>
      </c>
      <c r="L83" s="14">
        <v>0</v>
      </c>
      <c r="M83" s="14">
        <v>0</v>
      </c>
      <c r="N83" s="14">
        <v>0</v>
      </c>
      <c r="O83" s="13">
        <v>0</v>
      </c>
      <c r="P83" s="14">
        <v>0</v>
      </c>
      <c r="Q83" s="14">
        <v>0</v>
      </c>
      <c r="R83" s="14">
        <v>0</v>
      </c>
      <c r="S83" s="14">
        <v>0</v>
      </c>
      <c r="T83" s="13">
        <v>0</v>
      </c>
      <c r="U83" s="14">
        <v>0</v>
      </c>
      <c r="V83" s="14">
        <v>0</v>
      </c>
      <c r="W83" s="14">
        <v>0</v>
      </c>
      <c r="X83" s="14">
        <v>0</v>
      </c>
      <c r="Y83" s="13">
        <v>0</v>
      </c>
      <c r="Z83" s="14">
        <v>0</v>
      </c>
      <c r="AA83" s="14">
        <v>0</v>
      </c>
      <c r="AB83" s="14">
        <v>0</v>
      </c>
      <c r="AC83" s="14">
        <v>0</v>
      </c>
      <c r="AD83" s="13">
        <v>23068</v>
      </c>
      <c r="AE83" s="46"/>
    </row>
    <row r="84" spans="1:31" ht="170.25" customHeight="1">
      <c r="A84" s="90" t="s">
        <v>194</v>
      </c>
      <c r="B84" s="7" t="s">
        <v>198</v>
      </c>
      <c r="C84" s="91" t="s">
        <v>204</v>
      </c>
      <c r="D84" s="91" t="s">
        <v>93</v>
      </c>
      <c r="E84" s="13">
        <v>238</v>
      </c>
      <c r="F84" s="78">
        <v>0</v>
      </c>
      <c r="G84" s="14">
        <v>238</v>
      </c>
      <c r="H84" s="14">
        <v>0</v>
      </c>
      <c r="I84" s="14">
        <v>0</v>
      </c>
      <c r="J84" s="13">
        <v>238</v>
      </c>
      <c r="K84" s="14">
        <v>238</v>
      </c>
      <c r="L84" s="14">
        <v>0</v>
      </c>
      <c r="M84" s="14">
        <v>0</v>
      </c>
      <c r="N84" s="14">
        <v>0</v>
      </c>
      <c r="O84" s="13">
        <v>238</v>
      </c>
      <c r="P84" s="14">
        <v>238</v>
      </c>
      <c r="Q84" s="14">
        <v>0</v>
      </c>
      <c r="R84" s="14">
        <v>0</v>
      </c>
      <c r="S84" s="14">
        <v>0</v>
      </c>
      <c r="T84" s="13">
        <v>0</v>
      </c>
      <c r="U84" s="14">
        <v>0</v>
      </c>
      <c r="V84" s="14">
        <v>0</v>
      </c>
      <c r="W84" s="14">
        <v>0</v>
      </c>
      <c r="X84" s="14">
        <v>0</v>
      </c>
      <c r="Y84" s="13">
        <v>0</v>
      </c>
      <c r="Z84" s="14">
        <v>0</v>
      </c>
      <c r="AA84" s="14">
        <v>0</v>
      </c>
      <c r="AB84" s="14">
        <v>0</v>
      </c>
      <c r="AC84" s="14">
        <v>0</v>
      </c>
      <c r="AD84" s="13">
        <v>714</v>
      </c>
      <c r="AE84" s="46"/>
    </row>
    <row r="85" spans="1:31" ht="27" customHeight="1">
      <c r="A85" s="90" t="s">
        <v>64</v>
      </c>
      <c r="B85" s="98"/>
      <c r="C85" s="90"/>
      <c r="D85" s="90"/>
      <c r="E85" s="31">
        <v>30669</v>
      </c>
      <c r="F85" s="31">
        <v>7363</v>
      </c>
      <c r="G85" s="31">
        <v>23306</v>
      </c>
      <c r="H85" s="31">
        <v>0</v>
      </c>
      <c r="I85" s="31">
        <v>0</v>
      </c>
      <c r="J85" s="31">
        <v>7363</v>
      </c>
      <c r="K85" s="31">
        <v>7363</v>
      </c>
      <c r="L85" s="31">
        <v>0</v>
      </c>
      <c r="M85" s="31">
        <v>0</v>
      </c>
      <c r="N85" s="31">
        <v>0</v>
      </c>
      <c r="O85" s="31">
        <v>7363</v>
      </c>
      <c r="P85" s="31">
        <v>7363</v>
      </c>
      <c r="Q85" s="31">
        <v>0</v>
      </c>
      <c r="R85" s="31">
        <v>0</v>
      </c>
      <c r="S85" s="31">
        <v>0</v>
      </c>
      <c r="T85" s="31">
        <v>7430</v>
      </c>
      <c r="U85" s="31">
        <v>7430</v>
      </c>
      <c r="V85" s="31">
        <v>0</v>
      </c>
      <c r="W85" s="31">
        <v>0</v>
      </c>
      <c r="X85" s="31">
        <v>0</v>
      </c>
      <c r="Y85" s="31">
        <v>7440</v>
      </c>
      <c r="Z85" s="31">
        <v>7440</v>
      </c>
      <c r="AA85" s="31">
        <v>0</v>
      </c>
      <c r="AB85" s="31">
        <v>0</v>
      </c>
      <c r="AC85" s="31">
        <v>0</v>
      </c>
      <c r="AD85" s="31">
        <v>60265</v>
      </c>
    </row>
    <row r="86" spans="1:31" ht="27" customHeight="1">
      <c r="A86" s="90" t="s">
        <v>73</v>
      </c>
      <c r="B86" s="98"/>
      <c r="C86" s="90"/>
      <c r="D86" s="90"/>
      <c r="E86" s="32">
        <v>23306</v>
      </c>
      <c r="F86" s="32">
        <v>0</v>
      </c>
      <c r="G86" s="32">
        <v>23306</v>
      </c>
      <c r="H86" s="32">
        <v>0</v>
      </c>
      <c r="I86" s="32">
        <v>0</v>
      </c>
      <c r="J86" s="32">
        <v>0</v>
      </c>
      <c r="K86" s="32">
        <v>0</v>
      </c>
      <c r="L86" s="32">
        <v>0</v>
      </c>
      <c r="M86" s="32">
        <v>0</v>
      </c>
      <c r="N86" s="32">
        <v>0</v>
      </c>
      <c r="O86" s="32">
        <v>0</v>
      </c>
      <c r="P86" s="32">
        <v>0</v>
      </c>
      <c r="Q86" s="32">
        <v>0</v>
      </c>
      <c r="R86" s="32">
        <v>0</v>
      </c>
      <c r="S86" s="32">
        <v>0</v>
      </c>
      <c r="T86" s="32">
        <v>0</v>
      </c>
      <c r="U86" s="32">
        <v>0</v>
      </c>
      <c r="V86" s="32">
        <v>0</v>
      </c>
      <c r="W86" s="32">
        <v>0</v>
      </c>
      <c r="X86" s="32">
        <v>0</v>
      </c>
      <c r="Y86" s="32">
        <v>0</v>
      </c>
      <c r="Z86" s="32">
        <v>0</v>
      </c>
      <c r="AA86" s="32">
        <v>0</v>
      </c>
      <c r="AB86" s="32">
        <v>0</v>
      </c>
      <c r="AC86" s="32">
        <v>0</v>
      </c>
      <c r="AD86" s="32">
        <v>23306</v>
      </c>
    </row>
    <row r="87" spans="1:31" ht="27" customHeight="1">
      <c r="A87" s="90" t="s">
        <v>135</v>
      </c>
      <c r="B87" s="98"/>
      <c r="C87" s="90"/>
      <c r="D87" s="90"/>
      <c r="E87" s="32">
        <v>7363</v>
      </c>
      <c r="F87" s="32">
        <v>7363</v>
      </c>
      <c r="G87" s="32">
        <v>0</v>
      </c>
      <c r="H87" s="32">
        <v>0</v>
      </c>
      <c r="I87" s="32">
        <v>0</v>
      </c>
      <c r="J87" s="32">
        <v>7363</v>
      </c>
      <c r="K87" s="32">
        <v>7363</v>
      </c>
      <c r="L87" s="32">
        <v>0</v>
      </c>
      <c r="M87" s="32">
        <v>0</v>
      </c>
      <c r="N87" s="32">
        <v>0</v>
      </c>
      <c r="O87" s="32">
        <v>7363</v>
      </c>
      <c r="P87" s="32">
        <v>7363</v>
      </c>
      <c r="Q87" s="32">
        <v>0</v>
      </c>
      <c r="R87" s="32">
        <v>0</v>
      </c>
      <c r="S87" s="32">
        <v>0</v>
      </c>
      <c r="T87" s="32">
        <v>7430</v>
      </c>
      <c r="U87" s="32">
        <v>7430</v>
      </c>
      <c r="V87" s="32">
        <v>0</v>
      </c>
      <c r="W87" s="32">
        <v>0</v>
      </c>
      <c r="X87" s="32">
        <v>0</v>
      </c>
      <c r="Y87" s="32">
        <v>7440</v>
      </c>
      <c r="Z87" s="32">
        <v>7440</v>
      </c>
      <c r="AA87" s="32">
        <v>0</v>
      </c>
      <c r="AB87" s="32">
        <v>0</v>
      </c>
      <c r="AC87" s="32">
        <v>0</v>
      </c>
      <c r="AD87" s="32">
        <v>36959</v>
      </c>
    </row>
    <row r="88" spans="1:31" ht="39" customHeight="1">
      <c r="A88" s="69" t="s">
        <v>65</v>
      </c>
      <c r="B88" s="529" t="s">
        <v>158</v>
      </c>
      <c r="C88" s="530"/>
      <c r="D88" s="530"/>
      <c r="E88" s="530"/>
      <c r="F88" s="530"/>
      <c r="G88" s="530"/>
      <c r="H88" s="530"/>
      <c r="I88" s="530"/>
      <c r="J88" s="530"/>
      <c r="K88" s="530"/>
      <c r="L88" s="530"/>
      <c r="M88" s="530"/>
      <c r="N88" s="530"/>
      <c r="O88" s="530"/>
      <c r="P88" s="530"/>
      <c r="Q88" s="530"/>
      <c r="R88" s="530"/>
      <c r="S88" s="530"/>
      <c r="T88" s="530"/>
      <c r="U88" s="530"/>
      <c r="V88" s="530"/>
      <c r="W88" s="530"/>
      <c r="X88" s="530"/>
      <c r="Y88" s="530"/>
      <c r="Z88" s="530"/>
      <c r="AA88" s="530"/>
      <c r="AB88" s="530"/>
      <c r="AC88" s="530"/>
      <c r="AD88" s="531"/>
    </row>
    <row r="89" spans="1:31" ht="47.25" customHeight="1">
      <c r="A89" s="49" t="s">
        <v>66</v>
      </c>
      <c r="B89" s="8" t="s">
        <v>82</v>
      </c>
      <c r="C89" s="518" t="s">
        <v>73</v>
      </c>
      <c r="D89" s="70" t="s">
        <v>93</v>
      </c>
      <c r="E89" s="13">
        <f xml:space="preserve"> SUM(F89:I89)</f>
        <v>68</v>
      </c>
      <c r="F89" s="14">
        <f>SUM(F90:F91)</f>
        <v>68</v>
      </c>
      <c r="G89" s="14">
        <f>SUM(G90:G91)</f>
        <v>0</v>
      </c>
      <c r="H89" s="14">
        <f>SUM(H90:H91)</f>
        <v>0</v>
      </c>
      <c r="I89" s="14">
        <f>SUM(I90:I91)</f>
        <v>0</v>
      </c>
      <c r="J89" s="13">
        <f xml:space="preserve"> SUM(K89:N89)</f>
        <v>68</v>
      </c>
      <c r="K89" s="14">
        <f>SUM(K90:K91)</f>
        <v>68</v>
      </c>
      <c r="L89" s="14">
        <f>SUM(L90:L91)</f>
        <v>0</v>
      </c>
      <c r="M89" s="14">
        <f>SUM(M90:M91)</f>
        <v>0</v>
      </c>
      <c r="N89" s="14">
        <f>SUM(N90:N91)</f>
        <v>0</v>
      </c>
      <c r="O89" s="13">
        <f xml:space="preserve"> SUM(P89:S89)</f>
        <v>68</v>
      </c>
      <c r="P89" s="14">
        <f>SUM(P90:P91)</f>
        <v>68</v>
      </c>
      <c r="Q89" s="14">
        <f>SUM(Q90:Q91)</f>
        <v>0</v>
      </c>
      <c r="R89" s="14">
        <f>SUM(R90:R91)</f>
        <v>0</v>
      </c>
      <c r="S89" s="14">
        <f>SUM(S90:S91)</f>
        <v>0</v>
      </c>
      <c r="T89" s="13">
        <f xml:space="preserve"> SUM(U89:X89)</f>
        <v>68</v>
      </c>
      <c r="U89" s="14">
        <f>SUM(U90:U91)</f>
        <v>68</v>
      </c>
      <c r="V89" s="14">
        <f>SUM(V90:V91)</f>
        <v>0</v>
      </c>
      <c r="W89" s="14">
        <f>SUM(W90:W91)</f>
        <v>0</v>
      </c>
      <c r="X89" s="14">
        <f>SUM(X90:X91)</f>
        <v>0</v>
      </c>
      <c r="Y89" s="13">
        <f xml:space="preserve"> SUM(Z89:AC89)</f>
        <v>68</v>
      </c>
      <c r="Z89" s="14">
        <f>SUM(Z90:Z91)</f>
        <v>68</v>
      </c>
      <c r="AA89" s="14">
        <f>SUM(AA90:AA91)</f>
        <v>0</v>
      </c>
      <c r="AB89" s="14">
        <f>SUM(AB90:AB91)</f>
        <v>0</v>
      </c>
      <c r="AC89" s="14">
        <f>SUM(AC90:AC91)</f>
        <v>0</v>
      </c>
      <c r="AD89" s="13">
        <f>E89+J89+O89+T89+Y89</f>
        <v>340</v>
      </c>
    </row>
    <row r="90" spans="1:31">
      <c r="A90" s="49" t="s">
        <v>100</v>
      </c>
      <c r="B90" s="7" t="s">
        <v>83</v>
      </c>
      <c r="C90" s="518"/>
      <c r="D90" s="70" t="s">
        <v>93</v>
      </c>
      <c r="E90" s="14">
        <v>39</v>
      </c>
      <c r="F90" s="14">
        <v>39</v>
      </c>
      <c r="G90" s="14">
        <v>0</v>
      </c>
      <c r="H90" s="14">
        <v>0</v>
      </c>
      <c r="I90" s="14">
        <v>0</v>
      </c>
      <c r="J90" s="14">
        <v>39</v>
      </c>
      <c r="K90" s="14">
        <v>39</v>
      </c>
      <c r="L90" s="14">
        <v>0</v>
      </c>
      <c r="M90" s="14">
        <v>0</v>
      </c>
      <c r="N90" s="14">
        <v>0</v>
      </c>
      <c r="O90" s="14">
        <v>39</v>
      </c>
      <c r="P90" s="14">
        <v>39</v>
      </c>
      <c r="Q90" s="14">
        <v>0</v>
      </c>
      <c r="R90" s="14">
        <v>0</v>
      </c>
      <c r="S90" s="14">
        <v>0</v>
      </c>
      <c r="T90" s="14">
        <v>39</v>
      </c>
      <c r="U90" s="14">
        <v>39</v>
      </c>
      <c r="V90" s="14">
        <v>0</v>
      </c>
      <c r="W90" s="14">
        <v>0</v>
      </c>
      <c r="X90" s="14">
        <v>0</v>
      </c>
      <c r="Y90" s="14">
        <v>39</v>
      </c>
      <c r="Z90" s="14">
        <v>39</v>
      </c>
      <c r="AA90" s="14">
        <v>0</v>
      </c>
      <c r="AB90" s="14">
        <v>0</v>
      </c>
      <c r="AC90" s="14">
        <v>0</v>
      </c>
      <c r="AD90" s="13">
        <f>E90+J90+O90+T90+Y90</f>
        <v>195</v>
      </c>
    </row>
    <row r="91" spans="1:31">
      <c r="A91" s="49" t="s">
        <v>101</v>
      </c>
      <c r="B91" s="7" t="s">
        <v>84</v>
      </c>
      <c r="C91" s="518"/>
      <c r="D91" s="70" t="s">
        <v>93</v>
      </c>
      <c r="E91" s="14">
        <v>29</v>
      </c>
      <c r="F91" s="14">
        <v>29</v>
      </c>
      <c r="G91" s="14">
        <v>0</v>
      </c>
      <c r="H91" s="14">
        <v>0</v>
      </c>
      <c r="I91" s="14">
        <v>0</v>
      </c>
      <c r="J91" s="14">
        <v>29</v>
      </c>
      <c r="K91" s="14">
        <v>29</v>
      </c>
      <c r="L91" s="14">
        <v>0</v>
      </c>
      <c r="M91" s="14">
        <v>0</v>
      </c>
      <c r="N91" s="14">
        <v>0</v>
      </c>
      <c r="O91" s="14">
        <v>29</v>
      </c>
      <c r="P91" s="14">
        <v>29</v>
      </c>
      <c r="Q91" s="14">
        <v>0</v>
      </c>
      <c r="R91" s="14">
        <v>0</v>
      </c>
      <c r="S91" s="14">
        <v>0</v>
      </c>
      <c r="T91" s="14">
        <v>29</v>
      </c>
      <c r="U91" s="14">
        <v>29</v>
      </c>
      <c r="V91" s="14">
        <v>0</v>
      </c>
      <c r="W91" s="14">
        <v>0</v>
      </c>
      <c r="X91" s="14">
        <v>0</v>
      </c>
      <c r="Y91" s="14">
        <v>29</v>
      </c>
      <c r="Z91" s="14">
        <v>29</v>
      </c>
      <c r="AA91" s="14">
        <v>0</v>
      </c>
      <c r="AB91" s="14">
        <v>0</v>
      </c>
      <c r="AC91" s="14">
        <v>0</v>
      </c>
      <c r="AD91" s="13">
        <f>E91+J91+O91+T91+Y91</f>
        <v>145</v>
      </c>
    </row>
    <row r="92" spans="1:31" ht="27" customHeight="1">
      <c r="A92" s="519" t="s">
        <v>102</v>
      </c>
      <c r="B92" s="519"/>
      <c r="C92" s="519"/>
      <c r="D92" s="69"/>
      <c r="E92" s="15">
        <f t="shared" ref="E92:AD92" si="20">SUM(E90:E91)</f>
        <v>68</v>
      </c>
      <c r="F92" s="50">
        <f t="shared" si="20"/>
        <v>68</v>
      </c>
      <c r="G92" s="50">
        <f t="shared" si="20"/>
        <v>0</v>
      </c>
      <c r="H92" s="50">
        <f t="shared" si="20"/>
        <v>0</v>
      </c>
      <c r="I92" s="50">
        <f t="shared" si="20"/>
        <v>0</v>
      </c>
      <c r="J92" s="15">
        <f t="shared" si="20"/>
        <v>68</v>
      </c>
      <c r="K92" s="50">
        <f t="shared" si="20"/>
        <v>68</v>
      </c>
      <c r="L92" s="50">
        <f t="shared" si="20"/>
        <v>0</v>
      </c>
      <c r="M92" s="50">
        <f t="shared" si="20"/>
        <v>0</v>
      </c>
      <c r="N92" s="50">
        <f t="shared" si="20"/>
        <v>0</v>
      </c>
      <c r="O92" s="15">
        <f t="shared" si="20"/>
        <v>68</v>
      </c>
      <c r="P92" s="50">
        <f t="shared" si="20"/>
        <v>68</v>
      </c>
      <c r="Q92" s="50">
        <f t="shared" si="20"/>
        <v>0</v>
      </c>
      <c r="R92" s="50">
        <f t="shared" si="20"/>
        <v>0</v>
      </c>
      <c r="S92" s="50">
        <f t="shared" si="20"/>
        <v>0</v>
      </c>
      <c r="T92" s="15">
        <f t="shared" si="20"/>
        <v>68</v>
      </c>
      <c r="U92" s="50">
        <f t="shared" si="20"/>
        <v>68</v>
      </c>
      <c r="V92" s="50">
        <f t="shared" si="20"/>
        <v>0</v>
      </c>
      <c r="W92" s="50">
        <f t="shared" si="20"/>
        <v>0</v>
      </c>
      <c r="X92" s="50">
        <f t="shared" si="20"/>
        <v>0</v>
      </c>
      <c r="Y92" s="15">
        <f t="shared" si="20"/>
        <v>68</v>
      </c>
      <c r="Z92" s="50">
        <f t="shared" si="20"/>
        <v>68</v>
      </c>
      <c r="AA92" s="50">
        <f t="shared" si="20"/>
        <v>0</v>
      </c>
      <c r="AB92" s="50">
        <f t="shared" si="20"/>
        <v>0</v>
      </c>
      <c r="AC92" s="50">
        <f t="shared" si="20"/>
        <v>0</v>
      </c>
      <c r="AD92" s="15">
        <f t="shared" si="20"/>
        <v>340</v>
      </c>
    </row>
    <row r="93" spans="1:31" ht="23.25" customHeight="1">
      <c r="A93" s="69" t="s">
        <v>74</v>
      </c>
      <c r="B93" s="523" t="s">
        <v>150</v>
      </c>
      <c r="C93" s="524"/>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5"/>
    </row>
    <row r="94" spans="1:31" ht="70.5" customHeight="1">
      <c r="A94" s="69" t="s">
        <v>72</v>
      </c>
      <c r="B94" s="6" t="s">
        <v>184</v>
      </c>
      <c r="C94" s="520" t="s">
        <v>107</v>
      </c>
      <c r="D94" s="70" t="s">
        <v>93</v>
      </c>
      <c r="E94" s="13">
        <v>0</v>
      </c>
      <c r="F94" s="14">
        <v>0</v>
      </c>
      <c r="G94" s="14">
        <v>0</v>
      </c>
      <c r="H94" s="14">
        <v>0</v>
      </c>
      <c r="I94" s="14">
        <v>0</v>
      </c>
      <c r="J94" s="13">
        <v>0</v>
      </c>
      <c r="K94" s="14">
        <v>0</v>
      </c>
      <c r="L94" s="14">
        <v>0</v>
      </c>
      <c r="M94" s="14">
        <v>0</v>
      </c>
      <c r="N94" s="14">
        <v>0</v>
      </c>
      <c r="O94" s="13">
        <v>0</v>
      </c>
      <c r="P94" s="14">
        <v>0</v>
      </c>
      <c r="Q94" s="14">
        <v>0</v>
      </c>
      <c r="R94" s="14">
        <v>0</v>
      </c>
      <c r="S94" s="14">
        <v>0</v>
      </c>
      <c r="T94" s="14">
        <v>2000</v>
      </c>
      <c r="U94" s="14">
        <v>2000</v>
      </c>
      <c r="V94" s="14">
        <v>0</v>
      </c>
      <c r="W94" s="14">
        <v>0</v>
      </c>
      <c r="X94" s="14">
        <v>0</v>
      </c>
      <c r="Y94" s="14">
        <v>2000</v>
      </c>
      <c r="Z94" s="14">
        <v>2000</v>
      </c>
      <c r="AA94" s="14">
        <v>0</v>
      </c>
      <c r="AB94" s="14">
        <v>0</v>
      </c>
      <c r="AC94" s="14">
        <v>0</v>
      </c>
      <c r="AD94" s="13">
        <f>E94+J94+O94+T94+Y94</f>
        <v>4000</v>
      </c>
    </row>
    <row r="95" spans="1:31" ht="60.75" customHeight="1">
      <c r="A95" s="51" t="s">
        <v>103</v>
      </c>
      <c r="B95" s="6" t="s">
        <v>193</v>
      </c>
      <c r="C95" s="521"/>
      <c r="D95" s="70" t="s">
        <v>93</v>
      </c>
      <c r="E95" s="13">
        <v>0</v>
      </c>
      <c r="F95" s="14">
        <v>0</v>
      </c>
      <c r="G95" s="14">
        <v>0</v>
      </c>
      <c r="H95" s="14">
        <v>0</v>
      </c>
      <c r="I95" s="14">
        <v>0</v>
      </c>
      <c r="J95" s="13">
        <v>0</v>
      </c>
      <c r="K95" s="14">
        <v>0</v>
      </c>
      <c r="L95" s="14">
        <v>0</v>
      </c>
      <c r="M95" s="14">
        <v>0</v>
      </c>
      <c r="N95" s="14">
        <v>0</v>
      </c>
      <c r="O95" s="13">
        <v>0</v>
      </c>
      <c r="P95" s="14">
        <v>0</v>
      </c>
      <c r="Q95" s="14">
        <v>0</v>
      </c>
      <c r="R95" s="14">
        <v>0</v>
      </c>
      <c r="S95" s="14">
        <v>0</v>
      </c>
      <c r="T95" s="14">
        <v>10000</v>
      </c>
      <c r="U95" s="14">
        <v>10000</v>
      </c>
      <c r="V95" s="14">
        <v>0</v>
      </c>
      <c r="W95" s="14">
        <v>0</v>
      </c>
      <c r="X95" s="14">
        <v>0</v>
      </c>
      <c r="Y95" s="14">
        <v>10000</v>
      </c>
      <c r="Z95" s="14">
        <v>10000</v>
      </c>
      <c r="AA95" s="14">
        <v>0</v>
      </c>
      <c r="AB95" s="14">
        <v>0</v>
      </c>
      <c r="AC95" s="14">
        <v>0</v>
      </c>
      <c r="AD95" s="13">
        <f>E95+J95+O95+T95+Y95</f>
        <v>20000</v>
      </c>
    </row>
    <row r="96" spans="1:31" ht="63">
      <c r="A96" s="51" t="s">
        <v>104</v>
      </c>
      <c r="B96" s="6" t="s">
        <v>116</v>
      </c>
      <c r="C96" s="522"/>
      <c r="D96" s="70" t="s">
        <v>93</v>
      </c>
      <c r="E96" s="13">
        <f>F96+G96+H96+I96</f>
        <v>300</v>
      </c>
      <c r="F96" s="14">
        <v>300</v>
      </c>
      <c r="G96" s="14">
        <v>0</v>
      </c>
      <c r="H96" s="14">
        <v>0</v>
      </c>
      <c r="I96" s="14">
        <v>0</v>
      </c>
      <c r="J96" s="13">
        <f>K96+L96+M96+N96</f>
        <v>300</v>
      </c>
      <c r="K96" s="14">
        <v>300</v>
      </c>
      <c r="L96" s="14">
        <v>0</v>
      </c>
      <c r="M96" s="14">
        <v>0</v>
      </c>
      <c r="N96" s="14">
        <v>0</v>
      </c>
      <c r="O96" s="13">
        <f>P96+Q96+R96+S96</f>
        <v>300</v>
      </c>
      <c r="P96" s="14">
        <v>300</v>
      </c>
      <c r="Q96" s="14">
        <v>0</v>
      </c>
      <c r="R96" s="14">
        <v>0</v>
      </c>
      <c r="S96" s="14">
        <v>0</v>
      </c>
      <c r="T96" s="13">
        <f>U96+V96+W96+X96</f>
        <v>300</v>
      </c>
      <c r="U96" s="14">
        <v>300</v>
      </c>
      <c r="V96" s="14">
        <v>0</v>
      </c>
      <c r="W96" s="14">
        <v>0</v>
      </c>
      <c r="X96" s="14">
        <v>0</v>
      </c>
      <c r="Y96" s="13">
        <f>Z96+AA96+AB96+AC96</f>
        <v>300</v>
      </c>
      <c r="Z96" s="14">
        <v>300</v>
      </c>
      <c r="AA96" s="14">
        <v>0</v>
      </c>
      <c r="AB96" s="14">
        <v>0</v>
      </c>
      <c r="AC96" s="14">
        <v>0</v>
      </c>
      <c r="AD96" s="13">
        <f>E96+J96+O96+T96+Y96</f>
        <v>1500</v>
      </c>
    </row>
    <row r="97" spans="1:30" ht="16.5">
      <c r="A97" s="526" t="s">
        <v>79</v>
      </c>
      <c r="B97" s="527"/>
      <c r="C97" s="528"/>
      <c r="D97" s="69"/>
      <c r="E97" s="31">
        <f t="shared" ref="E97:AD97" si="21">SUM(E94:E96)</f>
        <v>300</v>
      </c>
      <c r="F97" s="31">
        <f t="shared" si="21"/>
        <v>300</v>
      </c>
      <c r="G97" s="31">
        <f t="shared" si="21"/>
        <v>0</v>
      </c>
      <c r="H97" s="31">
        <f t="shared" si="21"/>
        <v>0</v>
      </c>
      <c r="I97" s="31">
        <f t="shared" si="21"/>
        <v>0</v>
      </c>
      <c r="J97" s="31">
        <f t="shared" si="21"/>
        <v>300</v>
      </c>
      <c r="K97" s="31">
        <f t="shared" si="21"/>
        <v>300</v>
      </c>
      <c r="L97" s="31">
        <f t="shared" si="21"/>
        <v>0</v>
      </c>
      <c r="M97" s="31">
        <f t="shared" si="21"/>
        <v>0</v>
      </c>
      <c r="N97" s="31">
        <f t="shared" si="21"/>
        <v>0</v>
      </c>
      <c r="O97" s="31">
        <f t="shared" si="21"/>
        <v>300</v>
      </c>
      <c r="P97" s="31">
        <f t="shared" si="21"/>
        <v>300</v>
      </c>
      <c r="Q97" s="31">
        <f t="shared" si="21"/>
        <v>0</v>
      </c>
      <c r="R97" s="31">
        <f t="shared" si="21"/>
        <v>0</v>
      </c>
      <c r="S97" s="31">
        <f t="shared" si="21"/>
        <v>0</v>
      </c>
      <c r="T97" s="31">
        <f t="shared" si="21"/>
        <v>12300</v>
      </c>
      <c r="U97" s="31">
        <f t="shared" si="21"/>
        <v>12300</v>
      </c>
      <c r="V97" s="31">
        <f t="shared" si="21"/>
        <v>0</v>
      </c>
      <c r="W97" s="31">
        <f t="shared" si="21"/>
        <v>0</v>
      </c>
      <c r="X97" s="31">
        <f t="shared" si="21"/>
        <v>0</v>
      </c>
      <c r="Y97" s="31">
        <f t="shared" si="21"/>
        <v>12300</v>
      </c>
      <c r="Z97" s="31">
        <f t="shared" si="21"/>
        <v>12300</v>
      </c>
      <c r="AA97" s="31">
        <f t="shared" si="21"/>
        <v>0</v>
      </c>
      <c r="AB97" s="31">
        <f t="shared" si="21"/>
        <v>0</v>
      </c>
      <c r="AC97" s="31">
        <f t="shared" si="21"/>
        <v>0</v>
      </c>
      <c r="AD97" s="31">
        <f t="shared" si="21"/>
        <v>25500</v>
      </c>
    </row>
    <row r="98" spans="1:30" ht="18.75" customHeight="1">
      <c r="A98" s="66">
        <v>14</v>
      </c>
      <c r="B98" s="523" t="s">
        <v>156</v>
      </c>
      <c r="C98" s="524"/>
      <c r="D98" s="524"/>
      <c r="E98" s="524"/>
      <c r="F98" s="524"/>
      <c r="G98" s="524"/>
      <c r="H98" s="524"/>
      <c r="I98" s="524"/>
      <c r="J98" s="524"/>
      <c r="K98" s="524"/>
      <c r="L98" s="524"/>
      <c r="M98" s="524"/>
      <c r="N98" s="524"/>
      <c r="O98" s="524"/>
      <c r="P98" s="524"/>
      <c r="Q98" s="524"/>
      <c r="R98" s="524"/>
      <c r="S98" s="524"/>
      <c r="T98" s="524"/>
      <c r="U98" s="524"/>
      <c r="V98" s="524"/>
      <c r="W98" s="524"/>
      <c r="X98" s="524"/>
      <c r="Y98" s="524"/>
      <c r="Z98" s="524"/>
      <c r="AA98" s="524"/>
      <c r="AB98" s="524"/>
      <c r="AC98" s="524"/>
      <c r="AD98" s="525"/>
    </row>
    <row r="99" spans="1:30" ht="140.25" customHeight="1">
      <c r="A99" s="48" t="s">
        <v>152</v>
      </c>
      <c r="B99" s="52" t="s">
        <v>185</v>
      </c>
      <c r="C99" s="53" t="s">
        <v>155</v>
      </c>
      <c r="D99" s="70" t="s">
        <v>93</v>
      </c>
      <c r="E99" s="54">
        <v>0</v>
      </c>
      <c r="F99" s="54">
        <v>0</v>
      </c>
      <c r="G99" s="54">
        <v>0</v>
      </c>
      <c r="H99" s="54">
        <v>0</v>
      </c>
      <c r="I99" s="54">
        <v>0</v>
      </c>
      <c r="J99" s="54">
        <v>0</v>
      </c>
      <c r="K99" s="54">
        <v>0</v>
      </c>
      <c r="L99" s="54">
        <v>0</v>
      </c>
      <c r="M99" s="54">
        <v>0</v>
      </c>
      <c r="N99" s="54">
        <v>0</v>
      </c>
      <c r="O99" s="54">
        <v>0</v>
      </c>
      <c r="P99" s="54">
        <v>0</v>
      </c>
      <c r="Q99" s="54">
        <v>0</v>
      </c>
      <c r="R99" s="54">
        <v>0</v>
      </c>
      <c r="S99" s="54">
        <v>0</v>
      </c>
      <c r="T99" s="54">
        <v>2488</v>
      </c>
      <c r="U99" s="54">
        <v>2488</v>
      </c>
      <c r="V99" s="54">
        <v>0</v>
      </c>
      <c r="W99" s="54">
        <v>0</v>
      </c>
      <c r="X99" s="54">
        <v>0</v>
      </c>
      <c r="Y99" s="54">
        <v>2488</v>
      </c>
      <c r="Z99" s="54">
        <v>2488</v>
      </c>
      <c r="AA99" s="54">
        <v>0</v>
      </c>
      <c r="AB99" s="54">
        <v>0</v>
      </c>
      <c r="AC99" s="54">
        <v>0</v>
      </c>
      <c r="AD99" s="55">
        <f>E99+J99+O99+T99+Y99</f>
        <v>4976</v>
      </c>
    </row>
    <row r="100" spans="1:30" ht="135" customHeight="1">
      <c r="A100" s="48" t="s">
        <v>153</v>
      </c>
      <c r="B100" s="103" t="s">
        <v>186</v>
      </c>
      <c r="C100" s="56" t="s">
        <v>107</v>
      </c>
      <c r="D100" s="70" t="s">
        <v>93</v>
      </c>
      <c r="E100" s="54">
        <v>500</v>
      </c>
      <c r="F100" s="54">
        <v>500</v>
      </c>
      <c r="G100" s="54">
        <v>0</v>
      </c>
      <c r="H100" s="54">
        <v>0</v>
      </c>
      <c r="I100" s="54">
        <v>0</v>
      </c>
      <c r="J100" s="54">
        <v>0</v>
      </c>
      <c r="K100" s="54">
        <v>0</v>
      </c>
      <c r="L100" s="54">
        <v>0</v>
      </c>
      <c r="M100" s="54">
        <v>0</v>
      </c>
      <c r="N100" s="54">
        <v>0</v>
      </c>
      <c r="O100" s="54">
        <v>0</v>
      </c>
      <c r="P100" s="54">
        <v>0</v>
      </c>
      <c r="Q100" s="54">
        <v>0</v>
      </c>
      <c r="R100" s="54">
        <v>0</v>
      </c>
      <c r="S100" s="54">
        <v>0</v>
      </c>
      <c r="T100" s="54">
        <v>6480</v>
      </c>
      <c r="U100" s="54">
        <v>6480</v>
      </c>
      <c r="V100" s="54">
        <v>0</v>
      </c>
      <c r="W100" s="54">
        <v>0</v>
      </c>
      <c r="X100" s="54">
        <v>0</v>
      </c>
      <c r="Y100" s="54">
        <v>6480</v>
      </c>
      <c r="Z100" s="54">
        <v>6480</v>
      </c>
      <c r="AA100" s="54">
        <v>0</v>
      </c>
      <c r="AB100" s="54">
        <v>0</v>
      </c>
      <c r="AC100" s="54">
        <v>0</v>
      </c>
      <c r="AD100" s="55">
        <f>E100+J100+O100+T100+Y100</f>
        <v>13460</v>
      </c>
    </row>
    <row r="101" spans="1:30" ht="141.75">
      <c r="A101" s="48" t="s">
        <v>157</v>
      </c>
      <c r="B101" s="7" t="s">
        <v>159</v>
      </c>
      <c r="C101" s="57" t="s">
        <v>107</v>
      </c>
      <c r="D101" s="70" t="s">
        <v>93</v>
      </c>
      <c r="E101" s="54">
        <v>2880</v>
      </c>
      <c r="F101" s="54">
        <v>2880</v>
      </c>
      <c r="G101" s="54">
        <v>0</v>
      </c>
      <c r="H101" s="54">
        <v>0</v>
      </c>
      <c r="I101" s="54">
        <v>0</v>
      </c>
      <c r="J101" s="54">
        <v>0</v>
      </c>
      <c r="K101" s="54">
        <v>0</v>
      </c>
      <c r="L101" s="54">
        <v>0</v>
      </c>
      <c r="M101" s="54">
        <v>0</v>
      </c>
      <c r="N101" s="54">
        <v>0</v>
      </c>
      <c r="O101" s="54">
        <v>0</v>
      </c>
      <c r="P101" s="54">
        <v>0</v>
      </c>
      <c r="Q101" s="54">
        <v>0</v>
      </c>
      <c r="R101" s="54">
        <v>0</v>
      </c>
      <c r="S101" s="54">
        <v>0</v>
      </c>
      <c r="T101" s="54">
        <v>5760</v>
      </c>
      <c r="U101" s="54">
        <v>5760</v>
      </c>
      <c r="V101" s="54">
        <v>0</v>
      </c>
      <c r="W101" s="54">
        <v>0</v>
      </c>
      <c r="X101" s="54">
        <v>0</v>
      </c>
      <c r="Y101" s="54">
        <v>5760</v>
      </c>
      <c r="Z101" s="54">
        <v>5760</v>
      </c>
      <c r="AA101" s="54">
        <v>0</v>
      </c>
      <c r="AB101" s="54">
        <v>0</v>
      </c>
      <c r="AC101" s="54">
        <v>0</v>
      </c>
      <c r="AD101" s="55">
        <f>E101+J101+O101+T101+Y101</f>
        <v>14400</v>
      </c>
    </row>
    <row r="102" spans="1:30" ht="16.5">
      <c r="A102" s="526" t="s">
        <v>154</v>
      </c>
      <c r="B102" s="527"/>
      <c r="C102" s="528"/>
      <c r="D102" s="48"/>
      <c r="E102" s="55">
        <f>E100+E101</f>
        <v>3380</v>
      </c>
      <c r="F102" s="55">
        <f>F99+F100+F101</f>
        <v>3380</v>
      </c>
      <c r="G102" s="55">
        <f>G100</f>
        <v>0</v>
      </c>
      <c r="H102" s="55">
        <f>I100</f>
        <v>0</v>
      </c>
      <c r="I102" s="55">
        <f t="shared" ref="I102:V102" si="22">I100</f>
        <v>0</v>
      </c>
      <c r="J102" s="55">
        <f>K102+L102+M102+N102</f>
        <v>0</v>
      </c>
      <c r="K102" s="55">
        <f>K99+K100+K101</f>
        <v>0</v>
      </c>
      <c r="L102" s="55">
        <f t="shared" si="22"/>
        <v>0</v>
      </c>
      <c r="M102" s="55">
        <f t="shared" si="22"/>
        <v>0</v>
      </c>
      <c r="N102" s="55">
        <f t="shared" si="22"/>
        <v>0</v>
      </c>
      <c r="O102" s="55">
        <f>P102+Q102+R102+S102</f>
        <v>0</v>
      </c>
      <c r="P102" s="55">
        <f>P99+P100+P101</f>
        <v>0</v>
      </c>
      <c r="Q102" s="55">
        <f t="shared" si="22"/>
        <v>0</v>
      </c>
      <c r="R102" s="55">
        <f t="shared" si="22"/>
        <v>0</v>
      </c>
      <c r="S102" s="55">
        <f t="shared" si="22"/>
        <v>0</v>
      </c>
      <c r="T102" s="55">
        <f>U102+V102+W102+X102</f>
        <v>14728</v>
      </c>
      <c r="U102" s="55">
        <f>U99+U100+U101</f>
        <v>14728</v>
      </c>
      <c r="V102" s="55">
        <f t="shared" si="22"/>
        <v>0</v>
      </c>
      <c r="W102" s="55">
        <f>V100</f>
        <v>0</v>
      </c>
      <c r="X102" s="55">
        <f t="shared" ref="X102:AC102" si="23">X100</f>
        <v>0</v>
      </c>
      <c r="Y102" s="55">
        <f>Z102+AA102+AB102+AC102</f>
        <v>14728</v>
      </c>
      <c r="Z102" s="55">
        <f>Z99+Z100+Z101</f>
        <v>14728</v>
      </c>
      <c r="AA102" s="55">
        <f t="shared" si="23"/>
        <v>0</v>
      </c>
      <c r="AB102" s="55">
        <f t="shared" si="23"/>
        <v>0</v>
      </c>
      <c r="AC102" s="55">
        <f t="shared" si="23"/>
        <v>0</v>
      </c>
      <c r="AD102" s="55">
        <f>E102+J102+O102+T102+Y102</f>
        <v>32836</v>
      </c>
    </row>
    <row r="103" spans="1:30" ht="18.75" customHeight="1">
      <c r="A103" s="66"/>
      <c r="B103" s="523" t="s">
        <v>166</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5"/>
    </row>
    <row r="104" spans="1:30" ht="83.25" customHeight="1">
      <c r="A104" s="48" t="s">
        <v>188</v>
      </c>
      <c r="B104" s="82" t="s">
        <v>167</v>
      </c>
      <c r="C104" s="6" t="s">
        <v>14</v>
      </c>
      <c r="D104" s="81" t="s">
        <v>168</v>
      </c>
      <c r="E104" s="83">
        <v>0</v>
      </c>
      <c r="F104" s="83">
        <v>0</v>
      </c>
      <c r="G104" s="83">
        <v>0</v>
      </c>
      <c r="H104" s="83">
        <v>0</v>
      </c>
      <c r="I104" s="83">
        <v>0</v>
      </c>
      <c r="J104" s="83">
        <v>0</v>
      </c>
      <c r="K104" s="83">
        <v>0</v>
      </c>
      <c r="L104" s="83">
        <v>0</v>
      </c>
      <c r="M104" s="83">
        <v>0</v>
      </c>
      <c r="N104" s="83">
        <v>0</v>
      </c>
      <c r="O104" s="83">
        <v>0</v>
      </c>
      <c r="P104" s="83">
        <v>0</v>
      </c>
      <c r="Q104" s="83">
        <v>0</v>
      </c>
      <c r="R104" s="83">
        <v>0</v>
      </c>
      <c r="S104" s="83">
        <v>0</v>
      </c>
      <c r="T104" s="83">
        <f>U104+V104+W104+X104</f>
        <v>3942</v>
      </c>
      <c r="U104" s="83">
        <v>3942</v>
      </c>
      <c r="V104" s="83">
        <v>0</v>
      </c>
      <c r="W104" s="83">
        <v>0</v>
      </c>
      <c r="X104" s="83">
        <v>0</v>
      </c>
      <c r="Y104" s="83">
        <f>Z104+AA104+AB104+AC104</f>
        <v>3942</v>
      </c>
      <c r="Z104" s="86">
        <v>3942</v>
      </c>
      <c r="AA104" s="86">
        <v>0</v>
      </c>
      <c r="AB104" s="86">
        <v>0</v>
      </c>
      <c r="AC104" s="86">
        <v>0</v>
      </c>
      <c r="AD104" s="87">
        <f>E104+J104+O104+T104+Y104</f>
        <v>7884</v>
      </c>
    </row>
    <row r="105" spans="1:30" ht="18.75" customHeight="1">
      <c r="A105" s="66" t="s">
        <v>169</v>
      </c>
      <c r="B105" s="99"/>
      <c r="C105" s="80"/>
      <c r="D105" s="80"/>
      <c r="E105" s="84">
        <f t="shared" ref="E105:AD105" si="24">E104</f>
        <v>0</v>
      </c>
      <c r="F105" s="84">
        <f t="shared" si="24"/>
        <v>0</v>
      </c>
      <c r="G105" s="84">
        <f t="shared" si="24"/>
        <v>0</v>
      </c>
      <c r="H105" s="84">
        <f t="shared" si="24"/>
        <v>0</v>
      </c>
      <c r="I105" s="84">
        <f t="shared" si="24"/>
        <v>0</v>
      </c>
      <c r="J105" s="84">
        <f t="shared" si="24"/>
        <v>0</v>
      </c>
      <c r="K105" s="84">
        <f t="shared" si="24"/>
        <v>0</v>
      </c>
      <c r="L105" s="84">
        <f t="shared" si="24"/>
        <v>0</v>
      </c>
      <c r="M105" s="84">
        <f t="shared" si="24"/>
        <v>0</v>
      </c>
      <c r="N105" s="84">
        <f t="shared" si="24"/>
        <v>0</v>
      </c>
      <c r="O105" s="84">
        <f t="shared" si="24"/>
        <v>0</v>
      </c>
      <c r="P105" s="84">
        <f t="shared" si="24"/>
        <v>0</v>
      </c>
      <c r="Q105" s="84">
        <f t="shared" si="24"/>
        <v>0</v>
      </c>
      <c r="R105" s="84">
        <f t="shared" si="24"/>
        <v>0</v>
      </c>
      <c r="S105" s="84">
        <f t="shared" si="24"/>
        <v>0</v>
      </c>
      <c r="T105" s="84">
        <f t="shared" si="24"/>
        <v>3942</v>
      </c>
      <c r="U105" s="84">
        <f t="shared" si="24"/>
        <v>3942</v>
      </c>
      <c r="V105" s="84">
        <f t="shared" si="24"/>
        <v>0</v>
      </c>
      <c r="W105" s="84">
        <f t="shared" si="24"/>
        <v>0</v>
      </c>
      <c r="X105" s="84">
        <f t="shared" si="24"/>
        <v>0</v>
      </c>
      <c r="Y105" s="84">
        <f t="shared" si="24"/>
        <v>3942</v>
      </c>
      <c r="Z105" s="84">
        <f t="shared" si="24"/>
        <v>3942</v>
      </c>
      <c r="AA105" s="84">
        <f t="shared" si="24"/>
        <v>0</v>
      </c>
      <c r="AB105" s="84">
        <f t="shared" si="24"/>
        <v>0</v>
      </c>
      <c r="AC105" s="84">
        <f t="shared" si="24"/>
        <v>0</v>
      </c>
      <c r="AD105" s="88">
        <f t="shared" si="24"/>
        <v>7884</v>
      </c>
    </row>
    <row r="106" spans="1:30" ht="18.75">
      <c r="A106" s="517" t="s">
        <v>67</v>
      </c>
      <c r="B106" s="517"/>
      <c r="C106" s="517"/>
      <c r="D106" s="68"/>
      <c r="E106" s="107">
        <f>F106+G106+H106+I106</f>
        <v>187405</v>
      </c>
      <c r="F106" s="107">
        <f>F20+F25+F29+F49+F54+F57+F61+F66+F69+F73+F85+F92+F97+F102</f>
        <v>136771</v>
      </c>
      <c r="G106" s="107">
        <f>G49+G83+G84</f>
        <v>45966</v>
      </c>
      <c r="H106" s="107">
        <f>SUM(H20,H25,H29,H49,H54,H57,H61,H66,H69,H73,H85,H92,H97)</f>
        <v>0</v>
      </c>
      <c r="I106" s="107">
        <f>SUM(I20,I25,I29,I49,I54,I57,I61,I66,I69,I73,I85,I92,I97)</f>
        <v>4668</v>
      </c>
      <c r="J106" s="58">
        <f>K106+L106+M106+N106</f>
        <v>70176</v>
      </c>
      <c r="K106" s="58">
        <f>K20+K25+K29+K49+K54+K57+K61+K66+K69+K73+K85+K92+K97+K102+K105</f>
        <v>70176</v>
      </c>
      <c r="L106" s="58">
        <f>SUM(L20,L25,L29,L49,L54,L57,L61,L66,L69,L73,L85,L92,L97)</f>
        <v>0</v>
      </c>
      <c r="M106" s="58">
        <f>SUM(M20,M25,M29,M49,M54,M57,M61,M66,M69,M73,M85,M92,M97)</f>
        <v>0</v>
      </c>
      <c r="N106" s="58">
        <f>SUM(N20,N25,N29,N49,N54,N57,N61,N66,N69,N73,N85,N92,N97)</f>
        <v>0</v>
      </c>
      <c r="O106" s="58">
        <f>P106+Q106+R106+S106</f>
        <v>70176</v>
      </c>
      <c r="P106" s="58">
        <f>P20+P25+P29+P49+P54+P57+P61+P66+P69+P73+P85+P92+P97+P102+P105</f>
        <v>70176</v>
      </c>
      <c r="Q106" s="58">
        <f>SUM(Q20,Q25,Q29,Q49,Q54,Q57,Q61,Q66,Q69,Q73,Q85,Q92,Q97)</f>
        <v>0</v>
      </c>
      <c r="R106" s="58">
        <f>SUM(R20,R25,R29,R49,R54,R57,R61,R66,R69,R73,R85,R92,R97)</f>
        <v>0</v>
      </c>
      <c r="S106" s="58">
        <f>SUM(S20,S25,S29,S49,S54,S57,S61,S66,S69,S73,S85,S92,S97)</f>
        <v>0</v>
      </c>
      <c r="T106" s="58">
        <f>U106+V106+W106+X106</f>
        <v>186664.3</v>
      </c>
      <c r="U106" s="58">
        <f>U20+U25+U29+U49+U54+U57+U61+U66+U69+U73+U85+U92+U97+U102+U105</f>
        <v>180784.3</v>
      </c>
      <c r="V106" s="58">
        <f>SUM(V20,V25,V29,V49,V54,V57,V61,V66,V69,V73,V85,V92,V97)</f>
        <v>0</v>
      </c>
      <c r="W106" s="58">
        <f>SUM(W20,W25,W29,W49,W54,W57,W61,W66,W69,W73,W85,W92,W97)</f>
        <v>0</v>
      </c>
      <c r="X106" s="58">
        <f>SUM(X20,X25,X29,X49,X54,X57,X61,X66,X69,X73,X85,X92,X97)</f>
        <v>5880</v>
      </c>
      <c r="Y106" s="58">
        <f>Z106+AA106+AB106+AC106</f>
        <v>186674.3</v>
      </c>
      <c r="Z106" s="58">
        <f>Z20+Z25+Z29+Z49+Z54+Z57+Z61+Z66+Z69+Z73+Z85+Z92+Z97+Z102+Z105</f>
        <v>180794.3</v>
      </c>
      <c r="AA106" s="58">
        <f>SUM(AA20,AA25,AA29,AA49,AA54,AA57,AA61,AA66,AA69,AA73,AA85,AA92,AA97)</f>
        <v>0</v>
      </c>
      <c r="AB106" s="58">
        <f>SUM(AB20,AB25,AB29,AB49,AB54,AB57,AB61,AB66,AB69,AB73,AB85,AB92,AB97)</f>
        <v>0</v>
      </c>
      <c r="AC106" s="58">
        <f>SUM(AC20,AC25,AC29,AC49,AC54,AC57,AC61,AC66,AC69,AC73,AC85,AC92,AC97)</f>
        <v>5880</v>
      </c>
      <c r="AD106" s="58">
        <f>E106+J106+O106+T106+Y106</f>
        <v>701095.6</v>
      </c>
    </row>
    <row r="107" spans="1:30">
      <c r="E107" s="59"/>
      <c r="F107" s="59"/>
      <c r="G107" s="59"/>
      <c r="H107" s="59"/>
      <c r="I107" s="59"/>
      <c r="J107" s="59"/>
    </row>
    <row r="108" spans="1:30">
      <c r="A108" s="22" t="s">
        <v>202</v>
      </c>
      <c r="K108" s="60"/>
      <c r="L108" s="61"/>
      <c r="M108" s="61"/>
      <c r="N108" s="61"/>
      <c r="O108" s="61"/>
      <c r="P108" s="61"/>
      <c r="Q108" s="61"/>
      <c r="R108" s="61"/>
      <c r="S108" s="61"/>
      <c r="T108" s="61"/>
      <c r="U108" s="61"/>
      <c r="V108" s="61"/>
      <c r="W108" s="61"/>
    </row>
    <row r="109" spans="1:30" ht="18.75">
      <c r="B109" s="9"/>
      <c r="C109" s="9">
        <v>2020</v>
      </c>
      <c r="D109" s="9"/>
      <c r="J109" s="1">
        <v>2021</v>
      </c>
      <c r="O109" s="1">
        <v>2022</v>
      </c>
      <c r="T109" s="1">
        <v>2023</v>
      </c>
      <c r="Y109" s="1">
        <v>2024</v>
      </c>
    </row>
    <row r="110" spans="1:30" ht="142.5">
      <c r="A110" s="89" t="s">
        <v>201</v>
      </c>
      <c r="B110" s="10" t="s">
        <v>134</v>
      </c>
      <c r="C110" s="62">
        <f>E22+E25+E29+E51+E54+E57+E63+E66+E69+E75+E87+E97+E102</f>
        <v>99415</v>
      </c>
      <c r="D110" s="9"/>
      <c r="I110" s="1" t="s">
        <v>134</v>
      </c>
      <c r="J110" s="11">
        <f>K22+K25+K29+K51+K54+K57+K63+K66+K69+K75+K87+K97</f>
        <v>69558</v>
      </c>
      <c r="N110" s="1" t="s">
        <v>134</v>
      </c>
      <c r="O110" s="11">
        <f>P22+P25+P29+P51+P54+P57+P63+P66+P69+P75+P87+P97</f>
        <v>69558</v>
      </c>
      <c r="S110" s="1" t="s">
        <v>134</v>
      </c>
      <c r="T110" s="11">
        <f>T22+T25+T29+T51+T54+T57+T63+T66+T69+T75+T87+T97+T102</f>
        <v>113733.3</v>
      </c>
      <c r="X110" s="1" t="s">
        <v>134</v>
      </c>
      <c r="Y110" s="11">
        <f>Y22+Y25+Y29+Y51+Y54+Y57+Y63+Y66+Y69+Y75+Y87+Y97+Y102</f>
        <v>113743.3</v>
      </c>
      <c r="AC110" s="11">
        <f>C110+J110+O110+T110+Y110</f>
        <v>466007.6</v>
      </c>
    </row>
    <row r="111" spans="1:30" ht="18.75" hidden="1">
      <c r="B111" s="10" t="s">
        <v>137</v>
      </c>
      <c r="C111" s="62" t="e">
        <f>#REF!+E50+E62+E74+E83+E92</f>
        <v>#REF!</v>
      </c>
      <c r="D111" s="9"/>
      <c r="I111" s="1" t="s">
        <v>137</v>
      </c>
      <c r="J111" s="11" t="e">
        <f>#REF!+J48+J62+J74+J86+J92</f>
        <v>#REF!</v>
      </c>
      <c r="N111" s="1" t="s">
        <v>137</v>
      </c>
      <c r="O111" s="11" t="e">
        <f>#REF!+O50+O62+O72+O92</f>
        <v>#REF!</v>
      </c>
      <c r="S111" s="1" t="s">
        <v>137</v>
      </c>
      <c r="T111" s="11" t="e">
        <f>#REF!+T50+T62+T74+T92</f>
        <v>#REF!</v>
      </c>
      <c r="X111" s="1" t="s">
        <v>137</v>
      </c>
      <c r="Y111" s="11" t="e">
        <f>#REF!+Y50+Y62+Y74+Y92</f>
        <v>#REF!</v>
      </c>
      <c r="AC111" s="11" t="e">
        <f>O111+T111+Y111+J111+C111</f>
        <v>#REF!</v>
      </c>
    </row>
    <row r="112" spans="1:30" ht="18.75">
      <c r="B112" s="10" t="s">
        <v>138</v>
      </c>
      <c r="C112" s="62">
        <f>E21+E105</f>
        <v>64066</v>
      </c>
      <c r="D112" s="9" t="s">
        <v>170</v>
      </c>
      <c r="I112" s="1" t="s">
        <v>140</v>
      </c>
      <c r="J112" s="11">
        <f>J21+J105</f>
        <v>0</v>
      </c>
      <c r="K112" s="1" t="s">
        <v>171</v>
      </c>
      <c r="N112" s="1" t="s">
        <v>140</v>
      </c>
      <c r="O112" s="11">
        <f>O21+O104</f>
        <v>0</v>
      </c>
      <c r="P112" s="1" t="s">
        <v>171</v>
      </c>
      <c r="S112" s="1" t="s">
        <v>140</v>
      </c>
      <c r="T112" s="11">
        <f>T21+T105</f>
        <v>72314</v>
      </c>
      <c r="U112" s="1" t="s">
        <v>171</v>
      </c>
      <c r="X112" s="1" t="s">
        <v>140</v>
      </c>
      <c r="Y112" s="11">
        <f>Y21+Y105</f>
        <v>72314</v>
      </c>
      <c r="Z112" s="1" t="s">
        <v>171</v>
      </c>
      <c r="AC112" s="11">
        <f>C112+J112+O112+T112+Y112</f>
        <v>208694</v>
      </c>
      <c r="AD112" s="1" t="s">
        <v>171</v>
      </c>
    </row>
    <row r="113" spans="2:30" ht="18.75">
      <c r="B113" s="9"/>
      <c r="C113" s="62">
        <f>F13+F14+F17+F105</f>
        <v>59398</v>
      </c>
      <c r="D113" s="9" t="s">
        <v>139</v>
      </c>
      <c r="J113" s="11">
        <f>K13+K14+K17+K18</f>
        <v>0</v>
      </c>
      <c r="K113" s="1" t="s">
        <v>172</v>
      </c>
      <c r="O113" s="11">
        <f>P21</f>
        <v>0</v>
      </c>
      <c r="P113" s="1" t="s">
        <v>172</v>
      </c>
      <c r="T113" s="11">
        <f>U21</f>
        <v>62492</v>
      </c>
      <c r="U113" s="1" t="s">
        <v>172</v>
      </c>
      <c r="Y113" s="11">
        <f>Z21</f>
        <v>62492</v>
      </c>
      <c r="Z113" s="1" t="s">
        <v>172</v>
      </c>
      <c r="AC113" s="11">
        <f>C113+J113+O113+T113+Y113</f>
        <v>184382</v>
      </c>
      <c r="AD113" s="1" t="s">
        <v>172</v>
      </c>
    </row>
    <row r="114" spans="2:30" ht="18.75">
      <c r="B114" s="10" t="s">
        <v>137</v>
      </c>
      <c r="C114" s="62">
        <f>E50+E62+E74+E92</f>
        <v>618</v>
      </c>
      <c r="D114" s="9"/>
      <c r="I114" s="1" t="s">
        <v>137</v>
      </c>
      <c r="J114" s="11">
        <f>K50+K62+K74+K92</f>
        <v>618</v>
      </c>
      <c r="K114" s="11"/>
      <c r="N114" s="1" t="s">
        <v>137</v>
      </c>
      <c r="O114" s="11">
        <f>P50+P62+P74+P92</f>
        <v>618</v>
      </c>
      <c r="S114" s="1" t="s">
        <v>137</v>
      </c>
      <c r="T114" s="11">
        <f>T50+T62+T74+T92</f>
        <v>617</v>
      </c>
      <c r="X114" s="1" t="s">
        <v>173</v>
      </c>
      <c r="Y114" s="11">
        <f>Y50+Y62+Y74+Y92</f>
        <v>617</v>
      </c>
      <c r="AC114" s="11">
        <f>C114+J114+O114+T114+Y114</f>
        <v>3088</v>
      </c>
    </row>
    <row r="115" spans="2:30" ht="18.75">
      <c r="B115" s="9"/>
      <c r="C115" s="62">
        <f>C110+C113+C114</f>
        <v>159431</v>
      </c>
      <c r="D115" s="9"/>
      <c r="J115" s="11"/>
      <c r="O115" s="11"/>
      <c r="T115" s="11">
        <f>T110+T112+T114</f>
        <v>186664.3</v>
      </c>
      <c r="Y115" s="11">
        <f>Y110+Y112+Y114</f>
        <v>186674.3</v>
      </c>
      <c r="AC115" s="11">
        <f>C115+J115+O115+T115+Y115</f>
        <v>532769.6</v>
      </c>
    </row>
    <row r="116" spans="2:30" ht="18.75">
      <c r="B116" s="9"/>
      <c r="C116" s="62">
        <f>C115+23068</f>
        <v>182499</v>
      </c>
      <c r="D116" s="9"/>
      <c r="J116" s="11"/>
      <c r="O116" s="11"/>
      <c r="T116" s="11"/>
      <c r="Y116" s="11"/>
    </row>
    <row r="117" spans="2:30" ht="18.75">
      <c r="B117" s="9"/>
      <c r="C117" s="9"/>
      <c r="D117" s="9"/>
    </row>
    <row r="118" spans="2:30">
      <c r="B118" s="76" t="s">
        <v>195</v>
      </c>
      <c r="C118" s="11">
        <f>I106+X106+AC106</f>
        <v>16428</v>
      </c>
    </row>
    <row r="119" spans="2:30">
      <c r="B119" s="77" t="s">
        <v>196</v>
      </c>
      <c r="C119" s="11">
        <f>F106+K106+P106+U106+Z106</f>
        <v>638701.6</v>
      </c>
    </row>
    <row r="120" spans="2:30">
      <c r="B120" s="77" t="s">
        <v>197</v>
      </c>
      <c r="C120" s="11">
        <f>G106</f>
        <v>45966</v>
      </c>
    </row>
    <row r="121" spans="2:30">
      <c r="C121" s="11">
        <f>SUM(C118:C120)</f>
        <v>701095.6</v>
      </c>
      <c r="AC121" s="11">
        <f>AC115-865014</f>
        <v>-332244.40000000002</v>
      </c>
    </row>
    <row r="123" spans="2:30">
      <c r="B123" s="11">
        <f>127165-F106</f>
        <v>-9606</v>
      </c>
    </row>
    <row r="125" spans="2:30">
      <c r="Y125" s="63">
        <f>973249000-19710000-88655000</f>
        <v>864884000</v>
      </c>
    </row>
    <row r="128" spans="2:30">
      <c r="C128" s="1" t="s">
        <v>160</v>
      </c>
      <c r="D128" s="63">
        <f>3000*1314</f>
        <v>3942000</v>
      </c>
      <c r="E128" s="63">
        <f>D128*5</f>
        <v>19710000</v>
      </c>
      <c r="F128" s="1" t="s">
        <v>161</v>
      </c>
    </row>
    <row r="129" spans="3:6">
      <c r="C129" s="1" t="s">
        <v>162</v>
      </c>
      <c r="D129" s="63">
        <v>17731000</v>
      </c>
      <c r="E129" s="63">
        <f>D129*5</f>
        <v>88655000</v>
      </c>
      <c r="F129" s="1" t="s">
        <v>161</v>
      </c>
    </row>
    <row r="134" spans="3:6">
      <c r="D134" s="11">
        <f>G106+L106+Q106+V106+AA106</f>
        <v>45966</v>
      </c>
    </row>
  </sheetData>
  <mergeCells count="50">
    <mergeCell ref="K3:AD3"/>
    <mergeCell ref="A5:AD5"/>
    <mergeCell ref="A7:A9"/>
    <mergeCell ref="B7:B9"/>
    <mergeCell ref="C7:C9"/>
    <mergeCell ref="D7:D9"/>
    <mergeCell ref="E7:AD7"/>
    <mergeCell ref="E8:I8"/>
    <mergeCell ref="J8:N8"/>
    <mergeCell ref="T8:X8"/>
    <mergeCell ref="AD8:AD9"/>
    <mergeCell ref="A11:AD11"/>
    <mergeCell ref="B12:AD12"/>
    <mergeCell ref="A20:C20"/>
    <mergeCell ref="B23:AD23"/>
    <mergeCell ref="O8:S8"/>
    <mergeCell ref="Y8:AC8"/>
    <mergeCell ref="C13:C14"/>
    <mergeCell ref="C15:C16"/>
    <mergeCell ref="A61:C61"/>
    <mergeCell ref="A25:C25"/>
    <mergeCell ref="B26:AD26"/>
    <mergeCell ref="A29:C29"/>
    <mergeCell ref="B30:AD30"/>
    <mergeCell ref="C31:C35"/>
    <mergeCell ref="A49:C49"/>
    <mergeCell ref="C38:C39"/>
    <mergeCell ref="C41:C45"/>
    <mergeCell ref="B52:AD52"/>
    <mergeCell ref="A54:C54"/>
    <mergeCell ref="B55:AD55"/>
    <mergeCell ref="A57:C57"/>
    <mergeCell ref="B58:AD58"/>
    <mergeCell ref="C27:C28"/>
    <mergeCell ref="B88:AD88"/>
    <mergeCell ref="B103:AD103"/>
    <mergeCell ref="B64:AD64"/>
    <mergeCell ref="A66:C66"/>
    <mergeCell ref="B67:AD67"/>
    <mergeCell ref="A69:C69"/>
    <mergeCell ref="B70:AD70"/>
    <mergeCell ref="A73:C73"/>
    <mergeCell ref="A97:C97"/>
    <mergeCell ref="A106:C106"/>
    <mergeCell ref="C89:C91"/>
    <mergeCell ref="A92:C92"/>
    <mergeCell ref="C94:C96"/>
    <mergeCell ref="B93:AD93"/>
    <mergeCell ref="B98:AD98"/>
    <mergeCell ref="A102:C102"/>
  </mergeCells>
  <pageMargins left="0.19685039370078741" right="0.15748031496062992" top="0.35433070866141736" bottom="0.23622047244094491" header="0.19685039370078741" footer="0.15748031496062992"/>
  <pageSetup paperSize="9" scale="35" orientation="landscape" r:id="rId1"/>
  <legacyDrawing r:id="rId2"/>
</worksheet>
</file>

<file path=xl/worksheets/sheet2.xml><?xml version="1.0" encoding="utf-8"?>
<worksheet xmlns="http://schemas.openxmlformats.org/spreadsheetml/2006/main" xmlns:r="http://schemas.openxmlformats.org/officeDocument/2006/relationships">
  <dimension ref="A1:AI134"/>
  <sheetViews>
    <sheetView view="pageBreakPreview" zoomScale="60" workbookViewId="0">
      <pane xSplit="14" ySplit="13" topLeftCell="O29" activePane="bottomRight" state="frozen"/>
      <selection pane="topRight" activeCell="O1" sqref="O1"/>
      <selection pane="bottomLeft" activeCell="A14" sqref="A14"/>
      <selection pane="bottomRight" activeCell="B17" sqref="B17"/>
    </sheetView>
  </sheetViews>
  <sheetFormatPr defaultRowHeight="15.75"/>
  <cols>
    <col min="1" max="1" width="5.85546875" style="22" customWidth="1"/>
    <col min="2" max="2" width="57.42578125" style="1" customWidth="1"/>
    <col min="3" max="3" width="15.5703125" style="1" customWidth="1"/>
    <col min="4" max="4" width="17.140625" style="1" customWidth="1"/>
    <col min="5" max="5" width="16.42578125" style="1" customWidth="1"/>
    <col min="6" max="6" width="12.5703125" style="1" customWidth="1"/>
    <col min="7" max="7" width="13" style="1" customWidth="1"/>
    <col min="8" max="8" width="6.7109375" style="1" customWidth="1"/>
    <col min="9" max="9" width="11.28515625" style="1" customWidth="1"/>
    <col min="10" max="10" width="17.85546875" style="1" customWidth="1"/>
    <col min="11" max="11" width="13.28515625" style="1" customWidth="1"/>
    <col min="12" max="12" width="11.5703125" style="1" customWidth="1"/>
    <col min="13" max="13" width="5.28515625" style="1" customWidth="1"/>
    <col min="14" max="14" width="9.7109375" style="1" customWidth="1"/>
    <col min="15" max="15" width="18.28515625" style="1" customWidth="1"/>
    <col min="16" max="16" width="13" style="1" customWidth="1"/>
    <col min="17" max="18" width="9.7109375" style="1" customWidth="1"/>
    <col min="19" max="19" width="13" style="1" customWidth="1"/>
    <col min="20" max="21" width="12.7109375" style="1" customWidth="1"/>
    <col min="22" max="22" width="11.85546875" style="1" customWidth="1"/>
    <col min="23" max="23" width="6.140625" style="1" customWidth="1"/>
    <col min="24" max="24" width="9.7109375" style="1" customWidth="1"/>
    <col min="25" max="25" width="17.42578125" style="1" customWidth="1"/>
    <col min="26" max="26" width="14.5703125" style="1" customWidth="1"/>
    <col min="27" max="28" width="9.7109375" style="1" customWidth="1"/>
    <col min="29" max="29" width="14.28515625" style="1" customWidth="1"/>
    <col min="30" max="30" width="21.7109375" style="1" customWidth="1"/>
    <col min="31" max="16384" width="9.140625" style="16"/>
  </cols>
  <sheetData>
    <row r="1" spans="1:30">
      <c r="Z1" s="1" t="s">
        <v>199</v>
      </c>
    </row>
    <row r="2" spans="1:30">
      <c r="Z2" s="1" t="s">
        <v>200</v>
      </c>
    </row>
    <row r="3" spans="1:30">
      <c r="K3" s="546"/>
      <c r="L3" s="546"/>
      <c r="M3" s="546"/>
      <c r="N3" s="546"/>
      <c r="O3" s="546"/>
      <c r="P3" s="546"/>
      <c r="Q3" s="546"/>
      <c r="R3" s="546"/>
      <c r="S3" s="546"/>
      <c r="T3" s="546"/>
      <c r="U3" s="546"/>
      <c r="V3" s="546"/>
      <c r="W3" s="546"/>
      <c r="X3" s="546"/>
      <c r="Y3" s="546"/>
      <c r="Z3" s="546"/>
      <c r="AA3" s="546"/>
      <c r="AB3" s="546"/>
      <c r="AC3" s="546"/>
      <c r="AD3" s="546"/>
    </row>
    <row r="5" spans="1:30" ht="18.75">
      <c r="A5" s="547" t="s">
        <v>0</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row>
    <row r="7" spans="1:30">
      <c r="A7" s="545" t="s">
        <v>1</v>
      </c>
      <c r="B7" s="545" t="s">
        <v>142</v>
      </c>
      <c r="C7" s="545" t="s">
        <v>2</v>
      </c>
      <c r="D7" s="548" t="s">
        <v>3</v>
      </c>
      <c r="E7" s="551" t="s">
        <v>4</v>
      </c>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row>
    <row r="8" spans="1:30">
      <c r="A8" s="545"/>
      <c r="B8" s="545"/>
      <c r="C8" s="545"/>
      <c r="D8" s="549"/>
      <c r="E8" s="545" t="s">
        <v>88</v>
      </c>
      <c r="F8" s="545"/>
      <c r="G8" s="545"/>
      <c r="H8" s="545"/>
      <c r="I8" s="545"/>
      <c r="J8" s="545" t="s">
        <v>89</v>
      </c>
      <c r="K8" s="545"/>
      <c r="L8" s="545"/>
      <c r="M8" s="545"/>
      <c r="N8" s="545"/>
      <c r="O8" s="545" t="s">
        <v>90</v>
      </c>
      <c r="P8" s="545"/>
      <c r="Q8" s="545"/>
      <c r="R8" s="545"/>
      <c r="S8" s="545"/>
      <c r="T8" s="545" t="s">
        <v>91</v>
      </c>
      <c r="U8" s="545"/>
      <c r="V8" s="545"/>
      <c r="W8" s="545"/>
      <c r="X8" s="545"/>
      <c r="Y8" s="545" t="s">
        <v>92</v>
      </c>
      <c r="Z8" s="545"/>
      <c r="AA8" s="545"/>
      <c r="AB8" s="545"/>
      <c r="AC8" s="545"/>
      <c r="AD8" s="545" t="s">
        <v>5</v>
      </c>
    </row>
    <row r="9" spans="1:30" ht="127.5">
      <c r="A9" s="545"/>
      <c r="B9" s="545"/>
      <c r="C9" s="545"/>
      <c r="D9" s="550"/>
      <c r="E9" s="114" t="s">
        <v>6</v>
      </c>
      <c r="F9" s="23" t="s">
        <v>7</v>
      </c>
      <c r="G9" s="23" t="s">
        <v>8</v>
      </c>
      <c r="H9" s="23" t="s">
        <v>9</v>
      </c>
      <c r="I9" s="24" t="s">
        <v>10</v>
      </c>
      <c r="J9" s="114" t="s">
        <v>6</v>
      </c>
      <c r="K9" s="23" t="s">
        <v>7</v>
      </c>
      <c r="L9" s="23" t="s">
        <v>8</v>
      </c>
      <c r="M9" s="23" t="s">
        <v>9</v>
      </c>
      <c r="N9" s="24" t="s">
        <v>10</v>
      </c>
      <c r="O9" s="114" t="s">
        <v>6</v>
      </c>
      <c r="P9" s="23" t="s">
        <v>7</v>
      </c>
      <c r="Q9" s="23" t="s">
        <v>8</v>
      </c>
      <c r="R9" s="23" t="s">
        <v>9</v>
      </c>
      <c r="S9" s="24" t="s">
        <v>10</v>
      </c>
      <c r="T9" s="114" t="s">
        <v>6</v>
      </c>
      <c r="U9" s="23" t="s">
        <v>7</v>
      </c>
      <c r="V9" s="23" t="s">
        <v>8</v>
      </c>
      <c r="W9" s="23" t="s">
        <v>9</v>
      </c>
      <c r="X9" s="24" t="s">
        <v>10</v>
      </c>
      <c r="Y9" s="114" t="s">
        <v>6</v>
      </c>
      <c r="Z9" s="23" t="s">
        <v>7</v>
      </c>
      <c r="AA9" s="23" t="s">
        <v>8</v>
      </c>
      <c r="AB9" s="23" t="s">
        <v>9</v>
      </c>
      <c r="AC9" s="24" t="s">
        <v>10</v>
      </c>
      <c r="AD9" s="545"/>
    </row>
    <row r="10" spans="1:30">
      <c r="A10" s="2">
        <v>1</v>
      </c>
      <c r="B10" s="2">
        <v>2</v>
      </c>
      <c r="C10" s="2">
        <v>3</v>
      </c>
      <c r="D10" s="2">
        <v>4</v>
      </c>
      <c r="E10" s="2">
        <v>5</v>
      </c>
      <c r="F10" s="2">
        <v>6</v>
      </c>
      <c r="G10" s="2">
        <v>7</v>
      </c>
      <c r="H10" s="2">
        <v>8</v>
      </c>
      <c r="I10" s="2">
        <v>9</v>
      </c>
      <c r="J10" s="2">
        <v>10</v>
      </c>
      <c r="K10" s="2">
        <v>11</v>
      </c>
      <c r="L10" s="2">
        <v>12</v>
      </c>
      <c r="M10" s="2">
        <v>13</v>
      </c>
      <c r="N10" s="2">
        <v>14</v>
      </c>
      <c r="O10" s="2">
        <v>15</v>
      </c>
      <c r="P10" s="2">
        <v>16</v>
      </c>
      <c r="Q10" s="2">
        <v>17</v>
      </c>
      <c r="R10" s="2">
        <v>18</v>
      </c>
      <c r="S10" s="2">
        <v>19</v>
      </c>
      <c r="T10" s="2">
        <v>20</v>
      </c>
      <c r="U10" s="2">
        <v>21</v>
      </c>
      <c r="V10" s="2">
        <v>22</v>
      </c>
      <c r="W10" s="2">
        <v>23</v>
      </c>
      <c r="X10" s="2">
        <v>24</v>
      </c>
      <c r="Y10" s="2">
        <v>25</v>
      </c>
      <c r="Z10" s="2">
        <v>26</v>
      </c>
      <c r="AA10" s="2">
        <v>27</v>
      </c>
      <c r="AB10" s="2">
        <v>28</v>
      </c>
      <c r="AC10" s="2">
        <v>29</v>
      </c>
      <c r="AD10" s="2">
        <v>30</v>
      </c>
    </row>
    <row r="11" spans="1:30" ht="18.75">
      <c r="A11" s="541" t="s">
        <v>86</v>
      </c>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3"/>
    </row>
    <row r="12" spans="1:30" ht="18.75" customHeight="1">
      <c r="A12" s="25" t="s">
        <v>11</v>
      </c>
      <c r="B12" s="544" t="s">
        <v>180</v>
      </c>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1"/>
    </row>
    <row r="13" spans="1:30" ht="141.75">
      <c r="A13" s="12" t="s">
        <v>12</v>
      </c>
      <c r="B13" s="26" t="s">
        <v>81</v>
      </c>
      <c r="C13" s="535" t="s">
        <v>14</v>
      </c>
      <c r="D13" s="124" t="s">
        <v>93</v>
      </c>
      <c r="E13" s="13">
        <f>SUM(F13:I13)</f>
        <v>43350</v>
      </c>
      <c r="F13" s="14">
        <v>43350</v>
      </c>
      <c r="G13" s="14">
        <v>0</v>
      </c>
      <c r="H13" s="14">
        <v>0</v>
      </c>
      <c r="I13" s="14">
        <v>0</v>
      </c>
      <c r="J13" s="13">
        <v>0</v>
      </c>
      <c r="K13" s="14">
        <v>0</v>
      </c>
      <c r="L13" s="14">
        <v>0</v>
      </c>
      <c r="M13" s="14">
        <v>0</v>
      </c>
      <c r="N13" s="14">
        <v>0</v>
      </c>
      <c r="O13" s="13">
        <v>0</v>
      </c>
      <c r="P13" s="14">
        <v>0</v>
      </c>
      <c r="Q13" s="14">
        <v>0</v>
      </c>
      <c r="R13" s="14">
        <v>0</v>
      </c>
      <c r="S13" s="14">
        <v>0</v>
      </c>
      <c r="T13" s="13">
        <f>U13+V13+W13+X13</f>
        <v>46425</v>
      </c>
      <c r="U13" s="14">
        <v>46425</v>
      </c>
      <c r="V13" s="14">
        <v>0</v>
      </c>
      <c r="W13" s="14">
        <v>0</v>
      </c>
      <c r="X13" s="14">
        <v>0</v>
      </c>
      <c r="Y13" s="13">
        <f>Z13+AA13+AB13+AC13</f>
        <v>46425</v>
      </c>
      <c r="Z13" s="14">
        <v>46425</v>
      </c>
      <c r="AA13" s="14">
        <v>0</v>
      </c>
      <c r="AB13" s="14">
        <v>0</v>
      </c>
      <c r="AC13" s="14">
        <v>0</v>
      </c>
      <c r="AD13" s="15">
        <f t="shared" ref="AD13:AD19" si="0">E13+J13+O13+T13+Y13</f>
        <v>136200</v>
      </c>
    </row>
    <row r="14" spans="1:30" ht="157.5">
      <c r="A14" s="12" t="s">
        <v>13</v>
      </c>
      <c r="B14" s="27" t="s">
        <v>133</v>
      </c>
      <c r="C14" s="537"/>
      <c r="D14" s="124" t="s">
        <v>93</v>
      </c>
      <c r="E14" s="29">
        <f>SUM(F14:I14)</f>
        <v>17350</v>
      </c>
      <c r="F14" s="30">
        <v>12748</v>
      </c>
      <c r="G14" s="30">
        <v>0</v>
      </c>
      <c r="H14" s="30">
        <v>0</v>
      </c>
      <c r="I14" s="30">
        <v>4602</v>
      </c>
      <c r="J14" s="13">
        <v>0</v>
      </c>
      <c r="K14" s="14">
        <v>0</v>
      </c>
      <c r="L14" s="14">
        <v>0</v>
      </c>
      <c r="M14" s="14">
        <v>0</v>
      </c>
      <c r="N14" s="14">
        <v>0</v>
      </c>
      <c r="O14" s="13">
        <v>0</v>
      </c>
      <c r="P14" s="14">
        <v>0</v>
      </c>
      <c r="Q14" s="14">
        <v>0</v>
      </c>
      <c r="R14" s="14">
        <v>0</v>
      </c>
      <c r="S14" s="14">
        <v>0</v>
      </c>
      <c r="T14" s="13">
        <f>U14+V14+W14+X14</f>
        <v>19038</v>
      </c>
      <c r="U14" s="14">
        <v>13655</v>
      </c>
      <c r="V14" s="14">
        <v>0</v>
      </c>
      <c r="W14" s="14">
        <v>0</v>
      </c>
      <c r="X14" s="14">
        <v>5383</v>
      </c>
      <c r="Y14" s="13">
        <f>Z14+AA14+AB14+AC14</f>
        <v>19038</v>
      </c>
      <c r="Z14" s="14">
        <v>13655</v>
      </c>
      <c r="AA14" s="14">
        <v>0</v>
      </c>
      <c r="AB14" s="14">
        <v>0</v>
      </c>
      <c r="AC14" s="14">
        <v>5383</v>
      </c>
      <c r="AD14" s="15">
        <f t="shared" si="0"/>
        <v>55426</v>
      </c>
    </row>
    <row r="15" spans="1:30" ht="110.25">
      <c r="A15" s="12" t="s">
        <v>15</v>
      </c>
      <c r="B15" s="3" t="s">
        <v>263</v>
      </c>
      <c r="C15" s="534" t="s">
        <v>94</v>
      </c>
      <c r="D15" s="124" t="s">
        <v>93</v>
      </c>
      <c r="E15" s="20">
        <v>774</v>
      </c>
      <c r="F15" s="21">
        <v>774</v>
      </c>
      <c r="G15" s="21">
        <v>0</v>
      </c>
      <c r="H15" s="21">
        <v>0</v>
      </c>
      <c r="I15" s="21">
        <v>0</v>
      </c>
      <c r="J15" s="13">
        <f>K15+L15+M15+N15</f>
        <v>774</v>
      </c>
      <c r="K15" s="14">
        <v>774</v>
      </c>
      <c r="L15" s="14">
        <v>0</v>
      </c>
      <c r="M15" s="14">
        <v>0</v>
      </c>
      <c r="N15" s="14">
        <v>0</v>
      </c>
      <c r="O15" s="13">
        <f>P15+Q15+R15+S15</f>
        <v>774</v>
      </c>
      <c r="P15" s="14">
        <v>774</v>
      </c>
      <c r="Q15" s="14">
        <v>0</v>
      </c>
      <c r="R15" s="14">
        <v>0</v>
      </c>
      <c r="S15" s="14">
        <v>0</v>
      </c>
      <c r="T15" s="13">
        <f>U15+V15+W15+X15</f>
        <v>774</v>
      </c>
      <c r="U15" s="14">
        <v>774</v>
      </c>
      <c r="V15" s="14">
        <v>0</v>
      </c>
      <c r="W15" s="14">
        <v>0</v>
      </c>
      <c r="X15" s="14">
        <v>0</v>
      </c>
      <c r="Y15" s="13">
        <f>Z15+AA15+AB15+AC15</f>
        <v>774</v>
      </c>
      <c r="Z15" s="14">
        <v>774</v>
      </c>
      <c r="AA15" s="14">
        <v>0</v>
      </c>
      <c r="AB15" s="14">
        <v>0</v>
      </c>
      <c r="AC15" s="14">
        <v>0</v>
      </c>
      <c r="AD15" s="15">
        <f t="shared" si="0"/>
        <v>3870</v>
      </c>
    </row>
    <row r="16" spans="1:30" ht="110.25">
      <c r="A16" s="12" t="s">
        <v>16</v>
      </c>
      <c r="B16" s="103" t="s">
        <v>117</v>
      </c>
      <c r="C16" s="534"/>
      <c r="D16" s="124" t="s">
        <v>93</v>
      </c>
      <c r="E16" s="13">
        <f>8260</f>
        <v>8260</v>
      </c>
      <c r="F16" s="14">
        <v>8260</v>
      </c>
      <c r="G16" s="14">
        <v>0</v>
      </c>
      <c r="H16" s="14">
        <v>0</v>
      </c>
      <c r="I16" s="14">
        <v>0</v>
      </c>
      <c r="J16" s="13">
        <v>8260</v>
      </c>
      <c r="K16" s="14">
        <v>8260</v>
      </c>
      <c r="L16" s="14">
        <v>0</v>
      </c>
      <c r="M16" s="14">
        <v>0</v>
      </c>
      <c r="N16" s="14">
        <v>0</v>
      </c>
      <c r="O16" s="13">
        <v>8260</v>
      </c>
      <c r="P16" s="14">
        <v>8260</v>
      </c>
      <c r="Q16" s="14">
        <v>0</v>
      </c>
      <c r="R16" s="14">
        <v>0</v>
      </c>
      <c r="S16" s="14">
        <v>0</v>
      </c>
      <c r="T16" s="13">
        <v>12655.3</v>
      </c>
      <c r="U16" s="14">
        <v>12655.3</v>
      </c>
      <c r="V16" s="14">
        <v>0</v>
      </c>
      <c r="W16" s="14">
        <v>0</v>
      </c>
      <c r="X16" s="14">
        <v>0</v>
      </c>
      <c r="Y16" s="14">
        <v>12655.3</v>
      </c>
      <c r="Z16" s="14">
        <v>12655.3</v>
      </c>
      <c r="AA16" s="14">
        <v>0</v>
      </c>
      <c r="AB16" s="14">
        <v>0</v>
      </c>
      <c r="AC16" s="14">
        <v>0</v>
      </c>
      <c r="AD16" s="15">
        <f t="shared" si="0"/>
        <v>50090.600000000006</v>
      </c>
    </row>
    <row r="17" spans="1:31" ht="123" customHeight="1">
      <c r="A17" s="12" t="s">
        <v>17</v>
      </c>
      <c r="B17" s="3" t="s">
        <v>165</v>
      </c>
      <c r="C17" s="118" t="s">
        <v>14</v>
      </c>
      <c r="D17" s="124" t="s">
        <v>93</v>
      </c>
      <c r="E17" s="13">
        <f>F17+G17+H17+I17</f>
        <v>4075</v>
      </c>
      <c r="F17" s="14">
        <v>3300</v>
      </c>
      <c r="G17" s="14">
        <v>0</v>
      </c>
      <c r="H17" s="14">
        <v>0</v>
      </c>
      <c r="I17" s="14">
        <v>775</v>
      </c>
      <c r="J17" s="13">
        <v>0</v>
      </c>
      <c r="K17" s="14">
        <v>0</v>
      </c>
      <c r="L17" s="14">
        <v>0</v>
      </c>
      <c r="M17" s="14">
        <v>0</v>
      </c>
      <c r="N17" s="14">
        <v>0</v>
      </c>
      <c r="O17" s="13">
        <v>0</v>
      </c>
      <c r="P17" s="14">
        <v>0</v>
      </c>
      <c r="Q17" s="14">
        <v>0</v>
      </c>
      <c r="R17" s="14">
        <v>0</v>
      </c>
      <c r="S17" s="14">
        <v>0</v>
      </c>
      <c r="T17" s="13">
        <f>U17+V17+W17+X17</f>
        <v>2909</v>
      </c>
      <c r="U17" s="14">
        <v>2412</v>
      </c>
      <c r="V17" s="14">
        <v>0</v>
      </c>
      <c r="W17" s="14">
        <v>0</v>
      </c>
      <c r="X17" s="14">
        <v>497</v>
      </c>
      <c r="Y17" s="13">
        <f>Z17+AA17+AB17+AC17</f>
        <v>2909</v>
      </c>
      <c r="Z17" s="14">
        <v>2412</v>
      </c>
      <c r="AA17" s="14">
        <v>0</v>
      </c>
      <c r="AB17" s="14">
        <v>0</v>
      </c>
      <c r="AC17" s="14">
        <v>497</v>
      </c>
      <c r="AD17" s="15">
        <f t="shared" si="0"/>
        <v>9893</v>
      </c>
    </row>
    <row r="18" spans="1:31" ht="141.75">
      <c r="A18" s="12" t="s">
        <v>163</v>
      </c>
      <c r="B18" s="3" t="s">
        <v>181</v>
      </c>
      <c r="C18" s="126" t="s">
        <v>14</v>
      </c>
      <c r="D18" s="127" t="s">
        <v>164</v>
      </c>
      <c r="E18" s="20">
        <v>0</v>
      </c>
      <c r="F18" s="21">
        <v>0</v>
      </c>
      <c r="G18" s="21">
        <v>0</v>
      </c>
      <c r="H18" s="21">
        <v>0</v>
      </c>
      <c r="I18" s="21">
        <v>0</v>
      </c>
      <c r="J18" s="20">
        <v>0</v>
      </c>
      <c r="K18" s="21">
        <v>0</v>
      </c>
      <c r="L18" s="21">
        <v>0</v>
      </c>
      <c r="M18" s="21">
        <v>0</v>
      </c>
      <c r="N18" s="21">
        <v>0</v>
      </c>
      <c r="O18" s="20">
        <v>0</v>
      </c>
      <c r="P18" s="21">
        <v>0</v>
      </c>
      <c r="Q18" s="21">
        <v>0</v>
      </c>
      <c r="R18" s="21">
        <v>0</v>
      </c>
      <c r="S18" s="21">
        <v>0</v>
      </c>
      <c r="T18" s="20">
        <v>0</v>
      </c>
      <c r="U18" s="21">
        <v>0</v>
      </c>
      <c r="V18" s="21">
        <v>0</v>
      </c>
      <c r="W18" s="21">
        <v>0</v>
      </c>
      <c r="X18" s="21">
        <v>0</v>
      </c>
      <c r="Y18" s="20">
        <v>0</v>
      </c>
      <c r="Z18" s="21">
        <v>0</v>
      </c>
      <c r="AA18" s="21">
        <v>0</v>
      </c>
      <c r="AB18" s="21">
        <v>0</v>
      </c>
      <c r="AC18" s="21">
        <v>0</v>
      </c>
      <c r="AD18" s="39">
        <f t="shared" si="0"/>
        <v>0</v>
      </c>
    </row>
    <row r="19" spans="1:31" ht="141.75">
      <c r="A19" s="12" t="s">
        <v>182</v>
      </c>
      <c r="B19" s="3" t="s">
        <v>183</v>
      </c>
      <c r="C19" s="126" t="s">
        <v>14</v>
      </c>
      <c r="D19" s="127" t="s">
        <v>164</v>
      </c>
      <c r="E19" s="20">
        <v>0</v>
      </c>
      <c r="F19" s="21">
        <v>0</v>
      </c>
      <c r="G19" s="21">
        <v>0</v>
      </c>
      <c r="H19" s="21">
        <v>0</v>
      </c>
      <c r="I19" s="21">
        <v>0</v>
      </c>
      <c r="J19" s="20">
        <v>0</v>
      </c>
      <c r="K19" s="21">
        <v>0</v>
      </c>
      <c r="L19" s="21">
        <v>0</v>
      </c>
      <c r="M19" s="21">
        <v>0</v>
      </c>
      <c r="N19" s="21">
        <v>0</v>
      </c>
      <c r="O19" s="20">
        <v>0</v>
      </c>
      <c r="P19" s="21">
        <v>0</v>
      </c>
      <c r="Q19" s="21">
        <v>0</v>
      </c>
      <c r="R19" s="21">
        <v>0</v>
      </c>
      <c r="S19" s="21">
        <v>0</v>
      </c>
      <c r="T19" s="20">
        <v>0</v>
      </c>
      <c r="U19" s="21">
        <v>0</v>
      </c>
      <c r="V19" s="21">
        <v>0</v>
      </c>
      <c r="W19" s="21">
        <v>0</v>
      </c>
      <c r="X19" s="21">
        <v>0</v>
      </c>
      <c r="Y19" s="20">
        <v>0</v>
      </c>
      <c r="Z19" s="21">
        <v>0</v>
      </c>
      <c r="AA19" s="21">
        <v>0</v>
      </c>
      <c r="AB19" s="21">
        <v>0</v>
      </c>
      <c r="AC19" s="21">
        <v>0</v>
      </c>
      <c r="AD19" s="39">
        <f t="shared" si="0"/>
        <v>0</v>
      </c>
    </row>
    <row r="20" spans="1:31" ht="16.5">
      <c r="A20" s="519" t="s">
        <v>19</v>
      </c>
      <c r="B20" s="519"/>
      <c r="C20" s="519"/>
      <c r="D20" s="121"/>
      <c r="E20" s="31">
        <f>E21+E22</f>
        <v>73809</v>
      </c>
      <c r="F20" s="31">
        <f>F21+F22</f>
        <v>68432</v>
      </c>
      <c r="G20" s="31">
        <f>SUM(G13:G19)</f>
        <v>0</v>
      </c>
      <c r="H20" s="31">
        <f>SUM(H13:H19)</f>
        <v>0</v>
      </c>
      <c r="I20" s="31">
        <f>SUM(I13:I19)</f>
        <v>5377</v>
      </c>
      <c r="J20" s="31">
        <f>J21+J22</f>
        <v>9034</v>
      </c>
      <c r="K20" s="31">
        <f>K21+K22</f>
        <v>9034</v>
      </c>
      <c r="L20" s="31">
        <f>SUM(L13:L19)</f>
        <v>0</v>
      </c>
      <c r="M20" s="31">
        <f>SUM(M13:M19)</f>
        <v>0</v>
      </c>
      <c r="N20" s="31">
        <f>SUM(N13:N19)</f>
        <v>0</v>
      </c>
      <c r="O20" s="31">
        <f>O21+O22</f>
        <v>9034</v>
      </c>
      <c r="P20" s="31">
        <f>P21+P22</f>
        <v>9034</v>
      </c>
      <c r="Q20" s="31">
        <f>SUM(Q13:Q19)</f>
        <v>0</v>
      </c>
      <c r="R20" s="31">
        <f>SUM(R13:R19)</f>
        <v>0</v>
      </c>
      <c r="S20" s="31">
        <f>SUM(S13:S19)</f>
        <v>0</v>
      </c>
      <c r="T20" s="31">
        <f>T21+T22</f>
        <v>81801.3</v>
      </c>
      <c r="U20" s="31">
        <f>U13+U14+U15+U16+U17+U18+U19</f>
        <v>75921.3</v>
      </c>
      <c r="V20" s="31">
        <f>SUM(V13:V19)</f>
        <v>0</v>
      </c>
      <c r="W20" s="31">
        <f>SUM(W13:W17)</f>
        <v>0</v>
      </c>
      <c r="X20" s="31">
        <f>SUM(X13:X17)</f>
        <v>5880</v>
      </c>
      <c r="Y20" s="31">
        <f>Y21+Y22</f>
        <v>81801.3</v>
      </c>
      <c r="Z20" s="31">
        <f>Z21+Z22</f>
        <v>75921.3</v>
      </c>
      <c r="AA20" s="31">
        <f>SUM(AA13:AA19)</f>
        <v>0</v>
      </c>
      <c r="AB20" s="31">
        <f>SUM(AB13:AB19)</f>
        <v>0</v>
      </c>
      <c r="AC20" s="31">
        <f>SUM(AC13:AC19)</f>
        <v>5880</v>
      </c>
      <c r="AD20" s="31">
        <f>SUM(AD13:AD19)</f>
        <v>255479.6</v>
      </c>
    </row>
    <row r="21" spans="1:31" ht="16.5">
      <c r="A21" s="116" t="s">
        <v>14</v>
      </c>
      <c r="B21" s="121"/>
      <c r="C21" s="122"/>
      <c r="D21" s="122"/>
      <c r="E21" s="32">
        <f>E13+E14+E17</f>
        <v>64775</v>
      </c>
      <c r="F21" s="32">
        <f>F13+F14+F17+F18+F19</f>
        <v>59398</v>
      </c>
      <c r="G21" s="32">
        <f>G13+G14+G17</f>
        <v>0</v>
      </c>
      <c r="H21" s="32">
        <f>G13+G14+G17</f>
        <v>0</v>
      </c>
      <c r="I21" s="32">
        <f>I13+I14+I17+I18+I19</f>
        <v>5377</v>
      </c>
      <c r="J21" s="32">
        <f>J13+J14+J17+J18+J19</f>
        <v>0</v>
      </c>
      <c r="K21" s="32">
        <f>K13+K14+K17+K18+K19</f>
        <v>0</v>
      </c>
      <c r="L21" s="32">
        <f t="shared" ref="L21:V21" si="1">L13+L14+L17</f>
        <v>0</v>
      </c>
      <c r="M21" s="32">
        <f t="shared" si="1"/>
        <v>0</v>
      </c>
      <c r="N21" s="32">
        <f t="shared" si="1"/>
        <v>0</v>
      </c>
      <c r="O21" s="32">
        <f>O13+O14+O17+O18+O19</f>
        <v>0</v>
      </c>
      <c r="P21" s="32">
        <f>P13+P14+P17+P18+P19</f>
        <v>0</v>
      </c>
      <c r="Q21" s="32">
        <f t="shared" si="1"/>
        <v>0</v>
      </c>
      <c r="R21" s="32">
        <f t="shared" si="1"/>
        <v>0</v>
      </c>
      <c r="S21" s="32">
        <f t="shared" si="1"/>
        <v>0</v>
      </c>
      <c r="T21" s="32">
        <f>T13+T14+T17+T18+T19</f>
        <v>68372</v>
      </c>
      <c r="U21" s="32">
        <f>U13+U14+U17+U18+U19</f>
        <v>62492</v>
      </c>
      <c r="V21" s="32">
        <f t="shared" si="1"/>
        <v>0</v>
      </c>
      <c r="W21" s="32">
        <f>V13+V14+V20</f>
        <v>0</v>
      </c>
      <c r="X21" s="32">
        <f t="shared" ref="X21:AC21" si="2">X13+X14+X17</f>
        <v>5880</v>
      </c>
      <c r="Y21" s="32">
        <f>Y13+Y14+Y17+Y18+Y19</f>
        <v>68372</v>
      </c>
      <c r="Z21" s="32">
        <f>Z13+Z14+Z17+Z18+Z19</f>
        <v>62492</v>
      </c>
      <c r="AA21" s="32">
        <f t="shared" si="2"/>
        <v>0</v>
      </c>
      <c r="AB21" s="32">
        <f t="shared" si="2"/>
        <v>0</v>
      </c>
      <c r="AC21" s="32">
        <f t="shared" si="2"/>
        <v>5880</v>
      </c>
      <c r="AD21" s="32">
        <f>E21+J21+O21+T21+Y21</f>
        <v>201519</v>
      </c>
    </row>
    <row r="22" spans="1:31" ht="16.5">
      <c r="A22" s="116" t="s">
        <v>135</v>
      </c>
      <c r="B22" s="121"/>
      <c r="C22" s="122"/>
      <c r="D22" s="122"/>
      <c r="E22" s="32">
        <f>E15+E16</f>
        <v>9034</v>
      </c>
      <c r="F22" s="32">
        <f>F15+F16</f>
        <v>9034</v>
      </c>
      <c r="G22" s="32">
        <f>G16+G17</f>
        <v>0</v>
      </c>
      <c r="H22" s="32">
        <f>G15+G16</f>
        <v>0</v>
      </c>
      <c r="I22" s="32">
        <f t="shared" ref="I22:AC22" si="3">I15+I16</f>
        <v>0</v>
      </c>
      <c r="J22" s="32">
        <f>J15+J16</f>
        <v>9034</v>
      </c>
      <c r="K22" s="32">
        <f>K15+K16</f>
        <v>9034</v>
      </c>
      <c r="L22" s="32">
        <f t="shared" si="3"/>
        <v>0</v>
      </c>
      <c r="M22" s="32">
        <f t="shared" si="3"/>
        <v>0</v>
      </c>
      <c r="N22" s="32">
        <f t="shared" si="3"/>
        <v>0</v>
      </c>
      <c r="O22" s="32">
        <f>O15+O16</f>
        <v>9034</v>
      </c>
      <c r="P22" s="32">
        <f>P15+P16</f>
        <v>9034</v>
      </c>
      <c r="Q22" s="32">
        <f t="shared" si="3"/>
        <v>0</v>
      </c>
      <c r="R22" s="32">
        <f t="shared" si="3"/>
        <v>0</v>
      </c>
      <c r="S22" s="32">
        <f t="shared" si="3"/>
        <v>0</v>
      </c>
      <c r="T22" s="32">
        <f>T15+T16</f>
        <v>13429.3</v>
      </c>
      <c r="U22" s="32">
        <f>U15+U16</f>
        <v>13429.3</v>
      </c>
      <c r="V22" s="32">
        <f t="shared" si="3"/>
        <v>0</v>
      </c>
      <c r="W22" s="32">
        <f t="shared" si="3"/>
        <v>0</v>
      </c>
      <c r="X22" s="32">
        <f t="shared" si="3"/>
        <v>0</v>
      </c>
      <c r="Y22" s="32">
        <f>Y15+Y16</f>
        <v>13429.3</v>
      </c>
      <c r="Z22" s="32">
        <f>Z15+Z16</f>
        <v>13429.3</v>
      </c>
      <c r="AA22" s="32">
        <f t="shared" si="3"/>
        <v>0</v>
      </c>
      <c r="AB22" s="32">
        <f t="shared" si="3"/>
        <v>0</v>
      </c>
      <c r="AC22" s="32">
        <f t="shared" si="3"/>
        <v>0</v>
      </c>
      <c r="AD22" s="32">
        <f>E22+J22+O22+T22+Y22</f>
        <v>53960.600000000006</v>
      </c>
      <c r="AE22" s="33"/>
    </row>
    <row r="23" spans="1:31" ht="18.75" customHeight="1">
      <c r="A23" s="25" t="s">
        <v>20</v>
      </c>
      <c r="B23" s="529" t="s">
        <v>143</v>
      </c>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1"/>
    </row>
    <row r="24" spans="1:31" ht="126">
      <c r="A24" s="12" t="s">
        <v>21</v>
      </c>
      <c r="B24" s="104" t="s">
        <v>192</v>
      </c>
      <c r="C24" s="124" t="s">
        <v>94</v>
      </c>
      <c r="D24" s="124" t="s">
        <v>93</v>
      </c>
      <c r="E24" s="29">
        <f>F24+G24+H24+I24</f>
        <v>2664</v>
      </c>
      <c r="F24" s="30">
        <f>2664</f>
        <v>2664</v>
      </c>
      <c r="G24" s="21">
        <v>0</v>
      </c>
      <c r="H24" s="21">
        <v>0</v>
      </c>
      <c r="I24" s="21">
        <v>0</v>
      </c>
      <c r="J24" s="13">
        <f>K24+L24+M24+N24</f>
        <v>2664</v>
      </c>
      <c r="K24" s="14">
        <v>2664</v>
      </c>
      <c r="L24" s="14">
        <v>0</v>
      </c>
      <c r="M24" s="14">
        <v>0</v>
      </c>
      <c r="N24" s="14">
        <v>0</v>
      </c>
      <c r="O24" s="13">
        <f>P24+Q24+R24+S24</f>
        <v>2664</v>
      </c>
      <c r="P24" s="14">
        <v>2664</v>
      </c>
      <c r="Q24" s="14">
        <v>0</v>
      </c>
      <c r="R24" s="14">
        <v>0</v>
      </c>
      <c r="S24" s="14">
        <v>0</v>
      </c>
      <c r="T24" s="13">
        <f>U24+V24+W24+X24</f>
        <v>2664</v>
      </c>
      <c r="U24" s="14">
        <v>2664</v>
      </c>
      <c r="V24" s="14">
        <v>0</v>
      </c>
      <c r="W24" s="14">
        <v>0</v>
      </c>
      <c r="X24" s="14">
        <v>0</v>
      </c>
      <c r="Y24" s="13">
        <f>Z24+AA24+AB24+AC24</f>
        <v>2664</v>
      </c>
      <c r="Z24" s="14">
        <v>2664</v>
      </c>
      <c r="AA24" s="14">
        <v>0</v>
      </c>
      <c r="AB24" s="14">
        <v>0</v>
      </c>
      <c r="AC24" s="14">
        <v>0</v>
      </c>
      <c r="AD24" s="13">
        <f>E24+J24+O24+T24+Y24</f>
        <v>13320</v>
      </c>
    </row>
    <row r="25" spans="1:31" ht="16.5">
      <c r="A25" s="526" t="s">
        <v>22</v>
      </c>
      <c r="B25" s="527"/>
      <c r="C25" s="528"/>
      <c r="D25" s="116"/>
      <c r="E25" s="40">
        <f>E24</f>
        <v>2664</v>
      </c>
      <c r="F25" s="40">
        <f>F24</f>
        <v>2664</v>
      </c>
      <c r="G25" s="40">
        <f t="shared" ref="G25:AD25" si="4">SUM(G24:G24)</f>
        <v>0</v>
      </c>
      <c r="H25" s="40">
        <f t="shared" si="4"/>
        <v>0</v>
      </c>
      <c r="I25" s="40">
        <f t="shared" si="4"/>
        <v>0</v>
      </c>
      <c r="J25" s="31">
        <f t="shared" si="4"/>
        <v>2664</v>
      </c>
      <c r="K25" s="31">
        <f t="shared" si="4"/>
        <v>2664</v>
      </c>
      <c r="L25" s="31">
        <f t="shared" si="4"/>
        <v>0</v>
      </c>
      <c r="M25" s="31">
        <f t="shared" si="4"/>
        <v>0</v>
      </c>
      <c r="N25" s="31">
        <f t="shared" si="4"/>
        <v>0</v>
      </c>
      <c r="O25" s="31">
        <f t="shared" si="4"/>
        <v>2664</v>
      </c>
      <c r="P25" s="31">
        <f t="shared" si="4"/>
        <v>2664</v>
      </c>
      <c r="Q25" s="31">
        <f t="shared" si="4"/>
        <v>0</v>
      </c>
      <c r="R25" s="31">
        <f t="shared" si="4"/>
        <v>0</v>
      </c>
      <c r="S25" s="31">
        <f t="shared" si="4"/>
        <v>0</v>
      </c>
      <c r="T25" s="31">
        <f t="shared" si="4"/>
        <v>2664</v>
      </c>
      <c r="U25" s="31">
        <f t="shared" si="4"/>
        <v>2664</v>
      </c>
      <c r="V25" s="31">
        <f t="shared" si="4"/>
        <v>0</v>
      </c>
      <c r="W25" s="31">
        <f t="shared" si="4"/>
        <v>0</v>
      </c>
      <c r="X25" s="31">
        <f t="shared" si="4"/>
        <v>0</v>
      </c>
      <c r="Y25" s="31">
        <f t="shared" si="4"/>
        <v>2664</v>
      </c>
      <c r="Z25" s="31">
        <f t="shared" si="4"/>
        <v>2664</v>
      </c>
      <c r="AA25" s="31">
        <f t="shared" si="4"/>
        <v>0</v>
      </c>
      <c r="AB25" s="31">
        <f t="shared" si="4"/>
        <v>0</v>
      </c>
      <c r="AC25" s="31">
        <f t="shared" si="4"/>
        <v>0</v>
      </c>
      <c r="AD25" s="31">
        <f t="shared" si="4"/>
        <v>13320</v>
      </c>
    </row>
    <row r="26" spans="1:31" ht="18.75" customHeight="1">
      <c r="A26" s="25" t="s">
        <v>23</v>
      </c>
      <c r="B26" s="529" t="s">
        <v>207</v>
      </c>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1"/>
    </row>
    <row r="27" spans="1:31" ht="94.5">
      <c r="A27" s="12" t="s">
        <v>24</v>
      </c>
      <c r="B27" s="105" t="s">
        <v>190</v>
      </c>
      <c r="C27" s="535" t="s">
        <v>94</v>
      </c>
      <c r="D27" s="124" t="s">
        <v>93</v>
      </c>
      <c r="E27" s="20">
        <f>SUM(F27:I27)</f>
        <v>681</v>
      </c>
      <c r="F27" s="21">
        <v>681</v>
      </c>
      <c r="G27" s="21">
        <v>0</v>
      </c>
      <c r="H27" s="21">
        <v>0</v>
      </c>
      <c r="I27" s="21">
        <v>0</v>
      </c>
      <c r="J27" s="13">
        <v>681</v>
      </c>
      <c r="K27" s="14">
        <v>681</v>
      </c>
      <c r="L27" s="14">
        <v>0</v>
      </c>
      <c r="M27" s="14">
        <v>0</v>
      </c>
      <c r="N27" s="14">
        <v>0</v>
      </c>
      <c r="O27" s="13">
        <v>681</v>
      </c>
      <c r="P27" s="14">
        <v>681</v>
      </c>
      <c r="Q27" s="14">
        <v>0</v>
      </c>
      <c r="R27" s="14">
        <v>0</v>
      </c>
      <c r="S27" s="14">
        <v>0</v>
      </c>
      <c r="T27" s="13">
        <f>U27+V27+W27+X27</f>
        <v>660</v>
      </c>
      <c r="U27" s="14">
        <v>660</v>
      </c>
      <c r="V27" s="14">
        <v>0</v>
      </c>
      <c r="W27" s="14">
        <v>0</v>
      </c>
      <c r="X27" s="14">
        <v>0</v>
      </c>
      <c r="Y27" s="13">
        <f>Z27+AA27+AB27+AC27</f>
        <v>660</v>
      </c>
      <c r="Z27" s="14">
        <v>660</v>
      </c>
      <c r="AA27" s="14">
        <v>0</v>
      </c>
      <c r="AB27" s="14">
        <v>0</v>
      </c>
      <c r="AC27" s="14">
        <v>0</v>
      </c>
      <c r="AD27" s="13">
        <f>E27+J27+O27+T27+Y27</f>
        <v>3363</v>
      </c>
    </row>
    <row r="28" spans="1:31" ht="63">
      <c r="A28" s="12" t="s">
        <v>151</v>
      </c>
      <c r="B28" s="3" t="s">
        <v>189</v>
      </c>
      <c r="C28" s="537"/>
      <c r="D28" s="124" t="s">
        <v>93</v>
      </c>
      <c r="E28" s="20">
        <f>F28+G28+H28+I28</f>
        <v>1192</v>
      </c>
      <c r="F28" s="21">
        <v>1192</v>
      </c>
      <c r="G28" s="21">
        <v>0</v>
      </c>
      <c r="H28" s="21">
        <v>0</v>
      </c>
      <c r="I28" s="21">
        <v>0</v>
      </c>
      <c r="J28" s="13">
        <v>1192</v>
      </c>
      <c r="K28" s="14">
        <v>1192</v>
      </c>
      <c r="L28" s="14">
        <v>0</v>
      </c>
      <c r="M28" s="14">
        <v>0</v>
      </c>
      <c r="N28" s="14">
        <v>0</v>
      </c>
      <c r="O28" s="13">
        <v>1192</v>
      </c>
      <c r="P28" s="14">
        <v>1192</v>
      </c>
      <c r="Q28" s="14">
        <v>0</v>
      </c>
      <c r="R28" s="14">
        <v>0</v>
      </c>
      <c r="S28" s="14">
        <v>0</v>
      </c>
      <c r="T28" s="13">
        <f>U28+V28+W28+X28</f>
        <v>1290</v>
      </c>
      <c r="U28" s="14">
        <v>1290</v>
      </c>
      <c r="V28" s="14">
        <v>0</v>
      </c>
      <c r="W28" s="14">
        <v>0</v>
      </c>
      <c r="X28" s="14">
        <v>0</v>
      </c>
      <c r="Y28" s="13">
        <f>Z28+AA28+AB28+AC28</f>
        <v>1290</v>
      </c>
      <c r="Z28" s="14">
        <v>1290</v>
      </c>
      <c r="AA28" s="14">
        <v>0</v>
      </c>
      <c r="AB28" s="14">
        <v>0</v>
      </c>
      <c r="AC28" s="14">
        <v>0</v>
      </c>
      <c r="AD28" s="13">
        <f>E28+J28+O28+T28+Y28</f>
        <v>6156</v>
      </c>
    </row>
    <row r="29" spans="1:31" ht="16.5">
      <c r="A29" s="519" t="s">
        <v>25</v>
      </c>
      <c r="B29" s="519"/>
      <c r="C29" s="519"/>
      <c r="D29" s="116"/>
      <c r="E29" s="40">
        <f>SUM(E27:E28)</f>
        <v>1873</v>
      </c>
      <c r="F29" s="39">
        <f>F27+F28</f>
        <v>1873</v>
      </c>
      <c r="G29" s="39">
        <f t="shared" ref="G29:AD29" si="5">SUM(G27:G28)</f>
        <v>0</v>
      </c>
      <c r="H29" s="39">
        <f t="shared" si="5"/>
        <v>0</v>
      </c>
      <c r="I29" s="39">
        <f t="shared" si="5"/>
        <v>0</v>
      </c>
      <c r="J29" s="31">
        <f t="shared" si="5"/>
        <v>1873</v>
      </c>
      <c r="K29" s="15">
        <f t="shared" si="5"/>
        <v>1873</v>
      </c>
      <c r="L29" s="15">
        <f t="shared" si="5"/>
        <v>0</v>
      </c>
      <c r="M29" s="15">
        <f t="shared" si="5"/>
        <v>0</v>
      </c>
      <c r="N29" s="15">
        <f t="shared" si="5"/>
        <v>0</v>
      </c>
      <c r="O29" s="31">
        <f t="shared" si="5"/>
        <v>1873</v>
      </c>
      <c r="P29" s="15">
        <f t="shared" si="5"/>
        <v>1873</v>
      </c>
      <c r="Q29" s="15">
        <f t="shared" si="5"/>
        <v>0</v>
      </c>
      <c r="R29" s="15">
        <f t="shared" si="5"/>
        <v>0</v>
      </c>
      <c r="S29" s="15">
        <f t="shared" si="5"/>
        <v>0</v>
      </c>
      <c r="T29" s="31">
        <f t="shared" si="5"/>
        <v>1950</v>
      </c>
      <c r="U29" s="15">
        <f t="shared" si="5"/>
        <v>1950</v>
      </c>
      <c r="V29" s="15">
        <f t="shared" si="5"/>
        <v>0</v>
      </c>
      <c r="W29" s="15">
        <f t="shared" si="5"/>
        <v>0</v>
      </c>
      <c r="X29" s="15">
        <f t="shared" si="5"/>
        <v>0</v>
      </c>
      <c r="Y29" s="31">
        <f t="shared" si="5"/>
        <v>1950</v>
      </c>
      <c r="Z29" s="15">
        <f t="shared" si="5"/>
        <v>1950</v>
      </c>
      <c r="AA29" s="15">
        <f t="shared" si="5"/>
        <v>0</v>
      </c>
      <c r="AB29" s="15">
        <f t="shared" si="5"/>
        <v>0</v>
      </c>
      <c r="AC29" s="15">
        <f t="shared" si="5"/>
        <v>0</v>
      </c>
      <c r="AD29" s="31">
        <f t="shared" si="5"/>
        <v>9519</v>
      </c>
    </row>
    <row r="30" spans="1:31" ht="18.75" customHeight="1">
      <c r="A30" s="25" t="s">
        <v>26</v>
      </c>
      <c r="B30" s="529" t="s">
        <v>136</v>
      </c>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1"/>
    </row>
    <row r="31" spans="1:31" ht="31.5" customHeight="1">
      <c r="A31" s="12" t="s">
        <v>27</v>
      </c>
      <c r="B31" s="5" t="s">
        <v>68</v>
      </c>
      <c r="C31" s="534" t="s">
        <v>94</v>
      </c>
      <c r="D31" s="124" t="s">
        <v>93</v>
      </c>
      <c r="E31" s="13">
        <f xml:space="preserve"> SUM(F31:I31)</f>
        <v>2949</v>
      </c>
      <c r="F31" s="14">
        <f>SUM(F32:F35)</f>
        <v>2949</v>
      </c>
      <c r="G31" s="14">
        <f>SUM(G32,G33,G34,G35)</f>
        <v>0</v>
      </c>
      <c r="H31" s="14">
        <f>SUM(H32,H33,H34,H35)</f>
        <v>0</v>
      </c>
      <c r="I31" s="14">
        <f>SUM(I32,I33,I34,I35)</f>
        <v>0</v>
      </c>
      <c r="J31" s="13">
        <f xml:space="preserve"> SUM(K31:N31)</f>
        <v>3306</v>
      </c>
      <c r="K31" s="14">
        <f>SUM(K32:K35)</f>
        <v>3306</v>
      </c>
      <c r="L31" s="14">
        <f>SUM(L32,L33,L34,L35)</f>
        <v>0</v>
      </c>
      <c r="M31" s="14">
        <f>SUM(M32,M33,M34,M35)</f>
        <v>0</v>
      </c>
      <c r="N31" s="14">
        <f>SUM(N32,N33,N34,N35)</f>
        <v>0</v>
      </c>
      <c r="O31" s="13">
        <f xml:space="preserve"> SUM(P31:S31)</f>
        <v>3306</v>
      </c>
      <c r="P31" s="14">
        <f>SUM(P32:P35)</f>
        <v>3306</v>
      </c>
      <c r="Q31" s="14">
        <f>SUM(Q32,Q33,Q34,Q35)</f>
        <v>0</v>
      </c>
      <c r="R31" s="14">
        <f>SUM(R32,R33,R34,R35)</f>
        <v>0</v>
      </c>
      <c r="S31" s="14">
        <f>SUM(S32,S33,S34,S35)</f>
        <v>0</v>
      </c>
      <c r="T31" s="13">
        <f xml:space="preserve"> SUM(U31:X31)</f>
        <v>3306</v>
      </c>
      <c r="U31" s="14">
        <f>SUM(U32:U35)</f>
        <v>3306</v>
      </c>
      <c r="V31" s="14">
        <f>SUM(V32,V33,V34,V35)</f>
        <v>0</v>
      </c>
      <c r="W31" s="14">
        <f>SUM(W32,W33,W34,W35)</f>
        <v>0</v>
      </c>
      <c r="X31" s="14">
        <f>SUM(X32,X33,X34,X35)</f>
        <v>0</v>
      </c>
      <c r="Y31" s="13">
        <f xml:space="preserve"> SUM(Z31:AC31)</f>
        <v>3306</v>
      </c>
      <c r="Z31" s="14">
        <f>SUM(Z32:Z35)</f>
        <v>3306</v>
      </c>
      <c r="AA31" s="14">
        <f>SUM(AA32,AA33,AA34,AA35)</f>
        <v>0</v>
      </c>
      <c r="AB31" s="14">
        <f>SUM(AB32,AB33,AB34,AB35)</f>
        <v>0</v>
      </c>
      <c r="AC31" s="14">
        <f>SUM(AC32,AC33,AC34,AC35)</f>
        <v>0</v>
      </c>
      <c r="AD31" s="13">
        <f t="shared" ref="AD31:AD48" si="6">E31+J31+O31+T31+Y31</f>
        <v>16173</v>
      </c>
    </row>
    <row r="32" spans="1:31" ht="63">
      <c r="A32" s="17" t="s">
        <v>28</v>
      </c>
      <c r="B32" s="3" t="s">
        <v>174</v>
      </c>
      <c r="C32" s="534"/>
      <c r="D32" s="124" t="s">
        <v>93</v>
      </c>
      <c r="E32" s="20">
        <f>F32+G32+H32+I32</f>
        <v>124</v>
      </c>
      <c r="F32" s="21">
        <v>124</v>
      </c>
      <c r="G32" s="21">
        <v>0</v>
      </c>
      <c r="H32" s="21">
        <v>0</v>
      </c>
      <c r="I32" s="21">
        <v>0</v>
      </c>
      <c r="J32" s="13">
        <f>K32+L32+M32+N32</f>
        <v>124</v>
      </c>
      <c r="K32" s="14">
        <v>124</v>
      </c>
      <c r="L32" s="14">
        <v>0</v>
      </c>
      <c r="M32" s="14">
        <v>0</v>
      </c>
      <c r="N32" s="14">
        <v>0</v>
      </c>
      <c r="O32" s="13">
        <f>P32+Q32+R32+S32</f>
        <v>124</v>
      </c>
      <c r="P32" s="14">
        <v>124</v>
      </c>
      <c r="Q32" s="14">
        <v>0</v>
      </c>
      <c r="R32" s="14">
        <v>0</v>
      </c>
      <c r="S32" s="14">
        <v>0</v>
      </c>
      <c r="T32" s="13">
        <f>U32+V32+W32+X32</f>
        <v>124</v>
      </c>
      <c r="U32" s="14">
        <v>124</v>
      </c>
      <c r="V32" s="14">
        <v>0</v>
      </c>
      <c r="W32" s="14">
        <v>0</v>
      </c>
      <c r="X32" s="14">
        <v>0</v>
      </c>
      <c r="Y32" s="13">
        <f>Z32+AA32+AB32+AC32</f>
        <v>124</v>
      </c>
      <c r="Z32" s="14">
        <v>124</v>
      </c>
      <c r="AA32" s="14">
        <v>0</v>
      </c>
      <c r="AB32" s="14">
        <v>0</v>
      </c>
      <c r="AC32" s="14">
        <v>0</v>
      </c>
      <c r="AD32" s="13">
        <f t="shared" si="6"/>
        <v>620</v>
      </c>
    </row>
    <row r="33" spans="1:31" ht="47.25">
      <c r="A33" s="17" t="s">
        <v>29</v>
      </c>
      <c r="B33" s="3" t="s">
        <v>175</v>
      </c>
      <c r="C33" s="534"/>
      <c r="D33" s="124" t="s">
        <v>93</v>
      </c>
      <c r="E33" s="29">
        <f t="shared" ref="E33:E46" si="7">F33+G33+H33+I33</f>
        <v>1790</v>
      </c>
      <c r="F33" s="30">
        <f>2147-357</f>
        <v>1790</v>
      </c>
      <c r="G33" s="30">
        <v>0</v>
      </c>
      <c r="H33" s="30">
        <v>0</v>
      </c>
      <c r="I33" s="30">
        <v>0</v>
      </c>
      <c r="J33" s="13">
        <f>K33+L33+M33+N33</f>
        <v>2147</v>
      </c>
      <c r="K33" s="14">
        <v>2147</v>
      </c>
      <c r="L33" s="14">
        <v>0</v>
      </c>
      <c r="M33" s="14">
        <v>0</v>
      </c>
      <c r="N33" s="14">
        <v>0</v>
      </c>
      <c r="O33" s="13">
        <f>P33+Q33+R33+S33</f>
        <v>2147</v>
      </c>
      <c r="P33" s="14">
        <v>2147</v>
      </c>
      <c r="Q33" s="14">
        <v>0</v>
      </c>
      <c r="R33" s="14">
        <v>0</v>
      </c>
      <c r="S33" s="14">
        <v>0</v>
      </c>
      <c r="T33" s="13">
        <f>U33+V33+W33+X33</f>
        <v>2147</v>
      </c>
      <c r="U33" s="14">
        <v>2147</v>
      </c>
      <c r="V33" s="14">
        <v>0</v>
      </c>
      <c r="W33" s="14">
        <v>0</v>
      </c>
      <c r="X33" s="14">
        <v>0</v>
      </c>
      <c r="Y33" s="13">
        <f>Z33+AA33+AB33+AC33</f>
        <v>2147</v>
      </c>
      <c r="Z33" s="14">
        <v>2147</v>
      </c>
      <c r="AA33" s="14">
        <v>0</v>
      </c>
      <c r="AB33" s="14">
        <v>0</v>
      </c>
      <c r="AC33" s="14">
        <v>0</v>
      </c>
      <c r="AD33" s="13">
        <f t="shared" si="6"/>
        <v>10378</v>
      </c>
    </row>
    <row r="34" spans="1:31" ht="31.5">
      <c r="A34" s="17" t="s">
        <v>30</v>
      </c>
      <c r="B34" s="3" t="s">
        <v>69</v>
      </c>
      <c r="C34" s="534"/>
      <c r="D34" s="124" t="s">
        <v>93</v>
      </c>
      <c r="E34" s="20">
        <f t="shared" si="7"/>
        <v>921</v>
      </c>
      <c r="F34" s="21">
        <v>921</v>
      </c>
      <c r="G34" s="21">
        <v>0</v>
      </c>
      <c r="H34" s="21">
        <v>0</v>
      </c>
      <c r="I34" s="21">
        <v>0</v>
      </c>
      <c r="J34" s="13">
        <f t="shared" ref="J34:J46" si="8">K34+L34+M34+N34</f>
        <v>921</v>
      </c>
      <c r="K34" s="14">
        <v>921</v>
      </c>
      <c r="L34" s="14">
        <v>0</v>
      </c>
      <c r="M34" s="14">
        <v>0</v>
      </c>
      <c r="N34" s="14">
        <v>0</v>
      </c>
      <c r="O34" s="13">
        <f t="shared" ref="O34:O46" si="9">P34+Q34+R34+S34</f>
        <v>921</v>
      </c>
      <c r="P34" s="14">
        <v>921</v>
      </c>
      <c r="Q34" s="14">
        <v>0</v>
      </c>
      <c r="R34" s="14">
        <v>0</v>
      </c>
      <c r="S34" s="14">
        <v>0</v>
      </c>
      <c r="T34" s="13">
        <f t="shared" ref="T34:T46" si="10">U34+V34+W34+X34</f>
        <v>921</v>
      </c>
      <c r="U34" s="14">
        <v>921</v>
      </c>
      <c r="V34" s="14">
        <v>0</v>
      </c>
      <c r="W34" s="14">
        <v>0</v>
      </c>
      <c r="X34" s="14">
        <v>0</v>
      </c>
      <c r="Y34" s="13">
        <f t="shared" ref="Y34:Y46" si="11">Z34+AA34+AB34+AC34</f>
        <v>921</v>
      </c>
      <c r="Z34" s="14">
        <v>921</v>
      </c>
      <c r="AA34" s="14">
        <v>0</v>
      </c>
      <c r="AB34" s="14">
        <v>0</v>
      </c>
      <c r="AC34" s="14">
        <v>0</v>
      </c>
      <c r="AD34" s="13">
        <f t="shared" si="6"/>
        <v>4605</v>
      </c>
    </row>
    <row r="35" spans="1:31" ht="31.5">
      <c r="A35" s="17" t="s">
        <v>31</v>
      </c>
      <c r="B35" s="3" t="s">
        <v>70</v>
      </c>
      <c r="C35" s="534"/>
      <c r="D35" s="124" t="s">
        <v>93</v>
      </c>
      <c r="E35" s="20">
        <f t="shared" si="7"/>
        <v>114</v>
      </c>
      <c r="F35" s="21">
        <v>114</v>
      </c>
      <c r="G35" s="21">
        <v>0</v>
      </c>
      <c r="H35" s="21">
        <v>0</v>
      </c>
      <c r="I35" s="21">
        <v>0</v>
      </c>
      <c r="J35" s="13">
        <f t="shared" si="8"/>
        <v>114</v>
      </c>
      <c r="K35" s="14">
        <v>114</v>
      </c>
      <c r="L35" s="14">
        <v>0</v>
      </c>
      <c r="M35" s="14">
        <v>0</v>
      </c>
      <c r="N35" s="14">
        <v>0</v>
      </c>
      <c r="O35" s="13">
        <f t="shared" si="9"/>
        <v>114</v>
      </c>
      <c r="P35" s="14">
        <v>114</v>
      </c>
      <c r="Q35" s="14">
        <v>0</v>
      </c>
      <c r="R35" s="14">
        <v>0</v>
      </c>
      <c r="S35" s="14">
        <v>0</v>
      </c>
      <c r="T35" s="13">
        <f t="shared" si="10"/>
        <v>114</v>
      </c>
      <c r="U35" s="14">
        <v>114</v>
      </c>
      <c r="V35" s="14">
        <v>0</v>
      </c>
      <c r="W35" s="14">
        <v>0</v>
      </c>
      <c r="X35" s="14">
        <v>0</v>
      </c>
      <c r="Y35" s="13">
        <f t="shared" si="11"/>
        <v>114</v>
      </c>
      <c r="Z35" s="14">
        <v>114</v>
      </c>
      <c r="AA35" s="14">
        <v>0</v>
      </c>
      <c r="AB35" s="14">
        <v>0</v>
      </c>
      <c r="AC35" s="14">
        <v>0</v>
      </c>
      <c r="AD35" s="13">
        <f t="shared" si="6"/>
        <v>570</v>
      </c>
    </row>
    <row r="36" spans="1:31" ht="220.5">
      <c r="A36" s="12" t="s">
        <v>32</v>
      </c>
      <c r="B36" s="3" t="s">
        <v>76</v>
      </c>
      <c r="C36" s="118" t="s">
        <v>94</v>
      </c>
      <c r="D36" s="124" t="s">
        <v>93</v>
      </c>
      <c r="E36" s="13">
        <f t="shared" si="7"/>
        <v>9</v>
      </c>
      <c r="F36" s="14">
        <v>9</v>
      </c>
      <c r="G36" s="14">
        <v>0</v>
      </c>
      <c r="H36" s="14">
        <v>0</v>
      </c>
      <c r="I36" s="14">
        <v>0</v>
      </c>
      <c r="J36" s="13">
        <f t="shared" si="8"/>
        <v>9</v>
      </c>
      <c r="K36" s="14">
        <v>9</v>
      </c>
      <c r="L36" s="14">
        <v>0</v>
      </c>
      <c r="M36" s="14">
        <v>0</v>
      </c>
      <c r="N36" s="14">
        <v>0</v>
      </c>
      <c r="O36" s="13">
        <f t="shared" si="9"/>
        <v>9</v>
      </c>
      <c r="P36" s="14">
        <v>9</v>
      </c>
      <c r="Q36" s="14">
        <v>0</v>
      </c>
      <c r="R36" s="14">
        <v>0</v>
      </c>
      <c r="S36" s="14">
        <v>0</v>
      </c>
      <c r="T36" s="13">
        <f t="shared" si="10"/>
        <v>9</v>
      </c>
      <c r="U36" s="14">
        <v>9</v>
      </c>
      <c r="V36" s="14">
        <v>0</v>
      </c>
      <c r="W36" s="14">
        <v>0</v>
      </c>
      <c r="X36" s="14">
        <v>0</v>
      </c>
      <c r="Y36" s="13">
        <f t="shared" si="11"/>
        <v>9</v>
      </c>
      <c r="Z36" s="14">
        <v>9</v>
      </c>
      <c r="AA36" s="14">
        <v>0</v>
      </c>
      <c r="AB36" s="14">
        <v>0</v>
      </c>
      <c r="AC36" s="14">
        <v>0</v>
      </c>
      <c r="AD36" s="13">
        <f t="shared" si="6"/>
        <v>45</v>
      </c>
    </row>
    <row r="37" spans="1:31" ht="94.5">
      <c r="A37" s="12" t="s">
        <v>33</v>
      </c>
      <c r="B37" s="3" t="s">
        <v>71</v>
      </c>
      <c r="C37" s="124" t="s">
        <v>94</v>
      </c>
      <c r="D37" s="124" t="s">
        <v>93</v>
      </c>
      <c r="E37" s="20">
        <f t="shared" si="7"/>
        <v>426</v>
      </c>
      <c r="F37" s="21">
        <v>426</v>
      </c>
      <c r="G37" s="21">
        <v>0</v>
      </c>
      <c r="H37" s="21">
        <v>0</v>
      </c>
      <c r="I37" s="21">
        <v>0</v>
      </c>
      <c r="J37" s="13">
        <f t="shared" si="8"/>
        <v>426</v>
      </c>
      <c r="K37" s="14">
        <v>426</v>
      </c>
      <c r="L37" s="14">
        <v>0</v>
      </c>
      <c r="M37" s="14">
        <v>0</v>
      </c>
      <c r="N37" s="14">
        <v>0</v>
      </c>
      <c r="O37" s="13">
        <f t="shared" si="9"/>
        <v>426</v>
      </c>
      <c r="P37" s="14">
        <v>426</v>
      </c>
      <c r="Q37" s="14">
        <v>0</v>
      </c>
      <c r="R37" s="14">
        <v>0</v>
      </c>
      <c r="S37" s="14">
        <v>0</v>
      </c>
      <c r="T37" s="13">
        <f t="shared" si="10"/>
        <v>426</v>
      </c>
      <c r="U37" s="14">
        <v>426</v>
      </c>
      <c r="V37" s="14">
        <v>0</v>
      </c>
      <c r="W37" s="14">
        <v>0</v>
      </c>
      <c r="X37" s="14">
        <v>0</v>
      </c>
      <c r="Y37" s="13">
        <f t="shared" si="11"/>
        <v>426</v>
      </c>
      <c r="Z37" s="14">
        <v>426</v>
      </c>
      <c r="AA37" s="14">
        <v>0</v>
      </c>
      <c r="AB37" s="14">
        <v>0</v>
      </c>
      <c r="AC37" s="14">
        <v>0</v>
      </c>
      <c r="AD37" s="13">
        <f t="shared" si="6"/>
        <v>2130</v>
      </c>
    </row>
    <row r="38" spans="1:31" ht="31.5" customHeight="1">
      <c r="A38" s="12" t="s">
        <v>34</v>
      </c>
      <c r="B38" s="3" t="s">
        <v>110</v>
      </c>
      <c r="C38" s="520" t="s">
        <v>105</v>
      </c>
      <c r="D38" s="124" t="s">
        <v>93</v>
      </c>
      <c r="E38" s="13">
        <f t="shared" si="7"/>
        <v>3304</v>
      </c>
      <c r="F38" s="14">
        <v>3304</v>
      </c>
      <c r="G38" s="14">
        <v>0</v>
      </c>
      <c r="H38" s="14">
        <v>0</v>
      </c>
      <c r="I38" s="14">
        <v>0</v>
      </c>
      <c r="J38" s="13">
        <f t="shared" si="8"/>
        <v>3304</v>
      </c>
      <c r="K38" s="14">
        <v>3304</v>
      </c>
      <c r="L38" s="14">
        <v>0</v>
      </c>
      <c r="M38" s="14">
        <v>0</v>
      </c>
      <c r="N38" s="14">
        <v>0</v>
      </c>
      <c r="O38" s="13">
        <f t="shared" si="9"/>
        <v>3304</v>
      </c>
      <c r="P38" s="14">
        <v>3304</v>
      </c>
      <c r="Q38" s="14">
        <v>0</v>
      </c>
      <c r="R38" s="14">
        <v>0</v>
      </c>
      <c r="S38" s="14">
        <v>0</v>
      </c>
      <c r="T38" s="13">
        <f t="shared" si="10"/>
        <v>3304</v>
      </c>
      <c r="U38" s="14">
        <v>3304</v>
      </c>
      <c r="V38" s="14">
        <v>0</v>
      </c>
      <c r="W38" s="14">
        <v>0</v>
      </c>
      <c r="X38" s="14">
        <v>0</v>
      </c>
      <c r="Y38" s="13">
        <f t="shared" si="11"/>
        <v>3304</v>
      </c>
      <c r="Z38" s="14">
        <v>3304</v>
      </c>
      <c r="AA38" s="14">
        <v>0</v>
      </c>
      <c r="AB38" s="14">
        <v>0</v>
      </c>
      <c r="AC38" s="14">
        <v>0</v>
      </c>
      <c r="AD38" s="13">
        <f t="shared" si="6"/>
        <v>16520</v>
      </c>
    </row>
    <row r="39" spans="1:31" ht="94.5">
      <c r="A39" s="12" t="s">
        <v>35</v>
      </c>
      <c r="B39" s="3" t="s">
        <v>191</v>
      </c>
      <c r="C39" s="522"/>
      <c r="D39" s="124" t="s">
        <v>93</v>
      </c>
      <c r="E39" s="13">
        <f t="shared" si="7"/>
        <v>378</v>
      </c>
      <c r="F39" s="14">
        <v>378</v>
      </c>
      <c r="G39" s="14">
        <v>0</v>
      </c>
      <c r="H39" s="14">
        <v>0</v>
      </c>
      <c r="I39" s="14">
        <v>0</v>
      </c>
      <c r="J39" s="13">
        <f t="shared" si="8"/>
        <v>378</v>
      </c>
      <c r="K39" s="14">
        <v>378</v>
      </c>
      <c r="L39" s="14">
        <v>0</v>
      </c>
      <c r="M39" s="14">
        <v>0</v>
      </c>
      <c r="N39" s="14">
        <v>0</v>
      </c>
      <c r="O39" s="13">
        <f t="shared" si="9"/>
        <v>378</v>
      </c>
      <c r="P39" s="14">
        <v>378</v>
      </c>
      <c r="Q39" s="14">
        <v>0</v>
      </c>
      <c r="R39" s="14">
        <v>0</v>
      </c>
      <c r="S39" s="14">
        <v>0</v>
      </c>
      <c r="T39" s="13">
        <f t="shared" si="10"/>
        <v>378</v>
      </c>
      <c r="U39" s="14">
        <v>378</v>
      </c>
      <c r="V39" s="14">
        <v>0</v>
      </c>
      <c r="W39" s="14">
        <v>0</v>
      </c>
      <c r="X39" s="14">
        <v>0</v>
      </c>
      <c r="Y39" s="13">
        <f t="shared" si="11"/>
        <v>378</v>
      </c>
      <c r="Z39" s="14">
        <v>378</v>
      </c>
      <c r="AA39" s="14">
        <v>0</v>
      </c>
      <c r="AB39" s="14">
        <v>0</v>
      </c>
      <c r="AC39" s="14">
        <v>0</v>
      </c>
      <c r="AD39" s="13">
        <f t="shared" si="6"/>
        <v>1890</v>
      </c>
    </row>
    <row r="40" spans="1:31" ht="126">
      <c r="A40" s="12" t="s">
        <v>36</v>
      </c>
      <c r="B40" s="3" t="s">
        <v>77</v>
      </c>
      <c r="C40" s="118" t="s">
        <v>94</v>
      </c>
      <c r="D40" s="124" t="s">
        <v>93</v>
      </c>
      <c r="E40" s="13">
        <f t="shared" si="7"/>
        <v>12</v>
      </c>
      <c r="F40" s="14">
        <v>12</v>
      </c>
      <c r="G40" s="14">
        <v>0</v>
      </c>
      <c r="H40" s="14">
        <v>0</v>
      </c>
      <c r="I40" s="14">
        <v>0</v>
      </c>
      <c r="J40" s="13">
        <f t="shared" si="8"/>
        <v>12</v>
      </c>
      <c r="K40" s="14">
        <v>12</v>
      </c>
      <c r="L40" s="14">
        <v>0</v>
      </c>
      <c r="M40" s="14">
        <v>0</v>
      </c>
      <c r="N40" s="14">
        <v>0</v>
      </c>
      <c r="O40" s="13">
        <f t="shared" si="9"/>
        <v>12</v>
      </c>
      <c r="P40" s="14">
        <v>12</v>
      </c>
      <c r="Q40" s="14">
        <v>0</v>
      </c>
      <c r="R40" s="14">
        <v>0</v>
      </c>
      <c r="S40" s="14">
        <v>0</v>
      </c>
      <c r="T40" s="13">
        <f t="shared" si="10"/>
        <v>12</v>
      </c>
      <c r="U40" s="14">
        <v>12</v>
      </c>
      <c r="V40" s="14">
        <v>0</v>
      </c>
      <c r="W40" s="14">
        <v>0</v>
      </c>
      <c r="X40" s="14">
        <v>0</v>
      </c>
      <c r="Y40" s="13">
        <f t="shared" si="11"/>
        <v>12</v>
      </c>
      <c r="Z40" s="14">
        <v>12</v>
      </c>
      <c r="AA40" s="14">
        <v>0</v>
      </c>
      <c r="AB40" s="14">
        <v>0</v>
      </c>
      <c r="AC40" s="14">
        <v>0</v>
      </c>
      <c r="AD40" s="13">
        <f t="shared" si="6"/>
        <v>60</v>
      </c>
    </row>
    <row r="41" spans="1:31" ht="31.5" customHeight="1">
      <c r="A41" s="12" t="s">
        <v>37</v>
      </c>
      <c r="B41" s="3" t="s">
        <v>119</v>
      </c>
      <c r="C41" s="535" t="s">
        <v>105</v>
      </c>
      <c r="D41" s="124" t="s">
        <v>93</v>
      </c>
      <c r="E41" s="13">
        <f t="shared" si="7"/>
        <v>50</v>
      </c>
      <c r="F41" s="14">
        <v>50</v>
      </c>
      <c r="G41" s="14">
        <v>0</v>
      </c>
      <c r="H41" s="14">
        <v>0</v>
      </c>
      <c r="I41" s="14">
        <v>0</v>
      </c>
      <c r="J41" s="13">
        <f t="shared" si="8"/>
        <v>50</v>
      </c>
      <c r="K41" s="14">
        <v>50</v>
      </c>
      <c r="L41" s="14">
        <v>0</v>
      </c>
      <c r="M41" s="14">
        <v>0</v>
      </c>
      <c r="N41" s="14">
        <v>0</v>
      </c>
      <c r="O41" s="13">
        <f t="shared" si="9"/>
        <v>50</v>
      </c>
      <c r="P41" s="14">
        <v>50</v>
      </c>
      <c r="Q41" s="14">
        <v>0</v>
      </c>
      <c r="R41" s="14">
        <v>0</v>
      </c>
      <c r="S41" s="14">
        <v>0</v>
      </c>
      <c r="T41" s="13">
        <f t="shared" si="10"/>
        <v>50</v>
      </c>
      <c r="U41" s="14">
        <v>50</v>
      </c>
      <c r="V41" s="14">
        <v>0</v>
      </c>
      <c r="W41" s="14">
        <v>0</v>
      </c>
      <c r="X41" s="14">
        <v>0</v>
      </c>
      <c r="Y41" s="13">
        <f t="shared" si="11"/>
        <v>50</v>
      </c>
      <c r="Z41" s="14">
        <v>50</v>
      </c>
      <c r="AA41" s="14">
        <v>0</v>
      </c>
      <c r="AB41" s="14">
        <v>0</v>
      </c>
      <c r="AC41" s="14">
        <v>0</v>
      </c>
      <c r="AD41" s="13">
        <f t="shared" si="6"/>
        <v>250</v>
      </c>
    </row>
    <row r="42" spans="1:31" ht="110.25">
      <c r="A42" s="12" t="s">
        <v>38</v>
      </c>
      <c r="B42" s="3" t="s">
        <v>111</v>
      </c>
      <c r="C42" s="536"/>
      <c r="D42" s="124" t="s">
        <v>93</v>
      </c>
      <c r="E42" s="13">
        <f t="shared" si="7"/>
        <v>50</v>
      </c>
      <c r="F42" s="14">
        <v>50</v>
      </c>
      <c r="G42" s="14">
        <v>0</v>
      </c>
      <c r="H42" s="14">
        <v>0</v>
      </c>
      <c r="I42" s="14">
        <v>0</v>
      </c>
      <c r="J42" s="13">
        <f t="shared" si="8"/>
        <v>50</v>
      </c>
      <c r="K42" s="14">
        <v>50</v>
      </c>
      <c r="L42" s="14">
        <v>0</v>
      </c>
      <c r="M42" s="14">
        <v>0</v>
      </c>
      <c r="N42" s="14">
        <v>0</v>
      </c>
      <c r="O42" s="13">
        <f t="shared" si="9"/>
        <v>50</v>
      </c>
      <c r="P42" s="14">
        <v>50</v>
      </c>
      <c r="Q42" s="14">
        <v>0</v>
      </c>
      <c r="R42" s="14">
        <v>0</v>
      </c>
      <c r="S42" s="14">
        <v>0</v>
      </c>
      <c r="T42" s="13">
        <f t="shared" si="10"/>
        <v>50</v>
      </c>
      <c r="U42" s="14">
        <v>50</v>
      </c>
      <c r="V42" s="14">
        <v>0</v>
      </c>
      <c r="W42" s="14">
        <v>0</v>
      </c>
      <c r="X42" s="14">
        <v>0</v>
      </c>
      <c r="Y42" s="13">
        <f t="shared" si="11"/>
        <v>50</v>
      </c>
      <c r="Z42" s="14">
        <v>50</v>
      </c>
      <c r="AA42" s="14">
        <v>0</v>
      </c>
      <c r="AB42" s="14">
        <v>0</v>
      </c>
      <c r="AC42" s="14">
        <v>0</v>
      </c>
      <c r="AD42" s="13">
        <f t="shared" si="6"/>
        <v>250</v>
      </c>
    </row>
    <row r="43" spans="1:31" ht="141.75">
      <c r="A43" s="12" t="s">
        <v>39</v>
      </c>
      <c r="B43" s="3" t="s">
        <v>112</v>
      </c>
      <c r="C43" s="536"/>
      <c r="D43" s="124" t="s">
        <v>93</v>
      </c>
      <c r="E43" s="29">
        <f t="shared" si="7"/>
        <v>810</v>
      </c>
      <c r="F43" s="30">
        <f>480+330</f>
        <v>810</v>
      </c>
      <c r="G43" s="30">
        <v>0</v>
      </c>
      <c r="H43" s="30">
        <v>0</v>
      </c>
      <c r="I43" s="30">
        <v>0</v>
      </c>
      <c r="J43" s="13">
        <f t="shared" si="8"/>
        <v>480</v>
      </c>
      <c r="K43" s="14">
        <v>480</v>
      </c>
      <c r="L43" s="14">
        <v>0</v>
      </c>
      <c r="M43" s="14">
        <v>0</v>
      </c>
      <c r="N43" s="14">
        <v>0</v>
      </c>
      <c r="O43" s="13">
        <f t="shared" si="9"/>
        <v>480</v>
      </c>
      <c r="P43" s="14">
        <v>480</v>
      </c>
      <c r="Q43" s="14">
        <v>0</v>
      </c>
      <c r="R43" s="14">
        <v>0</v>
      </c>
      <c r="S43" s="14">
        <v>0</v>
      </c>
      <c r="T43" s="13">
        <f t="shared" si="10"/>
        <v>480</v>
      </c>
      <c r="U43" s="14">
        <v>480</v>
      </c>
      <c r="V43" s="14">
        <v>0</v>
      </c>
      <c r="W43" s="14">
        <v>0</v>
      </c>
      <c r="X43" s="14">
        <v>0</v>
      </c>
      <c r="Y43" s="13">
        <f t="shared" si="11"/>
        <v>480</v>
      </c>
      <c r="Z43" s="14">
        <v>480</v>
      </c>
      <c r="AA43" s="14">
        <v>0</v>
      </c>
      <c r="AB43" s="14">
        <v>0</v>
      </c>
      <c r="AC43" s="14">
        <v>0</v>
      </c>
      <c r="AD43" s="13">
        <f t="shared" si="6"/>
        <v>2730</v>
      </c>
    </row>
    <row r="44" spans="1:31" ht="157.5">
      <c r="A44" s="34" t="s">
        <v>40</v>
      </c>
      <c r="B44" s="3" t="s">
        <v>113</v>
      </c>
      <c r="C44" s="536"/>
      <c r="D44" s="124" t="s">
        <v>93</v>
      </c>
      <c r="E44" s="13">
        <f t="shared" si="7"/>
        <v>30</v>
      </c>
      <c r="F44" s="14">
        <v>30</v>
      </c>
      <c r="G44" s="14">
        <v>0</v>
      </c>
      <c r="H44" s="14">
        <v>0</v>
      </c>
      <c r="I44" s="14">
        <v>0</v>
      </c>
      <c r="J44" s="13">
        <f t="shared" si="8"/>
        <v>30</v>
      </c>
      <c r="K44" s="14">
        <v>30</v>
      </c>
      <c r="L44" s="14">
        <v>0</v>
      </c>
      <c r="M44" s="14">
        <v>0</v>
      </c>
      <c r="N44" s="14">
        <v>0</v>
      </c>
      <c r="O44" s="13">
        <f t="shared" si="9"/>
        <v>30</v>
      </c>
      <c r="P44" s="14">
        <v>30</v>
      </c>
      <c r="Q44" s="14">
        <v>0</v>
      </c>
      <c r="R44" s="14">
        <v>0</v>
      </c>
      <c r="S44" s="14">
        <v>0</v>
      </c>
      <c r="T44" s="13">
        <f t="shared" si="10"/>
        <v>30</v>
      </c>
      <c r="U44" s="14">
        <v>30</v>
      </c>
      <c r="V44" s="14">
        <v>0</v>
      </c>
      <c r="W44" s="14">
        <v>0</v>
      </c>
      <c r="X44" s="14">
        <v>0</v>
      </c>
      <c r="Y44" s="13">
        <f t="shared" si="11"/>
        <v>30</v>
      </c>
      <c r="Z44" s="14">
        <v>30</v>
      </c>
      <c r="AA44" s="14">
        <v>0</v>
      </c>
      <c r="AB44" s="14">
        <v>0</v>
      </c>
      <c r="AC44" s="14">
        <v>0</v>
      </c>
      <c r="AD44" s="13">
        <f t="shared" si="6"/>
        <v>150</v>
      </c>
    </row>
    <row r="45" spans="1:31" ht="94.5">
      <c r="A45" s="12" t="s">
        <v>41</v>
      </c>
      <c r="B45" s="3" t="s">
        <v>114</v>
      </c>
      <c r="C45" s="537"/>
      <c r="D45" s="124" t="s">
        <v>93</v>
      </c>
      <c r="E45" s="13">
        <f t="shared" si="7"/>
        <v>50</v>
      </c>
      <c r="F45" s="14">
        <v>50</v>
      </c>
      <c r="G45" s="14">
        <v>0</v>
      </c>
      <c r="H45" s="14">
        <v>0</v>
      </c>
      <c r="I45" s="14">
        <v>0</v>
      </c>
      <c r="J45" s="13">
        <f t="shared" si="8"/>
        <v>50</v>
      </c>
      <c r="K45" s="14">
        <v>50</v>
      </c>
      <c r="L45" s="14">
        <v>0</v>
      </c>
      <c r="M45" s="14">
        <v>0</v>
      </c>
      <c r="N45" s="14">
        <v>0</v>
      </c>
      <c r="O45" s="13">
        <f t="shared" si="9"/>
        <v>50</v>
      </c>
      <c r="P45" s="14">
        <v>50</v>
      </c>
      <c r="Q45" s="14">
        <v>0</v>
      </c>
      <c r="R45" s="14">
        <v>0</v>
      </c>
      <c r="S45" s="14">
        <v>0</v>
      </c>
      <c r="T45" s="13">
        <f t="shared" si="10"/>
        <v>50</v>
      </c>
      <c r="U45" s="14">
        <v>50</v>
      </c>
      <c r="V45" s="14">
        <v>0</v>
      </c>
      <c r="W45" s="14">
        <v>0</v>
      </c>
      <c r="X45" s="14">
        <v>0</v>
      </c>
      <c r="Y45" s="13">
        <f t="shared" si="11"/>
        <v>50</v>
      </c>
      <c r="Z45" s="14">
        <v>50</v>
      </c>
      <c r="AA45" s="14">
        <v>0</v>
      </c>
      <c r="AB45" s="14">
        <v>0</v>
      </c>
      <c r="AC45" s="14">
        <v>0</v>
      </c>
      <c r="AD45" s="13">
        <f t="shared" si="6"/>
        <v>250</v>
      </c>
    </row>
    <row r="46" spans="1:31" ht="94.5">
      <c r="A46" s="12" t="s">
        <v>42</v>
      </c>
      <c r="B46" s="3" t="s">
        <v>78</v>
      </c>
      <c r="C46" s="124" t="s">
        <v>18</v>
      </c>
      <c r="D46" s="124" t="s">
        <v>93</v>
      </c>
      <c r="E46" s="20">
        <f t="shared" si="7"/>
        <v>96</v>
      </c>
      <c r="F46" s="21">
        <f>96</f>
        <v>96</v>
      </c>
      <c r="G46" s="21">
        <v>0</v>
      </c>
      <c r="H46" s="21">
        <v>0</v>
      </c>
      <c r="I46" s="21">
        <v>0</v>
      </c>
      <c r="J46" s="13">
        <f t="shared" si="8"/>
        <v>96</v>
      </c>
      <c r="K46" s="14">
        <v>96</v>
      </c>
      <c r="L46" s="14">
        <v>0</v>
      </c>
      <c r="M46" s="14">
        <v>0</v>
      </c>
      <c r="N46" s="14">
        <v>0</v>
      </c>
      <c r="O46" s="13">
        <f t="shared" si="9"/>
        <v>96</v>
      </c>
      <c r="P46" s="14">
        <v>96</v>
      </c>
      <c r="Q46" s="14">
        <v>0</v>
      </c>
      <c r="R46" s="14">
        <v>0</v>
      </c>
      <c r="S46" s="14">
        <v>0</v>
      </c>
      <c r="T46" s="13">
        <f t="shared" si="10"/>
        <v>96</v>
      </c>
      <c r="U46" s="14">
        <v>96</v>
      </c>
      <c r="V46" s="14">
        <v>0</v>
      </c>
      <c r="W46" s="14">
        <v>0</v>
      </c>
      <c r="X46" s="14">
        <v>0</v>
      </c>
      <c r="Y46" s="13">
        <f t="shared" si="11"/>
        <v>96</v>
      </c>
      <c r="Z46" s="14">
        <v>96</v>
      </c>
      <c r="AA46" s="14">
        <v>0</v>
      </c>
      <c r="AB46" s="14">
        <v>0</v>
      </c>
      <c r="AC46" s="14">
        <v>0</v>
      </c>
      <c r="AD46" s="13">
        <f t="shared" si="6"/>
        <v>480</v>
      </c>
    </row>
    <row r="47" spans="1:31" ht="141.75">
      <c r="A47" s="12" t="s">
        <v>43</v>
      </c>
      <c r="B47" s="3" t="s">
        <v>145</v>
      </c>
      <c r="C47" s="124" t="s">
        <v>94</v>
      </c>
      <c r="D47" s="124" t="s">
        <v>93</v>
      </c>
      <c r="E47" s="20">
        <f>F47+G47+H47+I47</f>
        <v>28325</v>
      </c>
      <c r="F47" s="21">
        <f>6567-902</f>
        <v>5665</v>
      </c>
      <c r="G47" s="21">
        <f>26268-3608</f>
        <v>22660</v>
      </c>
      <c r="H47" s="21">
        <v>0</v>
      </c>
      <c r="I47" s="21">
        <v>0</v>
      </c>
      <c r="J47" s="13">
        <f>1848</f>
        <v>1848</v>
      </c>
      <c r="K47" s="14">
        <v>1848</v>
      </c>
      <c r="L47" s="14">
        <v>0</v>
      </c>
      <c r="M47" s="14">
        <v>0</v>
      </c>
      <c r="N47" s="14">
        <v>0</v>
      </c>
      <c r="O47" s="13">
        <v>1848</v>
      </c>
      <c r="P47" s="14">
        <v>1848</v>
      </c>
      <c r="Q47" s="14">
        <v>0</v>
      </c>
      <c r="R47" s="14">
        <v>0</v>
      </c>
      <c r="S47" s="14">
        <v>0</v>
      </c>
      <c r="T47" s="14">
        <v>2321</v>
      </c>
      <c r="U47" s="14">
        <v>2321</v>
      </c>
      <c r="V47" s="14">
        <v>0</v>
      </c>
      <c r="W47" s="14">
        <v>0</v>
      </c>
      <c r="X47" s="14">
        <v>0</v>
      </c>
      <c r="Y47" s="14">
        <v>2321</v>
      </c>
      <c r="Z47" s="14">
        <v>2321</v>
      </c>
      <c r="AA47" s="14">
        <v>0</v>
      </c>
      <c r="AB47" s="14">
        <v>0</v>
      </c>
      <c r="AC47" s="14">
        <v>0</v>
      </c>
      <c r="AD47" s="13">
        <f t="shared" si="6"/>
        <v>36663</v>
      </c>
      <c r="AE47" s="18"/>
    </row>
    <row r="48" spans="1:31" ht="63">
      <c r="A48" s="64" t="s">
        <v>75</v>
      </c>
      <c r="B48" s="27" t="s">
        <v>87</v>
      </c>
      <c r="C48" s="120" t="s">
        <v>52</v>
      </c>
      <c r="D48" s="124" t="s">
        <v>93</v>
      </c>
      <c r="E48" s="29">
        <f>F48+G48+H48+I48</f>
        <v>384.8</v>
      </c>
      <c r="F48" s="30">
        <f>387-2.2</f>
        <v>384.8</v>
      </c>
      <c r="G48" s="30">
        <v>0</v>
      </c>
      <c r="H48" s="30">
        <v>0</v>
      </c>
      <c r="I48" s="30">
        <v>0</v>
      </c>
      <c r="J48" s="13">
        <v>387</v>
      </c>
      <c r="K48" s="14">
        <v>387</v>
      </c>
      <c r="L48" s="14">
        <v>0</v>
      </c>
      <c r="M48" s="14">
        <v>0</v>
      </c>
      <c r="N48" s="14">
        <v>0</v>
      </c>
      <c r="O48" s="13">
        <v>387</v>
      </c>
      <c r="P48" s="14">
        <v>387</v>
      </c>
      <c r="Q48" s="14">
        <v>0</v>
      </c>
      <c r="R48" s="14">
        <v>0</v>
      </c>
      <c r="S48" s="14">
        <v>0</v>
      </c>
      <c r="T48" s="14">
        <v>386</v>
      </c>
      <c r="U48" s="14">
        <v>386</v>
      </c>
      <c r="V48" s="14">
        <v>0</v>
      </c>
      <c r="W48" s="14">
        <v>0</v>
      </c>
      <c r="X48" s="14">
        <v>0</v>
      </c>
      <c r="Y48" s="14">
        <v>386</v>
      </c>
      <c r="Z48" s="14">
        <v>386</v>
      </c>
      <c r="AA48" s="14">
        <v>0</v>
      </c>
      <c r="AB48" s="14">
        <v>0</v>
      </c>
      <c r="AC48" s="14">
        <v>0</v>
      </c>
      <c r="AD48" s="13">
        <f t="shared" si="6"/>
        <v>1930.8</v>
      </c>
    </row>
    <row r="49" spans="1:30" ht="16.5">
      <c r="A49" s="519" t="s">
        <v>44</v>
      </c>
      <c r="B49" s="519"/>
      <c r="C49" s="519"/>
      <c r="D49" s="116"/>
      <c r="E49" s="108">
        <f>E50+E51</f>
        <v>36873.800000000003</v>
      </c>
      <c r="F49" s="85">
        <f>F50+F51</f>
        <v>14213.8</v>
      </c>
      <c r="G49" s="85">
        <f t="shared" ref="G49:AC49" si="12">SUM(G31,G36:G48)</f>
        <v>22660</v>
      </c>
      <c r="H49" s="85">
        <f t="shared" si="12"/>
        <v>0</v>
      </c>
      <c r="I49" s="85">
        <f t="shared" si="12"/>
        <v>0</v>
      </c>
      <c r="J49" s="31">
        <f>SUM(J31,J36:J48)</f>
        <v>10426</v>
      </c>
      <c r="K49" s="15">
        <f>SUM(K31,K36:K48)</f>
        <v>10426</v>
      </c>
      <c r="L49" s="15">
        <f t="shared" si="12"/>
        <v>0</v>
      </c>
      <c r="M49" s="15">
        <f t="shared" si="12"/>
        <v>0</v>
      </c>
      <c r="N49" s="15">
        <f t="shared" si="12"/>
        <v>0</v>
      </c>
      <c r="O49" s="31">
        <f>SUM(O31,O36:O48)</f>
        <v>10426</v>
      </c>
      <c r="P49" s="15">
        <f>SUM(P31,P36:P48)</f>
        <v>10426</v>
      </c>
      <c r="Q49" s="15">
        <f t="shared" si="12"/>
        <v>0</v>
      </c>
      <c r="R49" s="15">
        <f t="shared" si="12"/>
        <v>0</v>
      </c>
      <c r="S49" s="15">
        <f t="shared" si="12"/>
        <v>0</v>
      </c>
      <c r="T49" s="31">
        <f>SUM(T31,T36:T48)</f>
        <v>10898</v>
      </c>
      <c r="U49" s="15">
        <f>SUM(U31,U36:U48)</f>
        <v>10898</v>
      </c>
      <c r="V49" s="15">
        <f t="shared" si="12"/>
        <v>0</v>
      </c>
      <c r="W49" s="15">
        <f t="shared" si="12"/>
        <v>0</v>
      </c>
      <c r="X49" s="15">
        <f t="shared" si="12"/>
        <v>0</v>
      </c>
      <c r="Y49" s="31">
        <f>SUM(Y31,Y36:Y48)</f>
        <v>10898</v>
      </c>
      <c r="Z49" s="15">
        <f>SUM(Z31,Z36:Z48)</f>
        <v>10898</v>
      </c>
      <c r="AA49" s="15">
        <f t="shared" si="12"/>
        <v>0</v>
      </c>
      <c r="AB49" s="15">
        <f t="shared" si="12"/>
        <v>0</v>
      </c>
      <c r="AC49" s="15">
        <f t="shared" si="12"/>
        <v>0</v>
      </c>
      <c r="AD49" s="31">
        <f>SUM(AD31,AD36:AD48)</f>
        <v>79521.8</v>
      </c>
    </row>
    <row r="50" spans="1:30" ht="16.5">
      <c r="A50" s="116" t="s">
        <v>73</v>
      </c>
      <c r="B50" s="116"/>
      <c r="C50" s="122"/>
      <c r="D50" s="122"/>
      <c r="E50" s="109">
        <f t="shared" ref="E50:AD50" si="13">E48</f>
        <v>384.8</v>
      </c>
      <c r="F50" s="110">
        <f t="shared" si="13"/>
        <v>384.8</v>
      </c>
      <c r="G50" s="110">
        <f t="shared" si="13"/>
        <v>0</v>
      </c>
      <c r="H50" s="110">
        <f t="shared" si="13"/>
        <v>0</v>
      </c>
      <c r="I50" s="110">
        <f t="shared" si="13"/>
        <v>0</v>
      </c>
      <c r="J50" s="35">
        <f t="shared" si="13"/>
        <v>387</v>
      </c>
      <c r="K50" s="36">
        <f t="shared" si="13"/>
        <v>387</v>
      </c>
      <c r="L50" s="36">
        <f t="shared" si="13"/>
        <v>0</v>
      </c>
      <c r="M50" s="36">
        <f t="shared" si="13"/>
        <v>0</v>
      </c>
      <c r="N50" s="36">
        <f t="shared" si="13"/>
        <v>0</v>
      </c>
      <c r="O50" s="35">
        <f t="shared" si="13"/>
        <v>387</v>
      </c>
      <c r="P50" s="36">
        <f t="shared" si="13"/>
        <v>387</v>
      </c>
      <c r="Q50" s="36">
        <f t="shared" si="13"/>
        <v>0</v>
      </c>
      <c r="R50" s="36">
        <f t="shared" si="13"/>
        <v>0</v>
      </c>
      <c r="S50" s="36">
        <f t="shared" si="13"/>
        <v>0</v>
      </c>
      <c r="T50" s="35">
        <f t="shared" si="13"/>
        <v>386</v>
      </c>
      <c r="U50" s="36">
        <f t="shared" si="13"/>
        <v>386</v>
      </c>
      <c r="V50" s="36">
        <f t="shared" si="13"/>
        <v>0</v>
      </c>
      <c r="W50" s="36">
        <f t="shared" si="13"/>
        <v>0</v>
      </c>
      <c r="X50" s="36">
        <f t="shared" si="13"/>
        <v>0</v>
      </c>
      <c r="Y50" s="35">
        <f t="shared" si="13"/>
        <v>386</v>
      </c>
      <c r="Z50" s="36">
        <f t="shared" si="13"/>
        <v>386</v>
      </c>
      <c r="AA50" s="36">
        <f t="shared" si="13"/>
        <v>0</v>
      </c>
      <c r="AB50" s="36">
        <f t="shared" si="13"/>
        <v>0</v>
      </c>
      <c r="AC50" s="36">
        <f t="shared" si="13"/>
        <v>0</v>
      </c>
      <c r="AD50" s="37">
        <f t="shared" si="13"/>
        <v>1930.8</v>
      </c>
    </row>
    <row r="51" spans="1:30" ht="16.5">
      <c r="A51" s="116" t="s">
        <v>135</v>
      </c>
      <c r="B51" s="116"/>
      <c r="C51" s="122"/>
      <c r="D51" s="122"/>
      <c r="E51" s="109">
        <f>SUM(E32:E47)</f>
        <v>36489</v>
      </c>
      <c r="F51" s="110">
        <f>F32+F33+F34+F35+F36+F37+F38+F39+F40+F41+F42+F43+F44+F45+F46+F47</f>
        <v>13829</v>
      </c>
      <c r="G51" s="110">
        <f>G31+G36+G32+G33+G34+G35+G36+G37+G38+G39+G40+G41+G42+G43+G44+G45+G46+G47</f>
        <v>22660</v>
      </c>
      <c r="H51" s="110">
        <f>0</f>
        <v>0</v>
      </c>
      <c r="I51" s="110">
        <v>0</v>
      </c>
      <c r="J51" s="35">
        <f>J31+J36+J37+J38+J39+J40+J41+J42+J43+J44+J45+J46+J47</f>
        <v>10039</v>
      </c>
      <c r="K51" s="36">
        <f>K31+K36+K37+K38+K39+K40+K41+K42+K43+K44+K45+K46+K47</f>
        <v>10039</v>
      </c>
      <c r="L51" s="36">
        <v>0</v>
      </c>
      <c r="M51" s="36">
        <v>0</v>
      </c>
      <c r="N51" s="36">
        <v>0</v>
      </c>
      <c r="O51" s="35">
        <f>O31+O36+O37+O38+O39+O40+O41+O42+O43+O44+O45+O46+O47</f>
        <v>10039</v>
      </c>
      <c r="P51" s="36">
        <f>P31+P36+P37+P38+P39+P40+P41+P42+P43+P44+P45+P46+P47</f>
        <v>10039</v>
      </c>
      <c r="Q51" s="36">
        <v>0</v>
      </c>
      <c r="R51" s="36">
        <v>0</v>
      </c>
      <c r="S51" s="36">
        <v>0</v>
      </c>
      <c r="T51" s="35">
        <f>T31+T36+T37+T38+T39+T40+T41+T42+T43+T44+T45+T46+T47</f>
        <v>10512</v>
      </c>
      <c r="U51" s="36">
        <f>U31+U36+U37+U38+U39+U40+U41+U42+U43+U44+U45+U46+U47</f>
        <v>10512</v>
      </c>
      <c r="V51" s="36">
        <v>0</v>
      </c>
      <c r="W51" s="36">
        <v>0</v>
      </c>
      <c r="X51" s="36">
        <v>0</v>
      </c>
      <c r="Y51" s="35">
        <f>Y31+Y36+Y37+Y38+Y39+Y40+Y41+Y42+Y43+Y44+Y45+Y46+Y47</f>
        <v>10512</v>
      </c>
      <c r="Z51" s="36">
        <f>Z31+Z36+Z37+Z38+Z39+Z40+Z41+Z42+Z43+Z44+Z45+Z46+Z47</f>
        <v>10512</v>
      </c>
      <c r="AA51" s="36">
        <v>0</v>
      </c>
      <c r="AB51" s="36">
        <v>0</v>
      </c>
      <c r="AC51" s="36">
        <v>0</v>
      </c>
      <c r="AD51" s="37">
        <f>AD31+AD36+AD37+AD38+AD39+AD40+AD41+AD42+AD43+AD44+AD45+AD46+AD47</f>
        <v>77591</v>
      </c>
    </row>
    <row r="52" spans="1:30" ht="18.75" customHeight="1">
      <c r="A52" s="25" t="s">
        <v>45</v>
      </c>
      <c r="B52" s="529" t="s">
        <v>146</v>
      </c>
      <c r="C52" s="530"/>
      <c r="D52" s="530"/>
      <c r="E52" s="530"/>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1"/>
    </row>
    <row r="53" spans="1:30" ht="157.5">
      <c r="A53" s="19" t="s">
        <v>46</v>
      </c>
      <c r="B53" s="106" t="s">
        <v>132</v>
      </c>
      <c r="C53" s="65" t="s">
        <v>147</v>
      </c>
      <c r="D53" s="38" t="s">
        <v>93</v>
      </c>
      <c r="E53" s="20">
        <f>F53+G53+H53+I53</f>
        <v>1248</v>
      </c>
      <c r="F53" s="21">
        <f>1248</f>
        <v>1248</v>
      </c>
      <c r="G53" s="21">
        <v>0</v>
      </c>
      <c r="H53" s="21">
        <v>0</v>
      </c>
      <c r="I53" s="21">
        <v>0</v>
      </c>
      <c r="J53" s="20">
        <f>K53+L53+M53+N53</f>
        <v>1248</v>
      </c>
      <c r="K53" s="21">
        <f>1248</f>
        <v>1248</v>
      </c>
      <c r="L53" s="21">
        <v>0</v>
      </c>
      <c r="M53" s="21">
        <v>0</v>
      </c>
      <c r="N53" s="21">
        <v>0</v>
      </c>
      <c r="O53" s="20">
        <f>P53+Q53+R53+S53</f>
        <v>1248</v>
      </c>
      <c r="P53" s="21">
        <v>1248</v>
      </c>
      <c r="Q53" s="21">
        <v>0</v>
      </c>
      <c r="R53" s="21">
        <v>0</v>
      </c>
      <c r="S53" s="21">
        <v>0</v>
      </c>
      <c r="T53" s="20">
        <f>U53+V53+W53+X53</f>
        <v>1248</v>
      </c>
      <c r="U53" s="21">
        <v>1248</v>
      </c>
      <c r="V53" s="21">
        <v>0</v>
      </c>
      <c r="W53" s="21">
        <v>0</v>
      </c>
      <c r="X53" s="21">
        <v>0</v>
      </c>
      <c r="Y53" s="20">
        <f>Z53+AA53+AB53+AC53</f>
        <v>1248</v>
      </c>
      <c r="Z53" s="21">
        <v>1248</v>
      </c>
      <c r="AA53" s="21">
        <v>0</v>
      </c>
      <c r="AB53" s="21">
        <v>0</v>
      </c>
      <c r="AC53" s="21">
        <v>0</v>
      </c>
      <c r="AD53" s="20">
        <f>E53+J53+O53+T53+Y53</f>
        <v>6240</v>
      </c>
    </row>
    <row r="54" spans="1:30" ht="16.5">
      <c r="A54" s="533" t="s">
        <v>47</v>
      </c>
      <c r="B54" s="533"/>
      <c r="C54" s="533"/>
      <c r="D54" s="119"/>
      <c r="E54" s="39">
        <f t="shared" ref="E54:AD54" si="14">E53</f>
        <v>1248</v>
      </c>
      <c r="F54" s="40">
        <f t="shared" si="14"/>
        <v>1248</v>
      </c>
      <c r="G54" s="40">
        <f t="shared" si="14"/>
        <v>0</v>
      </c>
      <c r="H54" s="40">
        <f t="shared" si="14"/>
        <v>0</v>
      </c>
      <c r="I54" s="40">
        <f t="shared" si="14"/>
        <v>0</v>
      </c>
      <c r="J54" s="39">
        <f t="shared" si="14"/>
        <v>1248</v>
      </c>
      <c r="K54" s="40">
        <f t="shared" si="14"/>
        <v>1248</v>
      </c>
      <c r="L54" s="40">
        <f t="shared" si="14"/>
        <v>0</v>
      </c>
      <c r="M54" s="40">
        <f t="shared" si="14"/>
        <v>0</v>
      </c>
      <c r="N54" s="40">
        <f t="shared" si="14"/>
        <v>0</v>
      </c>
      <c r="O54" s="39">
        <f t="shared" si="14"/>
        <v>1248</v>
      </c>
      <c r="P54" s="40">
        <f t="shared" si="14"/>
        <v>1248</v>
      </c>
      <c r="Q54" s="40">
        <f t="shared" si="14"/>
        <v>0</v>
      </c>
      <c r="R54" s="40">
        <f t="shared" si="14"/>
        <v>0</v>
      </c>
      <c r="S54" s="40">
        <f t="shared" si="14"/>
        <v>0</v>
      </c>
      <c r="T54" s="39">
        <f t="shared" si="14"/>
        <v>1248</v>
      </c>
      <c r="U54" s="40">
        <f t="shared" si="14"/>
        <v>1248</v>
      </c>
      <c r="V54" s="40">
        <f t="shared" si="14"/>
        <v>0</v>
      </c>
      <c r="W54" s="40">
        <f t="shared" si="14"/>
        <v>0</v>
      </c>
      <c r="X54" s="40">
        <f t="shared" si="14"/>
        <v>0</v>
      </c>
      <c r="Y54" s="39">
        <f t="shared" si="14"/>
        <v>1248</v>
      </c>
      <c r="Z54" s="40">
        <f t="shared" si="14"/>
        <v>1248</v>
      </c>
      <c r="AA54" s="40">
        <f t="shared" si="14"/>
        <v>0</v>
      </c>
      <c r="AB54" s="40">
        <f t="shared" si="14"/>
        <v>0</v>
      </c>
      <c r="AC54" s="40">
        <f t="shared" si="14"/>
        <v>0</v>
      </c>
      <c r="AD54" s="40">
        <f t="shared" si="14"/>
        <v>6240</v>
      </c>
    </row>
    <row r="55" spans="1:30" ht="18.75" customHeight="1">
      <c r="A55" s="41" t="s">
        <v>176</v>
      </c>
      <c r="B55" s="538" t="s">
        <v>177</v>
      </c>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40"/>
    </row>
    <row r="56" spans="1:30" ht="94.5">
      <c r="A56" s="19" t="s">
        <v>48</v>
      </c>
      <c r="B56" s="3" t="s">
        <v>120</v>
      </c>
      <c r="C56" s="38" t="s">
        <v>94</v>
      </c>
      <c r="D56" s="38" t="s">
        <v>93</v>
      </c>
      <c r="E56" s="20">
        <f>F56+G56+H56+I56</f>
        <v>700</v>
      </c>
      <c r="F56" s="21">
        <f>700</f>
        <v>700</v>
      </c>
      <c r="G56" s="21">
        <v>0</v>
      </c>
      <c r="H56" s="21">
        <v>0</v>
      </c>
      <c r="I56" s="21">
        <v>0</v>
      </c>
      <c r="J56" s="20">
        <f>K56+L56+M56+N56</f>
        <v>700</v>
      </c>
      <c r="K56" s="21">
        <v>700</v>
      </c>
      <c r="L56" s="21">
        <v>0</v>
      </c>
      <c r="M56" s="21">
        <v>0</v>
      </c>
      <c r="N56" s="21">
        <v>0</v>
      </c>
      <c r="O56" s="20">
        <f>P56+Q56+R56+S56</f>
        <v>700</v>
      </c>
      <c r="P56" s="21">
        <v>700</v>
      </c>
      <c r="Q56" s="21">
        <v>0</v>
      </c>
      <c r="R56" s="21">
        <v>0</v>
      </c>
      <c r="S56" s="21">
        <v>0</v>
      </c>
      <c r="T56" s="20">
        <f>U56+V56+W56+X56</f>
        <v>700</v>
      </c>
      <c r="U56" s="21">
        <v>700</v>
      </c>
      <c r="V56" s="21">
        <v>0</v>
      </c>
      <c r="W56" s="21">
        <v>0</v>
      </c>
      <c r="X56" s="21">
        <v>0</v>
      </c>
      <c r="Y56" s="20">
        <f>Z56+AA56+AB56+AC56</f>
        <v>700</v>
      </c>
      <c r="Z56" s="21">
        <v>700</v>
      </c>
      <c r="AA56" s="21">
        <v>0</v>
      </c>
      <c r="AB56" s="21">
        <v>0</v>
      </c>
      <c r="AC56" s="21">
        <v>0</v>
      </c>
      <c r="AD56" s="20">
        <f>E56+J56+O56+T56+Y56</f>
        <v>3500</v>
      </c>
    </row>
    <row r="57" spans="1:30" ht="16.5">
      <c r="A57" s="533" t="s">
        <v>49</v>
      </c>
      <c r="B57" s="533"/>
      <c r="C57" s="533"/>
      <c r="D57" s="119"/>
      <c r="E57" s="40">
        <f t="shared" ref="E57:AD57" si="15">SUM(E56:E56)</f>
        <v>700</v>
      </c>
      <c r="F57" s="39">
        <f t="shared" si="15"/>
        <v>700</v>
      </c>
      <c r="G57" s="39">
        <f t="shared" si="15"/>
        <v>0</v>
      </c>
      <c r="H57" s="39">
        <f t="shared" si="15"/>
        <v>0</v>
      </c>
      <c r="I57" s="39">
        <f t="shared" si="15"/>
        <v>0</v>
      </c>
      <c r="J57" s="40">
        <f t="shared" si="15"/>
        <v>700</v>
      </c>
      <c r="K57" s="39">
        <f t="shared" si="15"/>
        <v>700</v>
      </c>
      <c r="L57" s="39">
        <f t="shared" si="15"/>
        <v>0</v>
      </c>
      <c r="M57" s="39">
        <f t="shared" si="15"/>
        <v>0</v>
      </c>
      <c r="N57" s="39">
        <f t="shared" si="15"/>
        <v>0</v>
      </c>
      <c r="O57" s="40">
        <f t="shared" si="15"/>
        <v>700</v>
      </c>
      <c r="P57" s="39">
        <f t="shared" si="15"/>
        <v>700</v>
      </c>
      <c r="Q57" s="39">
        <f t="shared" si="15"/>
        <v>0</v>
      </c>
      <c r="R57" s="39">
        <f t="shared" si="15"/>
        <v>0</v>
      </c>
      <c r="S57" s="39">
        <f t="shared" si="15"/>
        <v>0</v>
      </c>
      <c r="T57" s="40">
        <f t="shared" si="15"/>
        <v>700</v>
      </c>
      <c r="U57" s="39">
        <f t="shared" si="15"/>
        <v>700</v>
      </c>
      <c r="V57" s="39">
        <f t="shared" si="15"/>
        <v>0</v>
      </c>
      <c r="W57" s="39">
        <f t="shared" si="15"/>
        <v>0</v>
      </c>
      <c r="X57" s="39">
        <f t="shared" si="15"/>
        <v>0</v>
      </c>
      <c r="Y57" s="40">
        <f t="shared" si="15"/>
        <v>700</v>
      </c>
      <c r="Z57" s="39">
        <f t="shared" si="15"/>
        <v>700</v>
      </c>
      <c r="AA57" s="39">
        <f t="shared" si="15"/>
        <v>0</v>
      </c>
      <c r="AB57" s="39">
        <f t="shared" si="15"/>
        <v>0</v>
      </c>
      <c r="AC57" s="39">
        <f t="shared" si="15"/>
        <v>0</v>
      </c>
      <c r="AD57" s="40">
        <f t="shared" si="15"/>
        <v>3500</v>
      </c>
    </row>
    <row r="58" spans="1:30" ht="18.75" customHeight="1">
      <c r="A58" s="41" t="s">
        <v>178</v>
      </c>
      <c r="B58" s="538" t="s">
        <v>179</v>
      </c>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40"/>
    </row>
    <row r="59" spans="1:30" ht="94.5">
      <c r="A59" s="19" t="s">
        <v>50</v>
      </c>
      <c r="B59" s="3" t="s">
        <v>109</v>
      </c>
      <c r="C59" s="38" t="s">
        <v>94</v>
      </c>
      <c r="D59" s="38" t="s">
        <v>93</v>
      </c>
      <c r="E59" s="29">
        <f>F59+G59+H59+I59</f>
        <v>1449</v>
      </c>
      <c r="F59" s="30">
        <f>1656-207</f>
        <v>1449</v>
      </c>
      <c r="G59" s="30">
        <v>0</v>
      </c>
      <c r="H59" s="30">
        <v>0</v>
      </c>
      <c r="I59" s="30">
        <v>0</v>
      </c>
      <c r="J59" s="20">
        <f>K59+L59+M59+N59</f>
        <v>1656</v>
      </c>
      <c r="K59" s="21">
        <v>1656</v>
      </c>
      <c r="L59" s="21">
        <v>0</v>
      </c>
      <c r="M59" s="21">
        <v>0</v>
      </c>
      <c r="N59" s="21">
        <v>0</v>
      </c>
      <c r="O59" s="20">
        <f>P59+Q59+R59+S59</f>
        <v>1656</v>
      </c>
      <c r="P59" s="21">
        <v>1656</v>
      </c>
      <c r="Q59" s="21">
        <v>0</v>
      </c>
      <c r="R59" s="21">
        <v>0</v>
      </c>
      <c r="S59" s="21">
        <v>0</v>
      </c>
      <c r="T59" s="20">
        <f>U59+V59+W59+X59</f>
        <v>1656</v>
      </c>
      <c r="U59" s="21">
        <v>1656</v>
      </c>
      <c r="V59" s="21">
        <v>0</v>
      </c>
      <c r="W59" s="21">
        <v>0</v>
      </c>
      <c r="X59" s="21">
        <v>0</v>
      </c>
      <c r="Y59" s="20">
        <f>Z59+AA59+AB59+AC59</f>
        <v>1656</v>
      </c>
      <c r="Z59" s="21">
        <v>1656</v>
      </c>
      <c r="AA59" s="21">
        <v>0</v>
      </c>
      <c r="AB59" s="21">
        <v>0</v>
      </c>
      <c r="AC59" s="21">
        <v>0</v>
      </c>
      <c r="AD59" s="20">
        <f>E59+J59+O59+T59+Y59</f>
        <v>8073</v>
      </c>
    </row>
    <row r="60" spans="1:30" ht="47.25">
      <c r="A60" s="19" t="s">
        <v>51</v>
      </c>
      <c r="B60" s="3" t="s">
        <v>141</v>
      </c>
      <c r="C60" s="38" t="s">
        <v>52</v>
      </c>
      <c r="D60" s="38" t="s">
        <v>93</v>
      </c>
      <c r="E60" s="29">
        <f>F60+G60+H60+I60</f>
        <v>55</v>
      </c>
      <c r="F60" s="30">
        <f>86-31</f>
        <v>55</v>
      </c>
      <c r="G60" s="30">
        <v>0</v>
      </c>
      <c r="H60" s="30">
        <v>0</v>
      </c>
      <c r="I60" s="30">
        <v>0</v>
      </c>
      <c r="J60" s="20">
        <f>K60+L60+M60+N60</f>
        <v>86</v>
      </c>
      <c r="K60" s="21">
        <v>86</v>
      </c>
      <c r="L60" s="21">
        <v>0</v>
      </c>
      <c r="M60" s="21">
        <v>0</v>
      </c>
      <c r="N60" s="21">
        <v>0</v>
      </c>
      <c r="O60" s="20">
        <f>P60+Q60+R60+S60</f>
        <v>86</v>
      </c>
      <c r="P60" s="21">
        <v>86</v>
      </c>
      <c r="Q60" s="21">
        <v>0</v>
      </c>
      <c r="R60" s="21">
        <v>0</v>
      </c>
      <c r="S60" s="21">
        <v>0</v>
      </c>
      <c r="T60" s="20">
        <f>U60+V60+W60+X60</f>
        <v>86</v>
      </c>
      <c r="U60" s="21">
        <v>86</v>
      </c>
      <c r="V60" s="21">
        <v>0</v>
      </c>
      <c r="W60" s="21">
        <v>0</v>
      </c>
      <c r="X60" s="21">
        <v>0</v>
      </c>
      <c r="Y60" s="20">
        <f>Z60+AA60+AB60+AC60</f>
        <v>86</v>
      </c>
      <c r="Z60" s="21">
        <v>86</v>
      </c>
      <c r="AA60" s="21">
        <v>0</v>
      </c>
      <c r="AB60" s="21">
        <v>0</v>
      </c>
      <c r="AC60" s="21">
        <v>0</v>
      </c>
      <c r="AD60" s="20">
        <f>E60+J60+O60+T60+Y60</f>
        <v>399</v>
      </c>
    </row>
    <row r="61" spans="1:30" ht="16.5">
      <c r="A61" s="533" t="s">
        <v>53</v>
      </c>
      <c r="B61" s="533"/>
      <c r="C61" s="533"/>
      <c r="D61" s="119"/>
      <c r="E61" s="40">
        <f t="shared" ref="E61:AD61" si="16">SUM(E59:E60)</f>
        <v>1504</v>
      </c>
      <c r="F61" s="39">
        <f t="shared" si="16"/>
        <v>1504</v>
      </c>
      <c r="G61" s="39">
        <f t="shared" si="16"/>
        <v>0</v>
      </c>
      <c r="H61" s="39">
        <f t="shared" si="16"/>
        <v>0</v>
      </c>
      <c r="I61" s="39">
        <f t="shared" si="16"/>
        <v>0</v>
      </c>
      <c r="J61" s="40">
        <f t="shared" si="16"/>
        <v>1742</v>
      </c>
      <c r="K61" s="39">
        <f t="shared" si="16"/>
        <v>1742</v>
      </c>
      <c r="L61" s="39">
        <f t="shared" si="16"/>
        <v>0</v>
      </c>
      <c r="M61" s="39">
        <f t="shared" si="16"/>
        <v>0</v>
      </c>
      <c r="N61" s="39">
        <f t="shared" si="16"/>
        <v>0</v>
      </c>
      <c r="O61" s="40">
        <f t="shared" si="16"/>
        <v>1742</v>
      </c>
      <c r="P61" s="39">
        <f t="shared" si="16"/>
        <v>1742</v>
      </c>
      <c r="Q61" s="39">
        <f t="shared" si="16"/>
        <v>0</v>
      </c>
      <c r="R61" s="39">
        <f t="shared" si="16"/>
        <v>0</v>
      </c>
      <c r="S61" s="39">
        <f t="shared" si="16"/>
        <v>0</v>
      </c>
      <c r="T61" s="40">
        <f t="shared" si="16"/>
        <v>1742</v>
      </c>
      <c r="U61" s="39">
        <f t="shared" si="16"/>
        <v>1742</v>
      </c>
      <c r="V61" s="39">
        <f t="shared" si="16"/>
        <v>0</v>
      </c>
      <c r="W61" s="39">
        <f t="shared" si="16"/>
        <v>0</v>
      </c>
      <c r="X61" s="39">
        <f t="shared" si="16"/>
        <v>0</v>
      </c>
      <c r="Y61" s="40">
        <f t="shared" si="16"/>
        <v>1742</v>
      </c>
      <c r="Z61" s="39">
        <f t="shared" si="16"/>
        <v>1742</v>
      </c>
      <c r="AA61" s="39">
        <f t="shared" si="16"/>
        <v>0</v>
      </c>
      <c r="AB61" s="39">
        <f t="shared" si="16"/>
        <v>0</v>
      </c>
      <c r="AC61" s="39">
        <f t="shared" si="16"/>
        <v>0</v>
      </c>
      <c r="AD61" s="40">
        <f t="shared" si="16"/>
        <v>8472</v>
      </c>
    </row>
    <row r="62" spans="1:30" ht="16.5">
      <c r="A62" s="119" t="s">
        <v>73</v>
      </c>
      <c r="B62" s="119"/>
      <c r="C62" s="42"/>
      <c r="D62" s="42"/>
      <c r="E62" s="43">
        <f>E60</f>
        <v>55</v>
      </c>
      <c r="F62" s="44">
        <f>F60</f>
        <v>55</v>
      </c>
      <c r="G62" s="44">
        <v>0</v>
      </c>
      <c r="H62" s="44">
        <v>0</v>
      </c>
      <c r="I62" s="44">
        <v>0</v>
      </c>
      <c r="J62" s="43">
        <f>J60</f>
        <v>86</v>
      </c>
      <c r="K62" s="44">
        <f>K60</f>
        <v>86</v>
      </c>
      <c r="L62" s="44">
        <v>0</v>
      </c>
      <c r="M62" s="44">
        <v>0</v>
      </c>
      <c r="N62" s="44">
        <v>0</v>
      </c>
      <c r="O62" s="43">
        <f>O60</f>
        <v>86</v>
      </c>
      <c r="P62" s="44">
        <f>P60</f>
        <v>86</v>
      </c>
      <c r="Q62" s="44">
        <v>0</v>
      </c>
      <c r="R62" s="44">
        <v>0</v>
      </c>
      <c r="S62" s="44">
        <v>0</v>
      </c>
      <c r="T62" s="43">
        <f>T60</f>
        <v>86</v>
      </c>
      <c r="U62" s="44">
        <f>U60</f>
        <v>86</v>
      </c>
      <c r="V62" s="44">
        <v>0</v>
      </c>
      <c r="W62" s="44">
        <v>0</v>
      </c>
      <c r="X62" s="44">
        <v>0</v>
      </c>
      <c r="Y62" s="43">
        <f>Y60</f>
        <v>86</v>
      </c>
      <c r="Z62" s="44">
        <f>Z60</f>
        <v>86</v>
      </c>
      <c r="AA62" s="44">
        <v>0</v>
      </c>
      <c r="AB62" s="44">
        <v>0</v>
      </c>
      <c r="AC62" s="44">
        <v>0</v>
      </c>
      <c r="AD62" s="45">
        <f>AD60</f>
        <v>399</v>
      </c>
    </row>
    <row r="63" spans="1:30" ht="16.5">
      <c r="A63" s="119" t="s">
        <v>135</v>
      </c>
      <c r="B63" s="119"/>
      <c r="C63" s="42"/>
      <c r="D63" s="42"/>
      <c r="E63" s="43">
        <f>E59</f>
        <v>1449</v>
      </c>
      <c r="F63" s="44">
        <f>F59</f>
        <v>1449</v>
      </c>
      <c r="G63" s="44">
        <v>0</v>
      </c>
      <c r="H63" s="44">
        <v>0</v>
      </c>
      <c r="I63" s="44">
        <v>0</v>
      </c>
      <c r="J63" s="43">
        <f>J59</f>
        <v>1656</v>
      </c>
      <c r="K63" s="44">
        <f>K59</f>
        <v>1656</v>
      </c>
      <c r="L63" s="44">
        <v>0</v>
      </c>
      <c r="M63" s="44">
        <v>0</v>
      </c>
      <c r="N63" s="44">
        <v>0</v>
      </c>
      <c r="O63" s="43">
        <f>O59</f>
        <v>1656</v>
      </c>
      <c r="P63" s="44">
        <f>P59</f>
        <v>1656</v>
      </c>
      <c r="Q63" s="44">
        <v>0</v>
      </c>
      <c r="R63" s="44">
        <v>0</v>
      </c>
      <c r="S63" s="44">
        <v>0</v>
      </c>
      <c r="T63" s="43">
        <f>T59</f>
        <v>1656</v>
      </c>
      <c r="U63" s="44">
        <f>U59</f>
        <v>1656</v>
      </c>
      <c r="V63" s="44">
        <v>0</v>
      </c>
      <c r="W63" s="44">
        <v>0</v>
      </c>
      <c r="X63" s="44">
        <v>0</v>
      </c>
      <c r="Y63" s="43">
        <f>Y59</f>
        <v>1656</v>
      </c>
      <c r="Z63" s="44">
        <f>Z59</f>
        <v>1656</v>
      </c>
      <c r="AA63" s="44">
        <v>0</v>
      </c>
      <c r="AB63" s="44">
        <v>0</v>
      </c>
      <c r="AC63" s="44">
        <v>0</v>
      </c>
      <c r="AD63" s="45">
        <f>AD59</f>
        <v>8073</v>
      </c>
    </row>
    <row r="64" spans="1:30" ht="18.75" customHeight="1">
      <c r="A64" s="25" t="s">
        <v>54</v>
      </c>
      <c r="B64" s="529" t="s">
        <v>148</v>
      </c>
      <c r="C64" s="530"/>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1"/>
    </row>
    <row r="65" spans="1:35" ht="105" customHeight="1">
      <c r="A65" s="12" t="s">
        <v>55</v>
      </c>
      <c r="B65" s="6" t="s">
        <v>108</v>
      </c>
      <c r="C65" s="124" t="s">
        <v>94</v>
      </c>
      <c r="D65" s="124" t="s">
        <v>93</v>
      </c>
      <c r="E65" s="29">
        <f>F65+G65+H65+I65</f>
        <v>766</v>
      </c>
      <c r="F65" s="30">
        <f>409+357</f>
        <v>766</v>
      </c>
      <c r="G65" s="30">
        <v>0</v>
      </c>
      <c r="H65" s="30">
        <v>0</v>
      </c>
      <c r="I65" s="30">
        <v>0</v>
      </c>
      <c r="J65" s="13">
        <v>409</v>
      </c>
      <c r="K65" s="14">
        <v>409</v>
      </c>
      <c r="L65" s="14">
        <v>0</v>
      </c>
      <c r="M65" s="14">
        <v>0</v>
      </c>
      <c r="N65" s="14">
        <v>0</v>
      </c>
      <c r="O65" s="13">
        <v>409</v>
      </c>
      <c r="P65" s="14">
        <v>409</v>
      </c>
      <c r="Q65" s="14">
        <v>0</v>
      </c>
      <c r="R65" s="14">
        <v>0</v>
      </c>
      <c r="S65" s="14">
        <v>0</v>
      </c>
      <c r="T65" s="14">
        <v>510</v>
      </c>
      <c r="U65" s="14">
        <v>510</v>
      </c>
      <c r="V65" s="14">
        <v>0</v>
      </c>
      <c r="W65" s="14">
        <v>0</v>
      </c>
      <c r="X65" s="14">
        <v>0</v>
      </c>
      <c r="Y65" s="14">
        <v>510</v>
      </c>
      <c r="Z65" s="14">
        <v>510</v>
      </c>
      <c r="AA65" s="21">
        <v>0</v>
      </c>
      <c r="AB65" s="21">
        <v>0</v>
      </c>
      <c r="AC65" s="21">
        <v>0</v>
      </c>
      <c r="AD65" s="20">
        <f>E65+J65+O65+T65+Y65</f>
        <v>2604</v>
      </c>
      <c r="AF65" s="46" t="s">
        <v>131</v>
      </c>
      <c r="AG65" s="46"/>
      <c r="AH65" s="46"/>
      <c r="AI65" s="46"/>
    </row>
    <row r="66" spans="1:35" ht="16.5">
      <c r="A66" s="519" t="s">
        <v>56</v>
      </c>
      <c r="B66" s="519"/>
      <c r="C66" s="519"/>
      <c r="D66" s="116"/>
      <c r="E66" s="31">
        <f t="shared" ref="E66:AD66" si="17">SUM(E65:E65)</f>
        <v>766</v>
      </c>
      <c r="F66" s="15">
        <f t="shared" si="17"/>
        <v>766</v>
      </c>
      <c r="G66" s="15">
        <f t="shared" si="17"/>
        <v>0</v>
      </c>
      <c r="H66" s="15">
        <f t="shared" si="17"/>
        <v>0</v>
      </c>
      <c r="I66" s="15">
        <f t="shared" si="17"/>
        <v>0</v>
      </c>
      <c r="J66" s="31">
        <f t="shared" si="17"/>
        <v>409</v>
      </c>
      <c r="K66" s="15">
        <f t="shared" si="17"/>
        <v>409</v>
      </c>
      <c r="L66" s="15">
        <f t="shared" si="17"/>
        <v>0</v>
      </c>
      <c r="M66" s="15">
        <f t="shared" si="17"/>
        <v>0</v>
      </c>
      <c r="N66" s="15">
        <f t="shared" si="17"/>
        <v>0</v>
      </c>
      <c r="O66" s="31">
        <f t="shared" si="17"/>
        <v>409</v>
      </c>
      <c r="P66" s="15">
        <f t="shared" si="17"/>
        <v>409</v>
      </c>
      <c r="Q66" s="15">
        <f t="shared" si="17"/>
        <v>0</v>
      </c>
      <c r="R66" s="15">
        <f t="shared" si="17"/>
        <v>0</v>
      </c>
      <c r="S66" s="15">
        <f t="shared" si="17"/>
        <v>0</v>
      </c>
      <c r="T66" s="31">
        <f t="shared" si="17"/>
        <v>510</v>
      </c>
      <c r="U66" s="15">
        <f t="shared" si="17"/>
        <v>510</v>
      </c>
      <c r="V66" s="15">
        <f t="shared" si="17"/>
        <v>0</v>
      </c>
      <c r="W66" s="15">
        <f t="shared" si="17"/>
        <v>0</v>
      </c>
      <c r="X66" s="15">
        <f t="shared" si="17"/>
        <v>0</v>
      </c>
      <c r="Y66" s="31">
        <f t="shared" si="17"/>
        <v>510</v>
      </c>
      <c r="Z66" s="15">
        <f t="shared" si="17"/>
        <v>510</v>
      </c>
      <c r="AA66" s="15">
        <f t="shared" si="17"/>
        <v>0</v>
      </c>
      <c r="AB66" s="15">
        <f t="shared" si="17"/>
        <v>0</v>
      </c>
      <c r="AC66" s="15">
        <f t="shared" si="17"/>
        <v>0</v>
      </c>
      <c r="AD66" s="31">
        <f t="shared" si="17"/>
        <v>2604</v>
      </c>
    </row>
    <row r="67" spans="1:35" ht="27.75" customHeight="1">
      <c r="A67" s="116" t="s">
        <v>97</v>
      </c>
      <c r="B67" s="532" t="s">
        <v>149</v>
      </c>
      <c r="C67" s="530"/>
      <c r="D67" s="530"/>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1"/>
    </row>
    <row r="68" spans="1:35" ht="192" customHeight="1">
      <c r="A68" s="116" t="s">
        <v>57</v>
      </c>
      <c r="B68" s="7" t="s">
        <v>115</v>
      </c>
      <c r="C68" s="124" t="s">
        <v>106</v>
      </c>
      <c r="D68" s="124" t="s">
        <v>93</v>
      </c>
      <c r="E68" s="13">
        <f>F68+G68+H68+I68</f>
        <v>27786</v>
      </c>
      <c r="F68" s="14">
        <v>27786</v>
      </c>
      <c r="G68" s="14">
        <v>0</v>
      </c>
      <c r="H68" s="14">
        <v>0</v>
      </c>
      <c r="I68" s="14">
        <v>0</v>
      </c>
      <c r="J68" s="13">
        <v>27786</v>
      </c>
      <c r="K68" s="14">
        <v>27786</v>
      </c>
      <c r="L68" s="14">
        <v>0</v>
      </c>
      <c r="M68" s="14">
        <v>0</v>
      </c>
      <c r="N68" s="14">
        <v>0</v>
      </c>
      <c r="O68" s="13">
        <v>27786</v>
      </c>
      <c r="P68" s="14">
        <v>27786</v>
      </c>
      <c r="Q68" s="14">
        <v>0</v>
      </c>
      <c r="R68" s="14">
        <v>0</v>
      </c>
      <c r="S68" s="14">
        <v>0</v>
      </c>
      <c r="T68" s="14">
        <v>40120</v>
      </c>
      <c r="U68" s="14">
        <v>40120</v>
      </c>
      <c r="V68" s="14">
        <v>0</v>
      </c>
      <c r="W68" s="14">
        <v>0</v>
      </c>
      <c r="X68" s="14">
        <v>0</v>
      </c>
      <c r="Y68" s="14">
        <v>40120</v>
      </c>
      <c r="Z68" s="14">
        <v>40120</v>
      </c>
      <c r="AA68" s="14">
        <v>0</v>
      </c>
      <c r="AB68" s="14">
        <v>0</v>
      </c>
      <c r="AC68" s="14">
        <v>0</v>
      </c>
      <c r="AD68" s="13">
        <f>E68+J68+O68+T68+Y68</f>
        <v>163598</v>
      </c>
    </row>
    <row r="69" spans="1:35" ht="16.5">
      <c r="A69" s="526" t="s">
        <v>58</v>
      </c>
      <c r="B69" s="527"/>
      <c r="C69" s="528"/>
      <c r="D69" s="116"/>
      <c r="E69" s="31">
        <f t="shared" ref="E69:AD69" si="18">SUM(E68:E68)</f>
        <v>27786</v>
      </c>
      <c r="F69" s="15">
        <f t="shared" si="18"/>
        <v>27786</v>
      </c>
      <c r="G69" s="15">
        <f t="shared" si="18"/>
        <v>0</v>
      </c>
      <c r="H69" s="15">
        <f t="shared" si="18"/>
        <v>0</v>
      </c>
      <c r="I69" s="15">
        <f t="shared" si="18"/>
        <v>0</v>
      </c>
      <c r="J69" s="31">
        <f t="shared" si="18"/>
        <v>27786</v>
      </c>
      <c r="K69" s="15">
        <f t="shared" si="18"/>
        <v>27786</v>
      </c>
      <c r="L69" s="15">
        <f t="shared" si="18"/>
        <v>0</v>
      </c>
      <c r="M69" s="15">
        <f t="shared" si="18"/>
        <v>0</v>
      </c>
      <c r="N69" s="15">
        <f t="shared" si="18"/>
        <v>0</v>
      </c>
      <c r="O69" s="31">
        <f t="shared" si="18"/>
        <v>27786</v>
      </c>
      <c r="P69" s="15">
        <f t="shared" si="18"/>
        <v>27786</v>
      </c>
      <c r="Q69" s="15">
        <f t="shared" si="18"/>
        <v>0</v>
      </c>
      <c r="R69" s="15">
        <f t="shared" si="18"/>
        <v>0</v>
      </c>
      <c r="S69" s="15">
        <f t="shared" si="18"/>
        <v>0</v>
      </c>
      <c r="T69" s="31">
        <f t="shared" si="18"/>
        <v>40120</v>
      </c>
      <c r="U69" s="15">
        <f t="shared" si="18"/>
        <v>40120</v>
      </c>
      <c r="V69" s="15">
        <f t="shared" si="18"/>
        <v>0</v>
      </c>
      <c r="W69" s="15">
        <f t="shared" si="18"/>
        <v>0</v>
      </c>
      <c r="X69" s="15">
        <f t="shared" si="18"/>
        <v>0</v>
      </c>
      <c r="Y69" s="31">
        <f t="shared" si="18"/>
        <v>40120</v>
      </c>
      <c r="Z69" s="15">
        <f t="shared" si="18"/>
        <v>40120</v>
      </c>
      <c r="AA69" s="15">
        <f t="shared" si="18"/>
        <v>0</v>
      </c>
      <c r="AB69" s="15">
        <f t="shared" si="18"/>
        <v>0</v>
      </c>
      <c r="AC69" s="15">
        <f t="shared" si="18"/>
        <v>0</v>
      </c>
      <c r="AD69" s="31">
        <f t="shared" si="18"/>
        <v>163598</v>
      </c>
    </row>
    <row r="70" spans="1:35" ht="39" customHeight="1">
      <c r="A70" s="116" t="s">
        <v>80</v>
      </c>
      <c r="B70" s="532" t="s">
        <v>187</v>
      </c>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1"/>
    </row>
    <row r="71" spans="1:35" ht="98.25" customHeight="1">
      <c r="A71" s="116" t="s">
        <v>59</v>
      </c>
      <c r="B71" s="103" t="s">
        <v>96</v>
      </c>
      <c r="C71" s="124" t="s">
        <v>94</v>
      </c>
      <c r="D71" s="124" t="s">
        <v>93</v>
      </c>
      <c r="E71" s="29">
        <f>F71+G71+H71+I71</f>
        <v>6486</v>
      </c>
      <c r="F71" s="29">
        <f>6486</f>
        <v>6486</v>
      </c>
      <c r="G71" s="30">
        <v>0</v>
      </c>
      <c r="H71" s="21">
        <v>0</v>
      </c>
      <c r="I71" s="21">
        <v>0</v>
      </c>
      <c r="J71" s="13">
        <f>K71+L71+M71+N71</f>
        <v>6486</v>
      </c>
      <c r="K71" s="13">
        <v>6486</v>
      </c>
      <c r="L71" s="14">
        <v>0</v>
      </c>
      <c r="M71" s="14">
        <v>0</v>
      </c>
      <c r="N71" s="14">
        <v>0</v>
      </c>
      <c r="O71" s="13">
        <f>P71+Q71+R71+S71</f>
        <v>6486</v>
      </c>
      <c r="P71" s="13">
        <v>6486</v>
      </c>
      <c r="Q71" s="14">
        <v>0</v>
      </c>
      <c r="R71" s="14">
        <v>0</v>
      </c>
      <c r="S71" s="14">
        <v>0</v>
      </c>
      <c r="T71" s="13">
        <f>U71+V71+W71+X71</f>
        <v>6486</v>
      </c>
      <c r="U71" s="13">
        <v>6486</v>
      </c>
      <c r="V71" s="14">
        <v>0</v>
      </c>
      <c r="W71" s="14">
        <v>0</v>
      </c>
      <c r="X71" s="14">
        <v>0</v>
      </c>
      <c r="Y71" s="13">
        <f>Z71+AA71+AB71+AC71</f>
        <v>6486</v>
      </c>
      <c r="Z71" s="13">
        <v>6486</v>
      </c>
      <c r="AA71" s="14">
        <v>0</v>
      </c>
      <c r="AB71" s="14">
        <v>0</v>
      </c>
      <c r="AC71" s="14">
        <v>0</v>
      </c>
      <c r="AD71" s="13">
        <f>E71+J71+O71+T71+Y71</f>
        <v>32430</v>
      </c>
    </row>
    <row r="72" spans="1:35" ht="81" customHeight="1">
      <c r="A72" s="116" t="s">
        <v>98</v>
      </c>
      <c r="B72" s="47" t="s">
        <v>85</v>
      </c>
      <c r="C72" s="124" t="s">
        <v>73</v>
      </c>
      <c r="D72" s="124" t="s">
        <v>93</v>
      </c>
      <c r="E72" s="29">
        <f>F72+G72+H72+I72</f>
        <v>74.599999999999994</v>
      </c>
      <c r="F72" s="30">
        <f>77-2.4</f>
        <v>74.599999999999994</v>
      </c>
      <c r="G72" s="30">
        <v>0</v>
      </c>
      <c r="H72" s="30">
        <v>0</v>
      </c>
      <c r="I72" s="30">
        <v>0</v>
      </c>
      <c r="J72" s="14">
        <v>77</v>
      </c>
      <c r="K72" s="14">
        <v>77</v>
      </c>
      <c r="L72" s="14">
        <v>0</v>
      </c>
      <c r="M72" s="14">
        <v>0</v>
      </c>
      <c r="N72" s="14">
        <v>0</v>
      </c>
      <c r="O72" s="14">
        <v>77</v>
      </c>
      <c r="P72" s="14">
        <v>77</v>
      </c>
      <c r="Q72" s="14">
        <v>0</v>
      </c>
      <c r="R72" s="14">
        <v>0</v>
      </c>
      <c r="S72" s="14">
        <v>0</v>
      </c>
      <c r="T72" s="14">
        <v>77</v>
      </c>
      <c r="U72" s="14">
        <v>77</v>
      </c>
      <c r="V72" s="14">
        <v>0</v>
      </c>
      <c r="W72" s="14">
        <v>0</v>
      </c>
      <c r="X72" s="14">
        <v>0</v>
      </c>
      <c r="Y72" s="14">
        <v>77</v>
      </c>
      <c r="Z72" s="14">
        <v>77</v>
      </c>
      <c r="AA72" s="14">
        <v>0</v>
      </c>
      <c r="AB72" s="14">
        <v>0</v>
      </c>
      <c r="AC72" s="14">
        <v>0</v>
      </c>
      <c r="AD72" s="13">
        <f>E72+J72+O72+T72+Y72</f>
        <v>382.6</v>
      </c>
    </row>
    <row r="73" spans="1:35" ht="16.5">
      <c r="A73" s="526" t="s">
        <v>60</v>
      </c>
      <c r="B73" s="527"/>
      <c r="C73" s="528"/>
      <c r="D73" s="116"/>
      <c r="E73" s="108">
        <f>SUM(E71:E72)</f>
        <v>6560.6</v>
      </c>
      <c r="F73" s="85">
        <f>SUM(F71:F72)</f>
        <v>6560.6</v>
      </c>
      <c r="G73" s="85">
        <f t="shared" ref="G73:AD73" si="19">SUM(G71:G72)</f>
        <v>0</v>
      </c>
      <c r="H73" s="85">
        <f t="shared" si="19"/>
        <v>0</v>
      </c>
      <c r="I73" s="85">
        <f t="shared" si="19"/>
        <v>0</v>
      </c>
      <c r="J73" s="31">
        <f t="shared" si="19"/>
        <v>6563</v>
      </c>
      <c r="K73" s="15">
        <f t="shared" si="19"/>
        <v>6563</v>
      </c>
      <c r="L73" s="15">
        <f t="shared" si="19"/>
        <v>0</v>
      </c>
      <c r="M73" s="15">
        <f t="shared" si="19"/>
        <v>0</v>
      </c>
      <c r="N73" s="15">
        <f t="shared" si="19"/>
        <v>0</v>
      </c>
      <c r="O73" s="31">
        <f t="shared" si="19"/>
        <v>6563</v>
      </c>
      <c r="P73" s="15">
        <f t="shared" si="19"/>
        <v>6563</v>
      </c>
      <c r="Q73" s="15">
        <f t="shared" si="19"/>
        <v>0</v>
      </c>
      <c r="R73" s="15">
        <f t="shared" si="19"/>
        <v>0</v>
      </c>
      <c r="S73" s="15">
        <f t="shared" si="19"/>
        <v>0</v>
      </c>
      <c r="T73" s="31">
        <f t="shared" si="19"/>
        <v>6563</v>
      </c>
      <c r="U73" s="15">
        <f t="shared" si="19"/>
        <v>6563</v>
      </c>
      <c r="V73" s="15">
        <f t="shared" si="19"/>
        <v>0</v>
      </c>
      <c r="W73" s="15">
        <f t="shared" si="19"/>
        <v>0</v>
      </c>
      <c r="X73" s="15">
        <f t="shared" si="19"/>
        <v>0</v>
      </c>
      <c r="Y73" s="31">
        <f t="shared" si="19"/>
        <v>6563</v>
      </c>
      <c r="Z73" s="15">
        <f t="shared" si="19"/>
        <v>6563</v>
      </c>
      <c r="AA73" s="15">
        <f t="shared" si="19"/>
        <v>0</v>
      </c>
      <c r="AB73" s="15">
        <f t="shared" si="19"/>
        <v>0</v>
      </c>
      <c r="AC73" s="15">
        <f t="shared" si="19"/>
        <v>0</v>
      </c>
      <c r="AD73" s="31">
        <f t="shared" si="19"/>
        <v>32812.6</v>
      </c>
    </row>
    <row r="74" spans="1:35" ht="16.5">
      <c r="A74" s="116" t="s">
        <v>73</v>
      </c>
      <c r="B74" s="116"/>
      <c r="C74" s="122"/>
      <c r="D74" s="122"/>
      <c r="E74" s="35">
        <f>E72</f>
        <v>74.599999999999994</v>
      </c>
      <c r="F74" s="36">
        <f>E72</f>
        <v>74.599999999999994</v>
      </c>
      <c r="G74" s="36">
        <v>0</v>
      </c>
      <c r="H74" s="36">
        <v>0</v>
      </c>
      <c r="I74" s="36">
        <v>0</v>
      </c>
      <c r="J74" s="35">
        <f>J72</f>
        <v>77</v>
      </c>
      <c r="K74" s="36">
        <f>K72</f>
        <v>77</v>
      </c>
      <c r="L74" s="36">
        <v>0</v>
      </c>
      <c r="M74" s="36">
        <v>0</v>
      </c>
      <c r="N74" s="36">
        <v>0</v>
      </c>
      <c r="O74" s="35">
        <f>O72</f>
        <v>77</v>
      </c>
      <c r="P74" s="36">
        <f>P72</f>
        <v>77</v>
      </c>
      <c r="Q74" s="36">
        <v>0</v>
      </c>
      <c r="R74" s="36">
        <v>0</v>
      </c>
      <c r="S74" s="36">
        <v>0</v>
      </c>
      <c r="T74" s="35">
        <f>T72</f>
        <v>77</v>
      </c>
      <c r="U74" s="36">
        <f>U72</f>
        <v>77</v>
      </c>
      <c r="V74" s="36">
        <v>0</v>
      </c>
      <c r="W74" s="36">
        <v>0</v>
      </c>
      <c r="X74" s="36">
        <v>0</v>
      </c>
      <c r="Y74" s="35">
        <f>Y72</f>
        <v>77</v>
      </c>
      <c r="Z74" s="36">
        <f>Z72</f>
        <v>77</v>
      </c>
      <c r="AA74" s="36">
        <v>0</v>
      </c>
      <c r="AB74" s="36">
        <v>0</v>
      </c>
      <c r="AC74" s="36">
        <v>0</v>
      </c>
      <c r="AD74" s="37">
        <f>AD72</f>
        <v>382.6</v>
      </c>
    </row>
    <row r="75" spans="1:35" ht="16.5">
      <c r="A75" s="116" t="s">
        <v>135</v>
      </c>
      <c r="B75" s="116"/>
      <c r="C75" s="122"/>
      <c r="D75" s="122"/>
      <c r="E75" s="35">
        <f>E71</f>
        <v>6486</v>
      </c>
      <c r="F75" s="36">
        <f>F71</f>
        <v>6486</v>
      </c>
      <c r="G75" s="36">
        <v>0</v>
      </c>
      <c r="H75" s="36">
        <v>0</v>
      </c>
      <c r="I75" s="36">
        <v>0</v>
      </c>
      <c r="J75" s="35">
        <f>J71</f>
        <v>6486</v>
      </c>
      <c r="K75" s="36">
        <f>K71</f>
        <v>6486</v>
      </c>
      <c r="L75" s="36">
        <v>0</v>
      </c>
      <c r="M75" s="36">
        <v>0</v>
      </c>
      <c r="N75" s="36">
        <v>0</v>
      </c>
      <c r="O75" s="35">
        <f>O71</f>
        <v>6486</v>
      </c>
      <c r="P75" s="36">
        <f>P71</f>
        <v>6486</v>
      </c>
      <c r="Q75" s="36">
        <v>0</v>
      </c>
      <c r="R75" s="36">
        <v>0</v>
      </c>
      <c r="S75" s="36">
        <v>0</v>
      </c>
      <c r="T75" s="35">
        <f>T71</f>
        <v>6486</v>
      </c>
      <c r="U75" s="36">
        <f>U71</f>
        <v>6486</v>
      </c>
      <c r="V75" s="36">
        <v>0</v>
      </c>
      <c r="W75" s="36">
        <v>0</v>
      </c>
      <c r="X75" s="36">
        <v>0</v>
      </c>
      <c r="Y75" s="35">
        <f>Y71</f>
        <v>6486</v>
      </c>
      <c r="Z75" s="36">
        <f>Z71</f>
        <v>6486</v>
      </c>
      <c r="AA75" s="36">
        <v>0</v>
      </c>
      <c r="AB75" s="36">
        <v>0</v>
      </c>
      <c r="AC75" s="36">
        <v>0</v>
      </c>
      <c r="AD75" s="37">
        <f>AD71</f>
        <v>32430</v>
      </c>
    </row>
    <row r="76" spans="1:35" ht="57.75" customHeight="1">
      <c r="A76" s="48" t="s">
        <v>61</v>
      </c>
      <c r="B76" s="555" t="s">
        <v>203</v>
      </c>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c r="AD76" s="557"/>
    </row>
    <row r="77" spans="1:35" ht="150" customHeight="1">
      <c r="A77" s="116" t="s">
        <v>62</v>
      </c>
      <c r="B77" s="7" t="s">
        <v>121</v>
      </c>
      <c r="C77" s="124" t="s">
        <v>107</v>
      </c>
      <c r="D77" s="124" t="s">
        <v>93</v>
      </c>
      <c r="E77" s="29">
        <f>F77+G77+H77+I77</f>
        <v>6060</v>
      </c>
      <c r="F77" s="30">
        <f>6183-123</f>
        <v>6060</v>
      </c>
      <c r="G77" s="30">
        <v>0</v>
      </c>
      <c r="H77" s="30">
        <v>0</v>
      </c>
      <c r="I77" s="30">
        <v>0</v>
      </c>
      <c r="J77" s="13">
        <v>6213</v>
      </c>
      <c r="K77" s="14">
        <v>6213</v>
      </c>
      <c r="L77" s="14">
        <v>0</v>
      </c>
      <c r="M77" s="14">
        <v>0</v>
      </c>
      <c r="N77" s="14">
        <v>0</v>
      </c>
      <c r="O77" s="13">
        <v>6213</v>
      </c>
      <c r="P77" s="14">
        <v>6213</v>
      </c>
      <c r="Q77" s="14">
        <v>0</v>
      </c>
      <c r="R77" s="14">
        <v>0</v>
      </c>
      <c r="S77" s="14">
        <v>0</v>
      </c>
      <c r="T77" s="13">
        <v>6150</v>
      </c>
      <c r="U77" s="14">
        <v>6150</v>
      </c>
      <c r="V77" s="14">
        <v>0</v>
      </c>
      <c r="W77" s="14">
        <v>0</v>
      </c>
      <c r="X77" s="14">
        <v>0</v>
      </c>
      <c r="Y77" s="13">
        <v>6150</v>
      </c>
      <c r="Z77" s="14">
        <v>6150</v>
      </c>
      <c r="AA77" s="14">
        <v>0</v>
      </c>
      <c r="AB77" s="14">
        <v>0</v>
      </c>
      <c r="AC77" s="14">
        <v>0</v>
      </c>
      <c r="AD77" s="13">
        <v>30909</v>
      </c>
    </row>
    <row r="78" spans="1:35" ht="39.75" customHeight="1">
      <c r="A78" s="116" t="s">
        <v>63</v>
      </c>
      <c r="B78" s="7" t="s">
        <v>124</v>
      </c>
      <c r="C78" s="125" t="s">
        <v>107</v>
      </c>
      <c r="D78" s="124" t="s">
        <v>93</v>
      </c>
      <c r="E78" s="20">
        <f>F78+G78+H78+I78</f>
        <v>785</v>
      </c>
      <c r="F78" s="21">
        <v>785</v>
      </c>
      <c r="G78" s="21">
        <v>0</v>
      </c>
      <c r="H78" s="21">
        <v>0</v>
      </c>
      <c r="I78" s="21">
        <v>0</v>
      </c>
      <c r="J78" s="13">
        <v>785</v>
      </c>
      <c r="K78" s="14">
        <v>785</v>
      </c>
      <c r="L78" s="14">
        <v>0</v>
      </c>
      <c r="M78" s="14">
        <v>0</v>
      </c>
      <c r="N78" s="14">
        <v>0</v>
      </c>
      <c r="O78" s="13">
        <v>785</v>
      </c>
      <c r="P78" s="14">
        <v>785</v>
      </c>
      <c r="Q78" s="14">
        <v>0</v>
      </c>
      <c r="R78" s="14">
        <v>0</v>
      </c>
      <c r="S78" s="14">
        <v>0</v>
      </c>
      <c r="T78" s="13">
        <v>940</v>
      </c>
      <c r="U78" s="14">
        <v>940</v>
      </c>
      <c r="V78" s="14">
        <v>0</v>
      </c>
      <c r="W78" s="14">
        <v>0</v>
      </c>
      <c r="X78" s="14">
        <v>0</v>
      </c>
      <c r="Y78" s="13">
        <v>950</v>
      </c>
      <c r="Z78" s="14">
        <v>950</v>
      </c>
      <c r="AA78" s="14">
        <v>0</v>
      </c>
      <c r="AB78" s="14">
        <v>0</v>
      </c>
      <c r="AC78" s="14">
        <v>0</v>
      </c>
      <c r="AD78" s="13">
        <v>4245</v>
      </c>
    </row>
    <row r="79" spans="1:35" ht="63" customHeight="1">
      <c r="A79" s="116" t="s">
        <v>99</v>
      </c>
      <c r="B79" s="7" t="s">
        <v>126</v>
      </c>
      <c r="C79" s="125"/>
      <c r="D79" s="124" t="s">
        <v>93</v>
      </c>
      <c r="E79" s="20">
        <f>F79+G79+H79+I79</f>
        <v>110</v>
      </c>
      <c r="F79" s="21">
        <v>110</v>
      </c>
      <c r="G79" s="21">
        <v>0</v>
      </c>
      <c r="H79" s="21">
        <v>0</v>
      </c>
      <c r="I79" s="21">
        <v>0</v>
      </c>
      <c r="J79" s="13">
        <v>110</v>
      </c>
      <c r="K79" s="14">
        <v>110</v>
      </c>
      <c r="L79" s="14">
        <v>0</v>
      </c>
      <c r="M79" s="14">
        <v>0</v>
      </c>
      <c r="N79" s="14">
        <v>0</v>
      </c>
      <c r="O79" s="13">
        <v>110</v>
      </c>
      <c r="P79" s="14">
        <v>110</v>
      </c>
      <c r="Q79" s="14">
        <v>0</v>
      </c>
      <c r="R79" s="14">
        <v>0</v>
      </c>
      <c r="S79" s="14">
        <v>0</v>
      </c>
      <c r="T79" s="13">
        <v>140</v>
      </c>
      <c r="U79" s="14">
        <v>140</v>
      </c>
      <c r="V79" s="14">
        <v>0</v>
      </c>
      <c r="W79" s="14">
        <v>0</v>
      </c>
      <c r="X79" s="14">
        <v>0</v>
      </c>
      <c r="Y79" s="13">
        <v>140</v>
      </c>
      <c r="Z79" s="14">
        <v>140</v>
      </c>
      <c r="AA79" s="14">
        <v>0</v>
      </c>
      <c r="AB79" s="14">
        <v>0</v>
      </c>
      <c r="AC79" s="14">
        <v>0</v>
      </c>
      <c r="AD79" s="13">
        <v>610</v>
      </c>
    </row>
    <row r="80" spans="1:35" ht="94.5" customHeight="1">
      <c r="A80" s="116" t="s">
        <v>127</v>
      </c>
      <c r="B80" s="7" t="s">
        <v>122</v>
      </c>
      <c r="C80" s="125"/>
      <c r="D80" s="124" t="s">
        <v>93</v>
      </c>
      <c r="E80" s="20">
        <f>F80+G80+H80+I80</f>
        <v>53</v>
      </c>
      <c r="F80" s="21">
        <v>53</v>
      </c>
      <c r="G80" s="21">
        <v>0</v>
      </c>
      <c r="H80" s="21">
        <v>0</v>
      </c>
      <c r="I80" s="21">
        <v>0</v>
      </c>
      <c r="J80" s="13">
        <v>53</v>
      </c>
      <c r="K80" s="14">
        <v>53</v>
      </c>
      <c r="L80" s="14">
        <v>0</v>
      </c>
      <c r="M80" s="14">
        <v>0</v>
      </c>
      <c r="N80" s="14">
        <v>0</v>
      </c>
      <c r="O80" s="13">
        <v>53</v>
      </c>
      <c r="P80" s="14">
        <v>53</v>
      </c>
      <c r="Q80" s="14">
        <v>0</v>
      </c>
      <c r="R80" s="14">
        <v>0</v>
      </c>
      <c r="S80" s="14">
        <v>0</v>
      </c>
      <c r="T80" s="13">
        <v>50</v>
      </c>
      <c r="U80" s="14">
        <v>50</v>
      </c>
      <c r="V80" s="14">
        <v>0</v>
      </c>
      <c r="W80" s="14">
        <v>0</v>
      </c>
      <c r="X80" s="14">
        <v>0</v>
      </c>
      <c r="Y80" s="13">
        <v>50</v>
      </c>
      <c r="Z80" s="14">
        <v>50</v>
      </c>
      <c r="AA80" s="14">
        <v>0</v>
      </c>
      <c r="AB80" s="14">
        <v>0</v>
      </c>
      <c r="AC80" s="14">
        <v>0</v>
      </c>
      <c r="AD80" s="13">
        <v>259</v>
      </c>
    </row>
    <row r="81" spans="1:31" ht="78.75">
      <c r="A81" s="116" t="s">
        <v>128</v>
      </c>
      <c r="B81" s="7" t="s">
        <v>123</v>
      </c>
      <c r="C81" s="125"/>
      <c r="D81" s="124" t="s">
        <v>93</v>
      </c>
      <c r="E81" s="20">
        <f>F81+G81+H81+I81</f>
        <v>112</v>
      </c>
      <c r="F81" s="21">
        <f>112</f>
        <v>112</v>
      </c>
      <c r="G81" s="21">
        <v>0</v>
      </c>
      <c r="H81" s="21">
        <v>0</v>
      </c>
      <c r="I81" s="21">
        <v>0</v>
      </c>
      <c r="J81" s="13">
        <v>112</v>
      </c>
      <c r="K81" s="14">
        <v>112</v>
      </c>
      <c r="L81" s="14">
        <v>0</v>
      </c>
      <c r="M81" s="14">
        <v>0</v>
      </c>
      <c r="N81" s="14">
        <v>0</v>
      </c>
      <c r="O81" s="13">
        <v>112</v>
      </c>
      <c r="P81" s="14">
        <v>112</v>
      </c>
      <c r="Q81" s="14">
        <v>0</v>
      </c>
      <c r="R81" s="14">
        <v>0</v>
      </c>
      <c r="S81" s="14">
        <v>0</v>
      </c>
      <c r="T81" s="13">
        <v>60</v>
      </c>
      <c r="U81" s="14">
        <v>60</v>
      </c>
      <c r="V81" s="14">
        <v>0</v>
      </c>
      <c r="W81" s="14">
        <v>0</v>
      </c>
      <c r="X81" s="14">
        <v>0</v>
      </c>
      <c r="Y81" s="13">
        <v>60</v>
      </c>
      <c r="Z81" s="14">
        <v>60</v>
      </c>
      <c r="AA81" s="14">
        <v>0</v>
      </c>
      <c r="AB81" s="14">
        <v>0</v>
      </c>
      <c r="AC81" s="14">
        <v>0</v>
      </c>
      <c r="AD81" s="13">
        <v>456</v>
      </c>
    </row>
    <row r="82" spans="1:31" ht="78.75">
      <c r="A82" s="116" t="s">
        <v>129</v>
      </c>
      <c r="B82" s="7" t="s">
        <v>125</v>
      </c>
      <c r="C82" s="95"/>
      <c r="D82" s="124" t="s">
        <v>93</v>
      </c>
      <c r="E82" s="20">
        <v>120</v>
      </c>
      <c r="F82" s="21">
        <v>120</v>
      </c>
      <c r="G82" s="21">
        <v>0</v>
      </c>
      <c r="H82" s="14">
        <v>0</v>
      </c>
      <c r="I82" s="14">
        <v>0</v>
      </c>
      <c r="J82" s="13">
        <v>90</v>
      </c>
      <c r="K82" s="14">
        <v>90</v>
      </c>
      <c r="L82" s="14">
        <v>0</v>
      </c>
      <c r="M82" s="14">
        <v>0</v>
      </c>
      <c r="N82" s="14">
        <v>0</v>
      </c>
      <c r="O82" s="13">
        <v>90</v>
      </c>
      <c r="P82" s="14">
        <v>90</v>
      </c>
      <c r="Q82" s="14">
        <v>0</v>
      </c>
      <c r="R82" s="14">
        <v>0</v>
      </c>
      <c r="S82" s="14">
        <v>0</v>
      </c>
      <c r="T82" s="13">
        <v>90</v>
      </c>
      <c r="U82" s="14">
        <v>90</v>
      </c>
      <c r="V82" s="14">
        <v>0</v>
      </c>
      <c r="W82" s="14">
        <v>0</v>
      </c>
      <c r="X82" s="14">
        <v>0</v>
      </c>
      <c r="Y82" s="13">
        <v>90</v>
      </c>
      <c r="Z82" s="14">
        <v>90</v>
      </c>
      <c r="AA82" s="14">
        <v>0</v>
      </c>
      <c r="AB82" s="14">
        <v>0</v>
      </c>
      <c r="AC82" s="14">
        <v>0</v>
      </c>
      <c r="AD82" s="13">
        <v>480</v>
      </c>
    </row>
    <row r="83" spans="1:31" ht="47.25">
      <c r="A83" s="116" t="s">
        <v>130</v>
      </c>
      <c r="B83" s="7" t="s">
        <v>205</v>
      </c>
      <c r="C83" s="124" t="s">
        <v>95</v>
      </c>
      <c r="D83" s="124" t="s">
        <v>93</v>
      </c>
      <c r="E83" s="13">
        <v>23068</v>
      </c>
      <c r="F83" s="14">
        <v>0</v>
      </c>
      <c r="G83" s="14">
        <v>23068</v>
      </c>
      <c r="H83" s="14">
        <v>0</v>
      </c>
      <c r="I83" s="14">
        <v>0</v>
      </c>
      <c r="J83" s="13">
        <v>0</v>
      </c>
      <c r="K83" s="14">
        <v>0</v>
      </c>
      <c r="L83" s="14">
        <v>0</v>
      </c>
      <c r="M83" s="14">
        <v>0</v>
      </c>
      <c r="N83" s="14">
        <v>0</v>
      </c>
      <c r="O83" s="13">
        <v>0</v>
      </c>
      <c r="P83" s="14">
        <v>0</v>
      </c>
      <c r="Q83" s="14">
        <v>0</v>
      </c>
      <c r="R83" s="14">
        <v>0</v>
      </c>
      <c r="S83" s="14">
        <v>0</v>
      </c>
      <c r="T83" s="13">
        <v>0</v>
      </c>
      <c r="U83" s="14">
        <v>0</v>
      </c>
      <c r="V83" s="14">
        <v>0</v>
      </c>
      <c r="W83" s="14">
        <v>0</v>
      </c>
      <c r="X83" s="14">
        <v>0</v>
      </c>
      <c r="Y83" s="13">
        <v>0</v>
      </c>
      <c r="Z83" s="14">
        <v>0</v>
      </c>
      <c r="AA83" s="14">
        <v>0</v>
      </c>
      <c r="AB83" s="14">
        <v>0</v>
      </c>
      <c r="AC83" s="14">
        <v>0</v>
      </c>
      <c r="AD83" s="13">
        <v>23068</v>
      </c>
      <c r="AE83" s="46"/>
    </row>
    <row r="84" spans="1:31" ht="189">
      <c r="A84" s="116" t="s">
        <v>194</v>
      </c>
      <c r="B84" s="7" t="s">
        <v>198</v>
      </c>
      <c r="C84" s="124" t="s">
        <v>204</v>
      </c>
      <c r="D84" s="124" t="s">
        <v>93</v>
      </c>
      <c r="E84" s="13">
        <v>238</v>
      </c>
      <c r="F84" s="78">
        <v>0</v>
      </c>
      <c r="G84" s="14">
        <v>238</v>
      </c>
      <c r="H84" s="14">
        <v>0</v>
      </c>
      <c r="I84" s="14">
        <v>0</v>
      </c>
      <c r="J84" s="13">
        <f>K84+L84+M84+N84</f>
        <v>0</v>
      </c>
      <c r="K84" s="14">
        <v>0</v>
      </c>
      <c r="L84" s="14">
        <v>0</v>
      </c>
      <c r="M84" s="14">
        <v>0</v>
      </c>
      <c r="N84" s="14">
        <v>0</v>
      </c>
      <c r="O84" s="13">
        <f>P84+Q84+R84+S84</f>
        <v>0</v>
      </c>
      <c r="P84" s="14">
        <v>0</v>
      </c>
      <c r="Q84" s="14">
        <v>0</v>
      </c>
      <c r="R84" s="14">
        <v>0</v>
      </c>
      <c r="S84" s="14">
        <v>0</v>
      </c>
      <c r="T84" s="13">
        <v>0</v>
      </c>
      <c r="U84" s="14">
        <v>0</v>
      </c>
      <c r="V84" s="14">
        <v>0</v>
      </c>
      <c r="W84" s="14">
        <v>0</v>
      </c>
      <c r="X84" s="14">
        <v>0</v>
      </c>
      <c r="Y84" s="13">
        <v>0</v>
      </c>
      <c r="Z84" s="14">
        <v>0</v>
      </c>
      <c r="AA84" s="14">
        <v>0</v>
      </c>
      <c r="AB84" s="14">
        <v>0</v>
      </c>
      <c r="AC84" s="14">
        <v>0</v>
      </c>
      <c r="AD84" s="13">
        <f>E84+J84+O84+T84+Y84</f>
        <v>238</v>
      </c>
      <c r="AE84" s="46"/>
    </row>
    <row r="85" spans="1:31" ht="16.5">
      <c r="A85" s="116" t="s">
        <v>64</v>
      </c>
      <c r="B85" s="116"/>
      <c r="C85" s="116"/>
      <c r="D85" s="116"/>
      <c r="E85" s="108">
        <f>E86+E87</f>
        <v>30546</v>
      </c>
      <c r="F85" s="108">
        <f>F86+F87</f>
        <v>7240</v>
      </c>
      <c r="G85" s="108">
        <f>G77+G78+G79+G80+G81+G82+G83+G84</f>
        <v>23306</v>
      </c>
      <c r="H85" s="108">
        <v>0</v>
      </c>
      <c r="I85" s="108">
        <v>0</v>
      </c>
      <c r="J85" s="31">
        <v>7363</v>
      </c>
      <c r="K85" s="31">
        <v>7363</v>
      </c>
      <c r="L85" s="31">
        <v>0</v>
      </c>
      <c r="M85" s="31">
        <v>0</v>
      </c>
      <c r="N85" s="31">
        <v>0</v>
      </c>
      <c r="O85" s="31">
        <v>7363</v>
      </c>
      <c r="P85" s="31">
        <v>7363</v>
      </c>
      <c r="Q85" s="31">
        <v>0</v>
      </c>
      <c r="R85" s="31">
        <v>0</v>
      </c>
      <c r="S85" s="31">
        <v>0</v>
      </c>
      <c r="T85" s="31">
        <v>7430</v>
      </c>
      <c r="U85" s="31">
        <v>7430</v>
      </c>
      <c r="V85" s="31">
        <v>0</v>
      </c>
      <c r="W85" s="31">
        <v>0</v>
      </c>
      <c r="X85" s="31">
        <v>0</v>
      </c>
      <c r="Y85" s="31">
        <v>7440</v>
      </c>
      <c r="Z85" s="31">
        <v>7440</v>
      </c>
      <c r="AA85" s="31">
        <v>0</v>
      </c>
      <c r="AB85" s="31">
        <v>0</v>
      </c>
      <c r="AC85" s="31">
        <v>0</v>
      </c>
      <c r="AD85" s="31">
        <v>60265</v>
      </c>
    </row>
    <row r="86" spans="1:31" ht="16.5">
      <c r="A86" s="116" t="s">
        <v>73</v>
      </c>
      <c r="B86" s="116"/>
      <c r="C86" s="116"/>
      <c r="D86" s="116"/>
      <c r="E86" s="111">
        <v>23306</v>
      </c>
      <c r="F86" s="111">
        <f>F83+F84</f>
        <v>0</v>
      </c>
      <c r="G86" s="111">
        <v>23306</v>
      </c>
      <c r="H86" s="111">
        <v>0</v>
      </c>
      <c r="I86" s="111">
        <v>0</v>
      </c>
      <c r="J86" s="32">
        <v>0</v>
      </c>
      <c r="K86" s="32">
        <v>0</v>
      </c>
      <c r="L86" s="32">
        <v>0</v>
      </c>
      <c r="M86" s="32">
        <v>0</v>
      </c>
      <c r="N86" s="32">
        <v>0</v>
      </c>
      <c r="O86" s="32">
        <v>0</v>
      </c>
      <c r="P86" s="32">
        <v>0</v>
      </c>
      <c r="Q86" s="32">
        <v>0</v>
      </c>
      <c r="R86" s="32">
        <v>0</v>
      </c>
      <c r="S86" s="32">
        <v>0</v>
      </c>
      <c r="T86" s="32">
        <v>0</v>
      </c>
      <c r="U86" s="32">
        <v>0</v>
      </c>
      <c r="V86" s="32">
        <v>0</v>
      </c>
      <c r="W86" s="32">
        <v>0</v>
      </c>
      <c r="X86" s="32">
        <v>0</v>
      </c>
      <c r="Y86" s="32">
        <v>0</v>
      </c>
      <c r="Z86" s="32">
        <v>0</v>
      </c>
      <c r="AA86" s="32">
        <v>0</v>
      </c>
      <c r="AB86" s="32">
        <v>0</v>
      </c>
      <c r="AC86" s="32">
        <v>0</v>
      </c>
      <c r="AD86" s="32">
        <v>23306</v>
      </c>
    </row>
    <row r="87" spans="1:31" ht="16.5">
      <c r="A87" s="116" t="s">
        <v>135</v>
      </c>
      <c r="B87" s="116"/>
      <c r="C87" s="116"/>
      <c r="D87" s="116"/>
      <c r="E87" s="111">
        <f>E77+E78+E79+E80+E81+E82</f>
        <v>7240</v>
      </c>
      <c r="F87" s="111">
        <f>F77+F78+F79+F80+F81+F82</f>
        <v>7240</v>
      </c>
      <c r="G87" s="111">
        <v>0</v>
      </c>
      <c r="H87" s="111">
        <v>0</v>
      </c>
      <c r="I87" s="111">
        <v>0</v>
      </c>
      <c r="J87" s="32">
        <f>J77+J78+J79+J80+J81+J82+J83+J84</f>
        <v>7363</v>
      </c>
      <c r="K87" s="32">
        <v>7363</v>
      </c>
      <c r="L87" s="32">
        <v>0</v>
      </c>
      <c r="M87" s="32">
        <v>0</v>
      </c>
      <c r="N87" s="32">
        <v>0</v>
      </c>
      <c r="O87" s="32">
        <v>7363</v>
      </c>
      <c r="P87" s="32">
        <v>7363</v>
      </c>
      <c r="Q87" s="32">
        <v>0</v>
      </c>
      <c r="R87" s="32">
        <v>0</v>
      </c>
      <c r="S87" s="32">
        <v>0</v>
      </c>
      <c r="T87" s="32">
        <v>7430</v>
      </c>
      <c r="U87" s="32">
        <v>7430</v>
      </c>
      <c r="V87" s="32">
        <v>0</v>
      </c>
      <c r="W87" s="32">
        <v>0</v>
      </c>
      <c r="X87" s="32">
        <v>0</v>
      </c>
      <c r="Y87" s="32">
        <v>7440</v>
      </c>
      <c r="Z87" s="32">
        <v>7440</v>
      </c>
      <c r="AA87" s="32">
        <v>0</v>
      </c>
      <c r="AB87" s="32">
        <v>0</v>
      </c>
      <c r="AC87" s="32">
        <v>0</v>
      </c>
      <c r="AD87" s="32">
        <v>36959</v>
      </c>
    </row>
    <row r="88" spans="1:31" ht="18.75" customHeight="1">
      <c r="A88" s="116" t="s">
        <v>65</v>
      </c>
      <c r="B88" s="529" t="s">
        <v>158</v>
      </c>
      <c r="C88" s="530"/>
      <c r="D88" s="530"/>
      <c r="E88" s="530"/>
      <c r="F88" s="530"/>
      <c r="G88" s="530"/>
      <c r="H88" s="530"/>
      <c r="I88" s="530"/>
      <c r="J88" s="530"/>
      <c r="K88" s="530"/>
      <c r="L88" s="530"/>
      <c r="M88" s="530"/>
      <c r="N88" s="530"/>
      <c r="O88" s="530"/>
      <c r="P88" s="530"/>
      <c r="Q88" s="530"/>
      <c r="R88" s="530"/>
      <c r="S88" s="530"/>
      <c r="T88" s="530"/>
      <c r="U88" s="530"/>
      <c r="V88" s="530"/>
      <c r="W88" s="530"/>
      <c r="X88" s="530"/>
      <c r="Y88" s="530"/>
      <c r="Z88" s="530"/>
      <c r="AA88" s="530"/>
      <c r="AB88" s="530"/>
      <c r="AC88" s="530"/>
      <c r="AD88" s="531"/>
    </row>
    <row r="89" spans="1:31" ht="15.75" customHeight="1">
      <c r="A89" s="49" t="s">
        <v>66</v>
      </c>
      <c r="B89" s="8" t="s">
        <v>82</v>
      </c>
      <c r="C89" s="518" t="s">
        <v>73</v>
      </c>
      <c r="D89" s="124" t="s">
        <v>93</v>
      </c>
      <c r="E89" s="13">
        <f xml:space="preserve"> SUM(F89:I89)</f>
        <v>61.599999999999994</v>
      </c>
      <c r="F89" s="14">
        <f>SUM(F90:F91)</f>
        <v>61.599999999999994</v>
      </c>
      <c r="G89" s="14">
        <f>SUM(G90:G91)</f>
        <v>0</v>
      </c>
      <c r="H89" s="14">
        <f>SUM(H90:H91)</f>
        <v>0</v>
      </c>
      <c r="I89" s="14">
        <f>SUM(I90:I91)</f>
        <v>0</v>
      </c>
      <c r="J89" s="13">
        <f xml:space="preserve"> SUM(K89:N89)</f>
        <v>68</v>
      </c>
      <c r="K89" s="14">
        <f>SUM(K90:K91)</f>
        <v>68</v>
      </c>
      <c r="L89" s="14">
        <f>SUM(L90:L91)</f>
        <v>0</v>
      </c>
      <c r="M89" s="14">
        <f>SUM(M90:M91)</f>
        <v>0</v>
      </c>
      <c r="N89" s="14">
        <f>SUM(N90:N91)</f>
        <v>0</v>
      </c>
      <c r="O89" s="13">
        <f xml:space="preserve"> SUM(P89:S89)</f>
        <v>68</v>
      </c>
      <c r="P89" s="14">
        <f>SUM(P90:P91)</f>
        <v>68</v>
      </c>
      <c r="Q89" s="14">
        <f>SUM(Q90:Q91)</f>
        <v>0</v>
      </c>
      <c r="R89" s="14">
        <f>SUM(R90:R91)</f>
        <v>0</v>
      </c>
      <c r="S89" s="14">
        <f>SUM(S90:S91)</f>
        <v>0</v>
      </c>
      <c r="T89" s="13">
        <f xml:space="preserve"> SUM(U89:X89)</f>
        <v>68</v>
      </c>
      <c r="U89" s="14">
        <f>SUM(U90:U91)</f>
        <v>68</v>
      </c>
      <c r="V89" s="14">
        <f>SUM(V90:V91)</f>
        <v>0</v>
      </c>
      <c r="W89" s="14">
        <f>SUM(W90:W91)</f>
        <v>0</v>
      </c>
      <c r="X89" s="14">
        <f>SUM(X90:X91)</f>
        <v>0</v>
      </c>
      <c r="Y89" s="13">
        <f xml:space="preserve"> SUM(Z89:AC89)</f>
        <v>68</v>
      </c>
      <c r="Z89" s="14">
        <f>SUM(Z90:Z91)</f>
        <v>68</v>
      </c>
      <c r="AA89" s="14">
        <f>SUM(AA90:AA91)</f>
        <v>0</v>
      </c>
      <c r="AB89" s="14">
        <f>SUM(AB90:AB91)</f>
        <v>0</v>
      </c>
      <c r="AC89" s="14">
        <f>SUM(AC90:AC91)</f>
        <v>0</v>
      </c>
      <c r="AD89" s="13">
        <f>E89+J89+O89+T89+Y89</f>
        <v>333.6</v>
      </c>
    </row>
    <row r="90" spans="1:31">
      <c r="A90" s="49" t="s">
        <v>100</v>
      </c>
      <c r="B90" s="7" t="s">
        <v>83</v>
      </c>
      <c r="C90" s="518"/>
      <c r="D90" s="124" t="s">
        <v>93</v>
      </c>
      <c r="E90" s="30">
        <f>F90+G90+H90+I90</f>
        <v>35.4</v>
      </c>
      <c r="F90" s="30">
        <f>39-3.6</f>
        <v>35.4</v>
      </c>
      <c r="G90" s="30">
        <v>0</v>
      </c>
      <c r="H90" s="30">
        <v>0</v>
      </c>
      <c r="I90" s="30">
        <v>0</v>
      </c>
      <c r="J90" s="14">
        <v>39</v>
      </c>
      <c r="K90" s="14">
        <v>39</v>
      </c>
      <c r="L90" s="14">
        <v>0</v>
      </c>
      <c r="M90" s="14">
        <v>0</v>
      </c>
      <c r="N90" s="14">
        <v>0</v>
      </c>
      <c r="O90" s="14">
        <v>39</v>
      </c>
      <c r="P90" s="14">
        <v>39</v>
      </c>
      <c r="Q90" s="14">
        <v>0</v>
      </c>
      <c r="R90" s="14">
        <v>0</v>
      </c>
      <c r="S90" s="14">
        <v>0</v>
      </c>
      <c r="T90" s="14">
        <v>39</v>
      </c>
      <c r="U90" s="14">
        <v>39</v>
      </c>
      <c r="V90" s="14">
        <v>0</v>
      </c>
      <c r="W90" s="14">
        <v>0</v>
      </c>
      <c r="X90" s="14">
        <v>0</v>
      </c>
      <c r="Y90" s="14">
        <v>39</v>
      </c>
      <c r="Z90" s="14">
        <v>39</v>
      </c>
      <c r="AA90" s="14">
        <v>0</v>
      </c>
      <c r="AB90" s="14">
        <v>0</v>
      </c>
      <c r="AC90" s="14">
        <v>0</v>
      </c>
      <c r="AD90" s="13">
        <f>E90+J90+O90+T90+Y90</f>
        <v>191.4</v>
      </c>
    </row>
    <row r="91" spans="1:31">
      <c r="A91" s="49" t="s">
        <v>101</v>
      </c>
      <c r="B91" s="7" t="s">
        <v>84</v>
      </c>
      <c r="C91" s="518"/>
      <c r="D91" s="124" t="s">
        <v>93</v>
      </c>
      <c r="E91" s="30">
        <f>F91+G91+H91+I91</f>
        <v>26.2</v>
      </c>
      <c r="F91" s="30">
        <f>29-2.8</f>
        <v>26.2</v>
      </c>
      <c r="G91" s="30">
        <v>0</v>
      </c>
      <c r="H91" s="30">
        <v>0</v>
      </c>
      <c r="I91" s="30">
        <v>0</v>
      </c>
      <c r="J91" s="14">
        <v>29</v>
      </c>
      <c r="K91" s="14">
        <v>29</v>
      </c>
      <c r="L91" s="14">
        <v>0</v>
      </c>
      <c r="M91" s="14">
        <v>0</v>
      </c>
      <c r="N91" s="14">
        <v>0</v>
      </c>
      <c r="O91" s="14">
        <v>29</v>
      </c>
      <c r="P91" s="14">
        <v>29</v>
      </c>
      <c r="Q91" s="14">
        <v>0</v>
      </c>
      <c r="R91" s="14">
        <v>0</v>
      </c>
      <c r="S91" s="14">
        <v>0</v>
      </c>
      <c r="T91" s="14">
        <v>29</v>
      </c>
      <c r="U91" s="14">
        <v>29</v>
      </c>
      <c r="V91" s="14">
        <v>0</v>
      </c>
      <c r="W91" s="14">
        <v>0</v>
      </c>
      <c r="X91" s="14">
        <v>0</v>
      </c>
      <c r="Y91" s="14">
        <v>29</v>
      </c>
      <c r="Z91" s="14">
        <v>29</v>
      </c>
      <c r="AA91" s="14">
        <v>0</v>
      </c>
      <c r="AB91" s="14">
        <v>0</v>
      </c>
      <c r="AC91" s="14">
        <v>0</v>
      </c>
      <c r="AD91" s="13">
        <f>E91+J91+O91+T91+Y91</f>
        <v>142.19999999999999</v>
      </c>
    </row>
    <row r="92" spans="1:31" ht="16.5">
      <c r="A92" s="519" t="s">
        <v>102</v>
      </c>
      <c r="B92" s="519"/>
      <c r="C92" s="519"/>
      <c r="D92" s="116"/>
      <c r="E92" s="85">
        <f t="shared" ref="E92:AD92" si="20">SUM(E90:E91)</f>
        <v>61.599999999999994</v>
      </c>
      <c r="F92" s="113">
        <f t="shared" si="20"/>
        <v>61.599999999999994</v>
      </c>
      <c r="G92" s="113">
        <f t="shared" si="20"/>
        <v>0</v>
      </c>
      <c r="H92" s="113">
        <f t="shared" si="20"/>
        <v>0</v>
      </c>
      <c r="I92" s="113">
        <f t="shared" si="20"/>
        <v>0</v>
      </c>
      <c r="J92" s="15">
        <f t="shared" si="20"/>
        <v>68</v>
      </c>
      <c r="K92" s="50">
        <f t="shared" si="20"/>
        <v>68</v>
      </c>
      <c r="L92" s="50">
        <f t="shared" si="20"/>
        <v>0</v>
      </c>
      <c r="M92" s="50">
        <f t="shared" si="20"/>
        <v>0</v>
      </c>
      <c r="N92" s="50">
        <f t="shared" si="20"/>
        <v>0</v>
      </c>
      <c r="O92" s="15">
        <f t="shared" si="20"/>
        <v>68</v>
      </c>
      <c r="P92" s="50">
        <f t="shared" si="20"/>
        <v>68</v>
      </c>
      <c r="Q92" s="50">
        <f t="shared" si="20"/>
        <v>0</v>
      </c>
      <c r="R92" s="50">
        <f t="shared" si="20"/>
        <v>0</v>
      </c>
      <c r="S92" s="50">
        <f t="shared" si="20"/>
        <v>0</v>
      </c>
      <c r="T92" s="15">
        <f t="shared" si="20"/>
        <v>68</v>
      </c>
      <c r="U92" s="50">
        <f t="shared" si="20"/>
        <v>68</v>
      </c>
      <c r="V92" s="50">
        <f t="shared" si="20"/>
        <v>0</v>
      </c>
      <c r="W92" s="50">
        <f t="shared" si="20"/>
        <v>0</v>
      </c>
      <c r="X92" s="50">
        <f t="shared" si="20"/>
        <v>0</v>
      </c>
      <c r="Y92" s="15">
        <f t="shared" si="20"/>
        <v>68</v>
      </c>
      <c r="Z92" s="50">
        <f t="shared" si="20"/>
        <v>68</v>
      </c>
      <c r="AA92" s="50">
        <f t="shared" si="20"/>
        <v>0</v>
      </c>
      <c r="AB92" s="50">
        <f t="shared" si="20"/>
        <v>0</v>
      </c>
      <c r="AC92" s="50">
        <f t="shared" si="20"/>
        <v>0</v>
      </c>
      <c r="AD92" s="15">
        <f t="shared" si="20"/>
        <v>333.6</v>
      </c>
    </row>
    <row r="93" spans="1:31" ht="18.75" customHeight="1">
      <c r="A93" s="116" t="s">
        <v>74</v>
      </c>
      <c r="B93" s="523" t="s">
        <v>150</v>
      </c>
      <c r="C93" s="524"/>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5"/>
    </row>
    <row r="94" spans="1:31" ht="47.25" customHeight="1">
      <c r="A94" s="116" t="s">
        <v>72</v>
      </c>
      <c r="B94" s="6" t="s">
        <v>184</v>
      </c>
      <c r="C94" s="520" t="s">
        <v>107</v>
      </c>
      <c r="D94" s="124" t="s">
        <v>93</v>
      </c>
      <c r="E94" s="13">
        <v>0</v>
      </c>
      <c r="F94" s="14">
        <v>0</v>
      </c>
      <c r="G94" s="14">
        <v>0</v>
      </c>
      <c r="H94" s="14">
        <v>0</v>
      </c>
      <c r="I94" s="14">
        <v>0</v>
      </c>
      <c r="J94" s="13">
        <v>0</v>
      </c>
      <c r="K94" s="14">
        <v>0</v>
      </c>
      <c r="L94" s="14">
        <v>0</v>
      </c>
      <c r="M94" s="14">
        <v>0</v>
      </c>
      <c r="N94" s="14">
        <v>0</v>
      </c>
      <c r="O94" s="13">
        <v>0</v>
      </c>
      <c r="P94" s="14">
        <v>0</v>
      </c>
      <c r="Q94" s="14">
        <v>0</v>
      </c>
      <c r="R94" s="14">
        <v>0</v>
      </c>
      <c r="S94" s="14">
        <v>0</v>
      </c>
      <c r="T94" s="14">
        <v>2000</v>
      </c>
      <c r="U94" s="14">
        <v>2000</v>
      </c>
      <c r="V94" s="14">
        <v>0</v>
      </c>
      <c r="W94" s="14">
        <v>0</v>
      </c>
      <c r="X94" s="14">
        <v>0</v>
      </c>
      <c r="Y94" s="14">
        <v>2000</v>
      </c>
      <c r="Z94" s="14">
        <v>2000</v>
      </c>
      <c r="AA94" s="14">
        <v>0</v>
      </c>
      <c r="AB94" s="14">
        <v>0</v>
      </c>
      <c r="AC94" s="14">
        <v>0</v>
      </c>
      <c r="AD94" s="13">
        <f>E94+J94+O94+T94+Y94</f>
        <v>4000</v>
      </c>
    </row>
    <row r="95" spans="1:31" ht="47.25">
      <c r="A95" s="51" t="s">
        <v>103</v>
      </c>
      <c r="B95" s="6" t="s">
        <v>193</v>
      </c>
      <c r="C95" s="521"/>
      <c r="D95" s="124" t="s">
        <v>93</v>
      </c>
      <c r="E95" s="13">
        <v>0</v>
      </c>
      <c r="F95" s="14">
        <v>0</v>
      </c>
      <c r="G95" s="14">
        <v>0</v>
      </c>
      <c r="H95" s="14">
        <v>0</v>
      </c>
      <c r="I95" s="14">
        <v>0</v>
      </c>
      <c r="J95" s="13">
        <v>0</v>
      </c>
      <c r="K95" s="14">
        <v>0</v>
      </c>
      <c r="L95" s="14">
        <v>0</v>
      </c>
      <c r="M95" s="14">
        <v>0</v>
      </c>
      <c r="N95" s="14">
        <v>0</v>
      </c>
      <c r="O95" s="13">
        <v>0</v>
      </c>
      <c r="P95" s="14">
        <v>0</v>
      </c>
      <c r="Q95" s="14">
        <v>0</v>
      </c>
      <c r="R95" s="14">
        <v>0</v>
      </c>
      <c r="S95" s="14">
        <v>0</v>
      </c>
      <c r="T95" s="14">
        <v>10000</v>
      </c>
      <c r="U95" s="14">
        <v>10000</v>
      </c>
      <c r="V95" s="14">
        <v>0</v>
      </c>
      <c r="W95" s="14">
        <v>0</v>
      </c>
      <c r="X95" s="14">
        <v>0</v>
      </c>
      <c r="Y95" s="14">
        <v>10000</v>
      </c>
      <c r="Z95" s="14">
        <v>10000</v>
      </c>
      <c r="AA95" s="14">
        <v>0</v>
      </c>
      <c r="AB95" s="14">
        <v>0</v>
      </c>
      <c r="AC95" s="14">
        <v>0</v>
      </c>
      <c r="AD95" s="13">
        <f>E95+J95+O95+T95+Y95</f>
        <v>20000</v>
      </c>
    </row>
    <row r="96" spans="1:31" ht="63">
      <c r="A96" s="51" t="s">
        <v>104</v>
      </c>
      <c r="B96" s="6" t="s">
        <v>116</v>
      </c>
      <c r="C96" s="522"/>
      <c r="D96" s="124" t="s">
        <v>93</v>
      </c>
      <c r="E96" s="29">
        <f>F96+G96+H96+I96</f>
        <v>300</v>
      </c>
      <c r="F96" s="30">
        <f>300</f>
        <v>300</v>
      </c>
      <c r="G96" s="30">
        <v>0</v>
      </c>
      <c r="H96" s="30">
        <v>0</v>
      </c>
      <c r="I96" s="30">
        <v>0</v>
      </c>
      <c r="J96" s="13">
        <f>K96+L96+M96+N96</f>
        <v>300</v>
      </c>
      <c r="K96" s="14">
        <v>300</v>
      </c>
      <c r="L96" s="14">
        <v>0</v>
      </c>
      <c r="M96" s="14">
        <v>0</v>
      </c>
      <c r="N96" s="14">
        <v>0</v>
      </c>
      <c r="O96" s="13">
        <f>P96+Q96+R96+S96</f>
        <v>300</v>
      </c>
      <c r="P96" s="14">
        <v>300</v>
      </c>
      <c r="Q96" s="14">
        <v>0</v>
      </c>
      <c r="R96" s="14">
        <v>0</v>
      </c>
      <c r="S96" s="14">
        <v>0</v>
      </c>
      <c r="T96" s="13">
        <f>U96+V96+W96+X96</f>
        <v>300</v>
      </c>
      <c r="U96" s="14">
        <v>300</v>
      </c>
      <c r="V96" s="14">
        <v>0</v>
      </c>
      <c r="W96" s="14">
        <v>0</v>
      </c>
      <c r="X96" s="14">
        <v>0</v>
      </c>
      <c r="Y96" s="13">
        <f>Z96+AA96+AB96+AC96</f>
        <v>300</v>
      </c>
      <c r="Z96" s="14">
        <v>300</v>
      </c>
      <c r="AA96" s="14">
        <v>0</v>
      </c>
      <c r="AB96" s="14">
        <v>0</v>
      </c>
      <c r="AC96" s="14">
        <v>0</v>
      </c>
      <c r="AD96" s="13">
        <f>E96+J96+O96+T96+Y96</f>
        <v>1500</v>
      </c>
    </row>
    <row r="97" spans="1:30" ht="16.5">
      <c r="A97" s="526" t="s">
        <v>79</v>
      </c>
      <c r="B97" s="527"/>
      <c r="C97" s="528"/>
      <c r="D97" s="116"/>
      <c r="E97" s="108">
        <f t="shared" ref="E97:AD97" si="21">SUM(E94:E96)</f>
        <v>300</v>
      </c>
      <c r="F97" s="108">
        <f t="shared" si="21"/>
        <v>300</v>
      </c>
      <c r="G97" s="108">
        <f t="shared" si="21"/>
        <v>0</v>
      </c>
      <c r="H97" s="108">
        <f t="shared" si="21"/>
        <v>0</v>
      </c>
      <c r="I97" s="108">
        <f t="shared" si="21"/>
        <v>0</v>
      </c>
      <c r="J97" s="31">
        <f t="shared" si="21"/>
        <v>300</v>
      </c>
      <c r="K97" s="31">
        <f t="shared" si="21"/>
        <v>300</v>
      </c>
      <c r="L97" s="31">
        <f t="shared" si="21"/>
        <v>0</v>
      </c>
      <c r="M97" s="31">
        <f t="shared" si="21"/>
        <v>0</v>
      </c>
      <c r="N97" s="31">
        <f t="shared" si="21"/>
        <v>0</v>
      </c>
      <c r="O97" s="31">
        <f t="shared" si="21"/>
        <v>300</v>
      </c>
      <c r="P97" s="31">
        <f t="shared" si="21"/>
        <v>300</v>
      </c>
      <c r="Q97" s="31">
        <f t="shared" si="21"/>
        <v>0</v>
      </c>
      <c r="R97" s="31">
        <f t="shared" si="21"/>
        <v>0</v>
      </c>
      <c r="S97" s="31">
        <f t="shared" si="21"/>
        <v>0</v>
      </c>
      <c r="T97" s="31">
        <f t="shared" si="21"/>
        <v>12300</v>
      </c>
      <c r="U97" s="31">
        <f t="shared" si="21"/>
        <v>12300</v>
      </c>
      <c r="V97" s="31">
        <f t="shared" si="21"/>
        <v>0</v>
      </c>
      <c r="W97" s="31">
        <f t="shared" si="21"/>
        <v>0</v>
      </c>
      <c r="X97" s="31">
        <f t="shared" si="21"/>
        <v>0</v>
      </c>
      <c r="Y97" s="31">
        <f t="shared" si="21"/>
        <v>12300</v>
      </c>
      <c r="Z97" s="31">
        <f t="shared" si="21"/>
        <v>12300</v>
      </c>
      <c r="AA97" s="31">
        <f t="shared" si="21"/>
        <v>0</v>
      </c>
      <c r="AB97" s="31">
        <f t="shared" si="21"/>
        <v>0</v>
      </c>
      <c r="AC97" s="31">
        <f t="shared" si="21"/>
        <v>0</v>
      </c>
      <c r="AD97" s="31">
        <f t="shared" si="21"/>
        <v>25500</v>
      </c>
    </row>
    <row r="98" spans="1:30" ht="18.75" customHeight="1">
      <c r="A98" s="121">
        <v>14</v>
      </c>
      <c r="B98" s="552" t="s">
        <v>206</v>
      </c>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c r="AA98" s="553"/>
      <c r="AB98" s="553"/>
      <c r="AC98" s="553"/>
      <c r="AD98" s="554"/>
    </row>
    <row r="99" spans="1:30" ht="126">
      <c r="A99" s="48" t="s">
        <v>152</v>
      </c>
      <c r="B99" s="52" t="s">
        <v>185</v>
      </c>
      <c r="C99" s="53" t="s">
        <v>155</v>
      </c>
      <c r="D99" s="124" t="s">
        <v>93</v>
      </c>
      <c r="E99" s="54">
        <v>0</v>
      </c>
      <c r="F99" s="54">
        <v>0</v>
      </c>
      <c r="G99" s="54">
        <v>0</v>
      </c>
      <c r="H99" s="54">
        <v>0</v>
      </c>
      <c r="I99" s="54">
        <v>0</v>
      </c>
      <c r="J99" s="54">
        <v>0</v>
      </c>
      <c r="K99" s="54">
        <v>0</v>
      </c>
      <c r="L99" s="54">
        <v>0</v>
      </c>
      <c r="M99" s="54">
        <v>0</v>
      </c>
      <c r="N99" s="54">
        <v>0</v>
      </c>
      <c r="O99" s="54">
        <v>0</v>
      </c>
      <c r="P99" s="54">
        <v>0</v>
      </c>
      <c r="Q99" s="54">
        <v>0</v>
      </c>
      <c r="R99" s="54">
        <v>0</v>
      </c>
      <c r="S99" s="54">
        <v>0</v>
      </c>
      <c r="T99" s="54">
        <v>2488</v>
      </c>
      <c r="U99" s="54">
        <v>2488</v>
      </c>
      <c r="V99" s="54">
        <v>0</v>
      </c>
      <c r="W99" s="54">
        <v>0</v>
      </c>
      <c r="X99" s="54">
        <v>0</v>
      </c>
      <c r="Y99" s="54">
        <v>2488</v>
      </c>
      <c r="Z99" s="54">
        <v>2488</v>
      </c>
      <c r="AA99" s="54">
        <v>0</v>
      </c>
      <c r="AB99" s="54">
        <v>0</v>
      </c>
      <c r="AC99" s="54">
        <v>0</v>
      </c>
      <c r="AD99" s="55">
        <f>E99+J99+O99+T99+Y99</f>
        <v>4976</v>
      </c>
    </row>
    <row r="100" spans="1:30" ht="157.5">
      <c r="A100" s="48" t="s">
        <v>153</v>
      </c>
      <c r="B100" s="103" t="s">
        <v>186</v>
      </c>
      <c r="C100" s="56" t="s">
        <v>107</v>
      </c>
      <c r="D100" s="124" t="s">
        <v>93</v>
      </c>
      <c r="E100" s="54">
        <v>500</v>
      </c>
      <c r="F100" s="54">
        <v>500</v>
      </c>
      <c r="G100" s="54">
        <v>0</v>
      </c>
      <c r="H100" s="54">
        <v>0</v>
      </c>
      <c r="I100" s="54">
        <v>0</v>
      </c>
      <c r="J100" s="54">
        <v>0</v>
      </c>
      <c r="K100" s="54">
        <v>0</v>
      </c>
      <c r="L100" s="54">
        <v>0</v>
      </c>
      <c r="M100" s="54">
        <v>0</v>
      </c>
      <c r="N100" s="54">
        <v>0</v>
      </c>
      <c r="O100" s="54">
        <v>0</v>
      </c>
      <c r="P100" s="54">
        <v>0</v>
      </c>
      <c r="Q100" s="54">
        <v>0</v>
      </c>
      <c r="R100" s="54">
        <v>0</v>
      </c>
      <c r="S100" s="54">
        <v>0</v>
      </c>
      <c r="T100" s="54">
        <v>6480</v>
      </c>
      <c r="U100" s="54">
        <v>6480</v>
      </c>
      <c r="V100" s="54">
        <v>0</v>
      </c>
      <c r="W100" s="54">
        <v>0</v>
      </c>
      <c r="X100" s="54">
        <v>0</v>
      </c>
      <c r="Y100" s="54">
        <v>6480</v>
      </c>
      <c r="Z100" s="54">
        <v>6480</v>
      </c>
      <c r="AA100" s="54">
        <v>0</v>
      </c>
      <c r="AB100" s="54">
        <v>0</v>
      </c>
      <c r="AC100" s="54">
        <v>0</v>
      </c>
      <c r="AD100" s="55">
        <f>E100+J100+O100+T100+Y100</f>
        <v>13460</v>
      </c>
    </row>
    <row r="101" spans="1:30" ht="141.75">
      <c r="A101" s="48" t="s">
        <v>157</v>
      </c>
      <c r="B101" s="7" t="s">
        <v>159</v>
      </c>
      <c r="C101" s="57" t="s">
        <v>107</v>
      </c>
      <c r="D101" s="124" t="s">
        <v>93</v>
      </c>
      <c r="E101" s="54">
        <v>2880</v>
      </c>
      <c r="F101" s="54">
        <v>2880</v>
      </c>
      <c r="G101" s="54">
        <v>0</v>
      </c>
      <c r="H101" s="54">
        <v>0</v>
      </c>
      <c r="I101" s="54">
        <v>0</v>
      </c>
      <c r="J101" s="54">
        <v>0</v>
      </c>
      <c r="K101" s="54">
        <v>0</v>
      </c>
      <c r="L101" s="54">
        <v>0</v>
      </c>
      <c r="M101" s="54">
        <v>0</v>
      </c>
      <c r="N101" s="54">
        <v>0</v>
      </c>
      <c r="O101" s="54">
        <v>0</v>
      </c>
      <c r="P101" s="54">
        <v>0</v>
      </c>
      <c r="Q101" s="54">
        <v>0</v>
      </c>
      <c r="R101" s="54">
        <v>0</v>
      </c>
      <c r="S101" s="54">
        <v>0</v>
      </c>
      <c r="T101" s="54">
        <v>5760</v>
      </c>
      <c r="U101" s="54">
        <v>5760</v>
      </c>
      <c r="V101" s="54">
        <v>0</v>
      </c>
      <c r="W101" s="54">
        <v>0</v>
      </c>
      <c r="X101" s="54">
        <v>0</v>
      </c>
      <c r="Y101" s="54">
        <v>5760</v>
      </c>
      <c r="Z101" s="54">
        <v>5760</v>
      </c>
      <c r="AA101" s="54">
        <v>0</v>
      </c>
      <c r="AB101" s="54">
        <v>0</v>
      </c>
      <c r="AC101" s="54">
        <v>0</v>
      </c>
      <c r="AD101" s="55">
        <f>E101+J101+O101+T101+Y101</f>
        <v>14400</v>
      </c>
    </row>
    <row r="102" spans="1:30" ht="16.5">
      <c r="A102" s="526" t="s">
        <v>154</v>
      </c>
      <c r="B102" s="527"/>
      <c r="C102" s="528"/>
      <c r="D102" s="48"/>
      <c r="E102" s="55">
        <f>E100+E101</f>
        <v>3380</v>
      </c>
      <c r="F102" s="55">
        <f>F99+F100+F101</f>
        <v>3380</v>
      </c>
      <c r="G102" s="55">
        <f>G100</f>
        <v>0</v>
      </c>
      <c r="H102" s="55">
        <f>I100</f>
        <v>0</v>
      </c>
      <c r="I102" s="55">
        <f t="shared" ref="I102:V102" si="22">I100</f>
        <v>0</v>
      </c>
      <c r="J102" s="55">
        <f>K102+L102+M102+N102</f>
        <v>0</v>
      </c>
      <c r="K102" s="55">
        <f>K99+K100+K101</f>
        <v>0</v>
      </c>
      <c r="L102" s="55">
        <f t="shared" si="22"/>
        <v>0</v>
      </c>
      <c r="M102" s="55">
        <f t="shared" si="22"/>
        <v>0</v>
      </c>
      <c r="N102" s="55">
        <f t="shared" si="22"/>
        <v>0</v>
      </c>
      <c r="O102" s="55">
        <f>P102+Q102+R102+S102</f>
        <v>0</v>
      </c>
      <c r="P102" s="55">
        <f>P99+P100+P101</f>
        <v>0</v>
      </c>
      <c r="Q102" s="55">
        <f t="shared" si="22"/>
        <v>0</v>
      </c>
      <c r="R102" s="55">
        <f t="shared" si="22"/>
        <v>0</v>
      </c>
      <c r="S102" s="55">
        <f t="shared" si="22"/>
        <v>0</v>
      </c>
      <c r="T102" s="55">
        <f>U102+V102+W102+X102</f>
        <v>14728</v>
      </c>
      <c r="U102" s="55">
        <f>U99+U100+U101</f>
        <v>14728</v>
      </c>
      <c r="V102" s="55">
        <f t="shared" si="22"/>
        <v>0</v>
      </c>
      <c r="W102" s="55">
        <f>V100</f>
        <v>0</v>
      </c>
      <c r="X102" s="55">
        <f t="shared" ref="X102:AC102" si="23">X100</f>
        <v>0</v>
      </c>
      <c r="Y102" s="55">
        <f>Z102+AA102+AB102+AC102</f>
        <v>14728</v>
      </c>
      <c r="Z102" s="55">
        <f>Z99+Z100+Z101</f>
        <v>14728</v>
      </c>
      <c r="AA102" s="55">
        <f t="shared" si="23"/>
        <v>0</v>
      </c>
      <c r="AB102" s="55">
        <f t="shared" si="23"/>
        <v>0</v>
      </c>
      <c r="AC102" s="55">
        <f t="shared" si="23"/>
        <v>0</v>
      </c>
      <c r="AD102" s="55">
        <f>E102+J102+O102+T102+Y102</f>
        <v>32836</v>
      </c>
    </row>
    <row r="103" spans="1:30" ht="18.75" customHeight="1">
      <c r="A103" s="121"/>
      <c r="B103" s="523" t="s">
        <v>166</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5"/>
    </row>
    <row r="104" spans="1:30" ht="93.75">
      <c r="A104" s="48" t="s">
        <v>188</v>
      </c>
      <c r="B104" s="82" t="s">
        <v>167</v>
      </c>
      <c r="C104" s="6" t="s">
        <v>14</v>
      </c>
      <c r="D104" s="124" t="s">
        <v>168</v>
      </c>
      <c r="E104" s="83">
        <v>0</v>
      </c>
      <c r="F104" s="83">
        <v>0</v>
      </c>
      <c r="G104" s="83">
        <v>0</v>
      </c>
      <c r="H104" s="83">
        <v>0</v>
      </c>
      <c r="I104" s="83">
        <v>0</v>
      </c>
      <c r="J104" s="83">
        <v>0</v>
      </c>
      <c r="K104" s="83">
        <v>0</v>
      </c>
      <c r="L104" s="83">
        <v>0</v>
      </c>
      <c r="M104" s="83">
        <v>0</v>
      </c>
      <c r="N104" s="83">
        <v>0</v>
      </c>
      <c r="O104" s="83">
        <v>0</v>
      </c>
      <c r="P104" s="83">
        <v>0</v>
      </c>
      <c r="Q104" s="83">
        <v>0</v>
      </c>
      <c r="R104" s="83">
        <v>0</v>
      </c>
      <c r="S104" s="83">
        <v>0</v>
      </c>
      <c r="T104" s="83">
        <f>U104+V104+W104+X104</f>
        <v>3942</v>
      </c>
      <c r="U104" s="83">
        <v>3942</v>
      </c>
      <c r="V104" s="83">
        <v>0</v>
      </c>
      <c r="W104" s="83">
        <v>0</v>
      </c>
      <c r="X104" s="83">
        <v>0</v>
      </c>
      <c r="Y104" s="83">
        <f>Z104+AA104+AB104+AC104</f>
        <v>3942</v>
      </c>
      <c r="Z104" s="86">
        <v>3942</v>
      </c>
      <c r="AA104" s="86">
        <v>0</v>
      </c>
      <c r="AB104" s="86">
        <v>0</v>
      </c>
      <c r="AC104" s="86">
        <v>0</v>
      </c>
      <c r="AD104" s="87">
        <f>E104+J104+O104+T104+Y104</f>
        <v>7884</v>
      </c>
    </row>
    <row r="105" spans="1:30" ht="18.75">
      <c r="A105" s="121" t="s">
        <v>169</v>
      </c>
      <c r="B105" s="117"/>
      <c r="C105" s="115"/>
      <c r="D105" s="115"/>
      <c r="E105" s="84">
        <f t="shared" ref="E105:AD105" si="24">E104</f>
        <v>0</v>
      </c>
      <c r="F105" s="84">
        <f t="shared" si="24"/>
        <v>0</v>
      </c>
      <c r="G105" s="84">
        <f t="shared" si="24"/>
        <v>0</v>
      </c>
      <c r="H105" s="84">
        <f t="shared" si="24"/>
        <v>0</v>
      </c>
      <c r="I105" s="84">
        <f t="shared" si="24"/>
        <v>0</v>
      </c>
      <c r="J105" s="84">
        <f t="shared" si="24"/>
        <v>0</v>
      </c>
      <c r="K105" s="84">
        <f t="shared" si="24"/>
        <v>0</v>
      </c>
      <c r="L105" s="84">
        <f t="shared" si="24"/>
        <v>0</v>
      </c>
      <c r="M105" s="84">
        <f t="shared" si="24"/>
        <v>0</v>
      </c>
      <c r="N105" s="84">
        <f t="shared" si="24"/>
        <v>0</v>
      </c>
      <c r="O105" s="84">
        <f t="shared" si="24"/>
        <v>0</v>
      </c>
      <c r="P105" s="84">
        <f t="shared" si="24"/>
        <v>0</v>
      </c>
      <c r="Q105" s="84">
        <f t="shared" si="24"/>
        <v>0</v>
      </c>
      <c r="R105" s="84">
        <f t="shared" si="24"/>
        <v>0</v>
      </c>
      <c r="S105" s="84">
        <f t="shared" si="24"/>
        <v>0</v>
      </c>
      <c r="T105" s="84">
        <f t="shared" si="24"/>
        <v>3942</v>
      </c>
      <c r="U105" s="84">
        <f t="shared" si="24"/>
        <v>3942</v>
      </c>
      <c r="V105" s="84">
        <f t="shared" si="24"/>
        <v>0</v>
      </c>
      <c r="W105" s="84">
        <f t="shared" si="24"/>
        <v>0</v>
      </c>
      <c r="X105" s="84">
        <f t="shared" si="24"/>
        <v>0</v>
      </c>
      <c r="Y105" s="84">
        <f t="shared" si="24"/>
        <v>3942</v>
      </c>
      <c r="Z105" s="84">
        <f t="shared" si="24"/>
        <v>3942</v>
      </c>
      <c r="AA105" s="84">
        <f t="shared" si="24"/>
        <v>0</v>
      </c>
      <c r="AB105" s="84">
        <f t="shared" si="24"/>
        <v>0</v>
      </c>
      <c r="AC105" s="84">
        <f t="shared" si="24"/>
        <v>0</v>
      </c>
      <c r="AD105" s="88">
        <f t="shared" si="24"/>
        <v>7884</v>
      </c>
    </row>
    <row r="106" spans="1:30" ht="18.75" customHeight="1">
      <c r="A106" s="517" t="s">
        <v>67</v>
      </c>
      <c r="B106" s="517"/>
      <c r="C106" s="517"/>
      <c r="D106" s="123"/>
      <c r="E106" s="112">
        <f>F106+G106+H106+I106</f>
        <v>188072.00000000003</v>
      </c>
      <c r="F106" s="112">
        <f>F20+F25+F29+F49+F54+F57+F61+F66+F69+F73+F85+F92+F97+F102+F105</f>
        <v>136729.00000000003</v>
      </c>
      <c r="G106" s="112">
        <f>G20+G25+G29+G49+G54+G57+G61+G66+G69+G73+G85+G92+G97+G102+G105</f>
        <v>45966</v>
      </c>
      <c r="H106" s="112">
        <f>SUM(H20,H25,H29,H49,H54,H57,H61,H66,H69,H73,H85,H92,H97)</f>
        <v>0</v>
      </c>
      <c r="I106" s="112">
        <f>SUM(I20,I25,I29,I49,I54,I57,I61,I66,I69,I73,I85,I92,I97)</f>
        <v>5377</v>
      </c>
      <c r="J106" s="58">
        <f>K106+L106+M106+N106</f>
        <v>70176</v>
      </c>
      <c r="K106" s="58">
        <f>K20+K25+K29+K49+K54+K57+K61+K66+K69+K73+K85+K92+K97+K102+K105</f>
        <v>70176</v>
      </c>
      <c r="L106" s="58">
        <f>SUM(L20,L25,L29,L49,L54,L57,L61,L66,L69,L73,L85,L92,L97)</f>
        <v>0</v>
      </c>
      <c r="M106" s="58">
        <f>SUM(M20,M25,M29,M49,M54,M57,M61,M66,M69,M73,M85,M92,M97)</f>
        <v>0</v>
      </c>
      <c r="N106" s="58">
        <f>SUM(N20,N25,N29,N49,N54,N57,N61,N66,N69,N73,N85,N92,N97)</f>
        <v>0</v>
      </c>
      <c r="O106" s="58">
        <f>P106+Q106+R106+S106</f>
        <v>70176</v>
      </c>
      <c r="P106" s="58">
        <f>P20+P25+P29+P49+P54+P57+P61+P66+P69+P73+P85+P92+P97+P102+P105</f>
        <v>70176</v>
      </c>
      <c r="Q106" s="58">
        <f>SUM(Q20,Q25,Q29,Q49,Q54,Q57,Q61,Q66,Q69,Q73,Q85,Q92,Q97)</f>
        <v>0</v>
      </c>
      <c r="R106" s="58">
        <f>SUM(R20,R25,R29,R49,R54,R57,R61,R66,R69,R73,R85,R92,R97)</f>
        <v>0</v>
      </c>
      <c r="S106" s="58">
        <f>SUM(S20,S25,S29,S49,S54,S57,S61,S66,S69,S73,S85,S92,S97)</f>
        <v>0</v>
      </c>
      <c r="T106" s="58">
        <f>U106+V106+W106+X106</f>
        <v>186664.3</v>
      </c>
      <c r="U106" s="58">
        <f>U20+U25+U29+U49+U54+U57+U61+U66+U69+U73+U85+U92+U97+U102+U105</f>
        <v>180784.3</v>
      </c>
      <c r="V106" s="58">
        <f>SUM(V20,V25,V29,V49,V54,V57,V61,V66,V69,V73,V85,V92,V97)</f>
        <v>0</v>
      </c>
      <c r="W106" s="58">
        <f>SUM(W20,W25,W29,W49,W54,W57,W61,W66,W69,W73,W85,W92,W97)</f>
        <v>0</v>
      </c>
      <c r="X106" s="58">
        <f>SUM(X20,X25,X29,X49,X54,X57,X61,X66,X69,X73,X85,X92,X97)</f>
        <v>5880</v>
      </c>
      <c r="Y106" s="58">
        <f>Z106+AA106+AB106+AC106</f>
        <v>186674.3</v>
      </c>
      <c r="Z106" s="58">
        <f>Z20+Z25+Z29+Z49+Z54+Z57+Z61+Z66+Z69+Z73+Z85+Z92+Z97+Z102+Z105</f>
        <v>180794.3</v>
      </c>
      <c r="AA106" s="58">
        <f>SUM(AA20,AA25,AA29,AA49,AA54,AA57,AA61,AA66,AA69,AA73,AA85,AA92,AA97)</f>
        <v>0</v>
      </c>
      <c r="AB106" s="58">
        <f>SUM(AB20,AB25,AB29,AB49,AB54,AB57,AB61,AB66,AB69,AB73,AB85,AB92,AB97)</f>
        <v>0</v>
      </c>
      <c r="AC106" s="58">
        <f>SUM(AC20,AC25,AC29,AC49,AC54,AC57,AC61,AC66,AC69,AC73,AC85,AC92,AC97)</f>
        <v>5880</v>
      </c>
      <c r="AD106" s="58">
        <f>E106+J106+O106+T106+Y106</f>
        <v>701762.6</v>
      </c>
    </row>
    <row r="107" spans="1:30">
      <c r="E107" s="59"/>
      <c r="F107" s="59"/>
      <c r="G107" s="59"/>
      <c r="H107" s="59"/>
      <c r="I107" s="59"/>
      <c r="J107" s="59"/>
    </row>
    <row r="108" spans="1:30">
      <c r="A108" s="22" t="s">
        <v>202</v>
      </c>
      <c r="K108" s="60"/>
      <c r="L108" s="61"/>
      <c r="M108" s="61"/>
      <c r="N108" s="61"/>
      <c r="O108" s="61"/>
      <c r="P108" s="61"/>
      <c r="Q108" s="61"/>
      <c r="R108" s="61"/>
      <c r="S108" s="61"/>
      <c r="T108" s="61"/>
      <c r="U108" s="61"/>
      <c r="V108" s="61"/>
      <c r="W108" s="61"/>
    </row>
    <row r="109" spans="1:30" ht="18.75">
      <c r="B109" s="9"/>
      <c r="C109" s="9">
        <v>2020</v>
      </c>
      <c r="D109" s="9"/>
      <c r="J109" s="1">
        <v>2021</v>
      </c>
      <c r="O109" s="1">
        <v>2022</v>
      </c>
      <c r="T109" s="1">
        <v>2023</v>
      </c>
      <c r="Y109" s="1">
        <v>2024</v>
      </c>
    </row>
    <row r="110" spans="1:30" ht="142.5">
      <c r="A110" s="89" t="s">
        <v>201</v>
      </c>
      <c r="B110" s="10" t="s">
        <v>134</v>
      </c>
      <c r="C110" s="62">
        <f>E22+E25+E29+E51+E54+E57+E63+E66+E69+E75+E87+E97+E102</f>
        <v>99415</v>
      </c>
      <c r="D110" s="9"/>
      <c r="I110" s="1" t="s">
        <v>134</v>
      </c>
      <c r="J110" s="11">
        <f>K22+K25+K29+K51+K54+K57+K63+K66+K69+K75+K87+K97</f>
        <v>69558</v>
      </c>
      <c r="N110" s="1" t="s">
        <v>134</v>
      </c>
      <c r="O110" s="11">
        <f>P22+P25+P29+P51+P54+P57+P63+P66+P69+P75+P87+P97</f>
        <v>69558</v>
      </c>
      <c r="S110" s="1" t="s">
        <v>134</v>
      </c>
      <c r="T110" s="11">
        <f>T22+T25+T29+T51+T54+T57+T63+T66+T69+T75+T87+T97+T102</f>
        <v>113733.3</v>
      </c>
      <c r="X110" s="1" t="s">
        <v>134</v>
      </c>
      <c r="Y110" s="11">
        <f>Y22+Y25+Y29+Y51+Y54+Y57+Y63+Y66+Y69+Y75+Y87+Y97+Y102</f>
        <v>113743.3</v>
      </c>
      <c r="AC110" s="11">
        <f>C110+J110+O110+T110+Y110</f>
        <v>466007.6</v>
      </c>
    </row>
    <row r="111" spans="1:30" ht="18.75">
      <c r="B111" s="10" t="s">
        <v>137</v>
      </c>
      <c r="C111" s="62">
        <f>E50+E62+E74+E83+E92</f>
        <v>23644</v>
      </c>
      <c r="D111" s="9"/>
      <c r="I111" s="1" t="s">
        <v>137</v>
      </c>
      <c r="J111" s="11" t="e">
        <f>#REF!+J48+J62+J74+J86+J92</f>
        <v>#REF!</v>
      </c>
      <c r="N111" s="1" t="s">
        <v>137</v>
      </c>
      <c r="O111" s="11" t="e">
        <f>#REF!+O50+O62+O72+O92</f>
        <v>#REF!</v>
      </c>
      <c r="S111" s="1" t="s">
        <v>137</v>
      </c>
      <c r="T111" s="11" t="e">
        <f>#REF!+T50+T62+T74+T92</f>
        <v>#REF!</v>
      </c>
      <c r="X111" s="1" t="s">
        <v>137</v>
      </c>
      <c r="Y111" s="11" t="e">
        <f>#REF!+Y50+Y62+Y74+Y92</f>
        <v>#REF!</v>
      </c>
      <c r="AC111" s="11" t="e">
        <f>O111+T111+Y111+J111+C111</f>
        <v>#REF!</v>
      </c>
    </row>
    <row r="112" spans="1:30" ht="18.75">
      <c r="B112" s="10" t="s">
        <v>138</v>
      </c>
      <c r="C112" s="62">
        <f>E21+E105</f>
        <v>64775</v>
      </c>
      <c r="D112" s="9" t="s">
        <v>170</v>
      </c>
      <c r="I112" s="1" t="s">
        <v>140</v>
      </c>
      <c r="J112" s="11">
        <f>J21+J105</f>
        <v>0</v>
      </c>
      <c r="K112" s="1" t="s">
        <v>171</v>
      </c>
      <c r="N112" s="1" t="s">
        <v>140</v>
      </c>
      <c r="O112" s="11">
        <f>O21+O104</f>
        <v>0</v>
      </c>
      <c r="P112" s="1" t="s">
        <v>171</v>
      </c>
      <c r="S112" s="1" t="s">
        <v>140</v>
      </c>
      <c r="T112" s="11">
        <f>T21+T105</f>
        <v>72314</v>
      </c>
      <c r="U112" s="1" t="s">
        <v>171</v>
      </c>
      <c r="X112" s="1" t="s">
        <v>140</v>
      </c>
      <c r="Y112" s="11">
        <f>Y21+Y105</f>
        <v>72314</v>
      </c>
      <c r="Z112" s="1" t="s">
        <v>171</v>
      </c>
      <c r="AC112" s="11">
        <f>C112+J112+O112+T112+Y112</f>
        <v>209403</v>
      </c>
      <c r="AD112" s="1" t="s">
        <v>171</v>
      </c>
    </row>
    <row r="113" spans="2:30" ht="18.75">
      <c r="B113" s="9"/>
      <c r="C113" s="62">
        <f>F13+F14+F17+F105</f>
        <v>59398</v>
      </c>
      <c r="D113" s="9" t="s">
        <v>139</v>
      </c>
      <c r="J113" s="11">
        <f>K13+K14+K17+K18</f>
        <v>0</v>
      </c>
      <c r="K113" s="1" t="s">
        <v>172</v>
      </c>
      <c r="O113" s="11">
        <f>P21</f>
        <v>0</v>
      </c>
      <c r="P113" s="1" t="s">
        <v>172</v>
      </c>
      <c r="T113" s="11">
        <f>U21</f>
        <v>62492</v>
      </c>
      <c r="U113" s="1" t="s">
        <v>172</v>
      </c>
      <c r="Y113" s="11">
        <f>Z21</f>
        <v>62492</v>
      </c>
      <c r="Z113" s="1" t="s">
        <v>172</v>
      </c>
      <c r="AC113" s="11">
        <f>C113+J113+O113+T113+Y113</f>
        <v>184382</v>
      </c>
      <c r="AD113" s="1" t="s">
        <v>172</v>
      </c>
    </row>
    <row r="114" spans="2:30" ht="18.75">
      <c r="B114" s="10" t="s">
        <v>137</v>
      </c>
      <c r="C114" s="62">
        <f>E50+E62+E74+E92</f>
        <v>576</v>
      </c>
      <c r="D114" s="9"/>
      <c r="I114" s="1" t="s">
        <v>137</v>
      </c>
      <c r="J114" s="11">
        <f>K50+K62+K74+K92</f>
        <v>618</v>
      </c>
      <c r="K114" s="11"/>
      <c r="N114" s="1" t="s">
        <v>137</v>
      </c>
      <c r="O114" s="11">
        <f>P50+P62+P74+P92</f>
        <v>618</v>
      </c>
      <c r="S114" s="1" t="s">
        <v>137</v>
      </c>
      <c r="T114" s="11">
        <f>T50+T62+T74+T92</f>
        <v>617</v>
      </c>
      <c r="X114" s="1" t="s">
        <v>173</v>
      </c>
      <c r="Y114" s="11">
        <f>Y50+Y62+Y74+Y92</f>
        <v>617</v>
      </c>
      <c r="AC114" s="11">
        <f>C114+J114+O114+T114+Y114</f>
        <v>3046</v>
      </c>
    </row>
    <row r="115" spans="2:30" ht="18.75">
      <c r="B115" s="9"/>
      <c r="C115" s="62">
        <f>C110+C113+C114</f>
        <v>159389</v>
      </c>
      <c r="D115" s="9"/>
      <c r="J115" s="11"/>
      <c r="O115" s="11"/>
      <c r="T115" s="11">
        <f>T110+T112+T114</f>
        <v>186664.3</v>
      </c>
      <c r="Y115" s="11">
        <f>Y110+Y112+Y114</f>
        <v>186674.3</v>
      </c>
      <c r="AC115" s="11">
        <f>C115+J115+O115+T115+Y115</f>
        <v>532727.6</v>
      </c>
    </row>
    <row r="116" spans="2:30" ht="18.75">
      <c r="B116" s="9"/>
      <c r="C116" s="62">
        <f>C115+23068</f>
        <v>182457</v>
      </c>
      <c r="D116" s="9"/>
      <c r="J116" s="11"/>
      <c r="O116" s="11"/>
      <c r="T116" s="11"/>
      <c r="Y116" s="11"/>
    </row>
    <row r="117" spans="2:30" ht="18.75">
      <c r="B117" s="9"/>
      <c r="C117" s="9"/>
      <c r="D117" s="9"/>
    </row>
    <row r="118" spans="2:30">
      <c r="B118" s="76" t="s">
        <v>195</v>
      </c>
      <c r="C118" s="11">
        <f>I106+N106+S106+X106+AC106</f>
        <v>17137</v>
      </c>
    </row>
    <row r="119" spans="2:30">
      <c r="B119" s="77" t="s">
        <v>196</v>
      </c>
      <c r="C119" s="11">
        <f>F106+K106+P106+U106+Z106</f>
        <v>638659.6</v>
      </c>
    </row>
    <row r="120" spans="2:30">
      <c r="B120" s="77" t="s">
        <v>197</v>
      </c>
      <c r="C120" s="11">
        <f>G106+L106+Q106+V106+AA106</f>
        <v>45966</v>
      </c>
    </row>
    <row r="121" spans="2:30">
      <c r="C121" s="11">
        <f>C118+C119+C120</f>
        <v>701762.6</v>
      </c>
      <c r="AC121" s="11">
        <f>AC115-865014</f>
        <v>-332286.40000000002</v>
      </c>
    </row>
    <row r="123" spans="2:30">
      <c r="B123" s="11">
        <f>127165-F106</f>
        <v>-9564.0000000000291</v>
      </c>
    </row>
    <row r="125" spans="2:30">
      <c r="Y125" s="63">
        <f>973249000-19710000-88655000</f>
        <v>864884000</v>
      </c>
    </row>
    <row r="128" spans="2:30">
      <c r="D128" s="63"/>
      <c r="E128" s="63"/>
    </row>
    <row r="129" spans="4:5">
      <c r="D129" s="63"/>
      <c r="E129" s="63"/>
    </row>
    <row r="134" spans="4:5">
      <c r="D134" s="11">
        <f>G106+L106+Q106+V106+AA106</f>
        <v>45966</v>
      </c>
    </row>
  </sheetData>
  <mergeCells count="51">
    <mergeCell ref="B98:AD98"/>
    <mergeCell ref="A102:C102"/>
    <mergeCell ref="B103:AD103"/>
    <mergeCell ref="A106:C106"/>
    <mergeCell ref="B76:AD76"/>
    <mergeCell ref="B88:AD88"/>
    <mergeCell ref="C89:C91"/>
    <mergeCell ref="A92:C92"/>
    <mergeCell ref="B93:AD93"/>
    <mergeCell ref="C94:C96"/>
    <mergeCell ref="A97:C97"/>
    <mergeCell ref="A73:C73"/>
    <mergeCell ref="B52:AD52"/>
    <mergeCell ref="A54:C54"/>
    <mergeCell ref="B55:AD55"/>
    <mergeCell ref="A57:C57"/>
    <mergeCell ref="B58:AD58"/>
    <mergeCell ref="A61:C61"/>
    <mergeCell ref="B64:AD64"/>
    <mergeCell ref="A66:C66"/>
    <mergeCell ref="B67:AD67"/>
    <mergeCell ref="A69:C69"/>
    <mergeCell ref="B70:AD70"/>
    <mergeCell ref="A49:C49"/>
    <mergeCell ref="C15:C16"/>
    <mergeCell ref="A20:C20"/>
    <mergeCell ref="B23:AD23"/>
    <mergeCell ref="A25:C25"/>
    <mergeCell ref="B26:AD26"/>
    <mergeCell ref="C27:C28"/>
    <mergeCell ref="A29:C29"/>
    <mergeCell ref="B30:AD30"/>
    <mergeCell ref="C31:C35"/>
    <mergeCell ref="C38:C39"/>
    <mergeCell ref="C41:C45"/>
    <mergeCell ref="C13:C14"/>
    <mergeCell ref="K3:AD3"/>
    <mergeCell ref="A5:AD5"/>
    <mergeCell ref="A7:A9"/>
    <mergeCell ref="B7:B9"/>
    <mergeCell ref="C7:C9"/>
    <mergeCell ref="D7:D9"/>
    <mergeCell ref="E7:AD7"/>
    <mergeCell ref="E8:I8"/>
    <mergeCell ref="J8:N8"/>
    <mergeCell ref="O8:S8"/>
    <mergeCell ref="T8:X8"/>
    <mergeCell ref="Y8:AC8"/>
    <mergeCell ref="AD8:AD9"/>
    <mergeCell ref="A11:AD11"/>
    <mergeCell ref="B12:AD12"/>
  </mergeCells>
  <pageMargins left="0.7" right="0.7" top="0.75" bottom="0.75" header="0.3" footer="0.3"/>
  <pageSetup paperSize="9" scale="31" orientation="landscape" r:id="rId1"/>
  <rowBreaks count="1" manualBreakCount="1">
    <brk id="107" max="16383" man="1"/>
  </rowBreaks>
  <colBreaks count="1" manualBreakCount="1">
    <brk id="30" max="1048575" man="1"/>
  </colBreaks>
  <legacyDrawing r:id="rId2"/>
</worksheet>
</file>

<file path=xl/worksheets/sheet3.xml><?xml version="1.0" encoding="utf-8"?>
<worksheet xmlns="http://schemas.openxmlformats.org/spreadsheetml/2006/main" xmlns:r="http://schemas.openxmlformats.org/officeDocument/2006/relationships">
  <dimension ref="A1:AI113"/>
  <sheetViews>
    <sheetView view="pageBreakPreview" zoomScale="50" zoomScaleSheetLayoutView="50" workbookViewId="0">
      <pane xSplit="8" ySplit="13" topLeftCell="I32" activePane="bottomRight" state="frozen"/>
      <selection pane="topRight" activeCell="I1" sqref="I1"/>
      <selection pane="bottomLeft" activeCell="A14" sqref="A14"/>
      <selection pane="bottomRight" activeCell="E85" sqref="E85"/>
    </sheetView>
  </sheetViews>
  <sheetFormatPr defaultRowHeight="18.75"/>
  <cols>
    <col min="1" max="1" width="6.140625" style="129" customWidth="1"/>
    <col min="2" max="2" width="109.28515625" style="9" customWidth="1"/>
    <col min="3" max="3" width="29" style="9" customWidth="1"/>
    <col min="4" max="4" width="31.42578125" style="9" customWidth="1"/>
    <col min="5" max="5" width="16.42578125" style="9" customWidth="1"/>
    <col min="6" max="6" width="15.7109375" style="9" customWidth="1"/>
    <col min="7" max="7" width="16.140625" style="9" customWidth="1"/>
    <col min="8" max="8" width="6.7109375" style="9" customWidth="1"/>
    <col min="9" max="9" width="15" style="9" customWidth="1"/>
    <col min="10" max="10" width="17.85546875" style="9" customWidth="1"/>
    <col min="11" max="11" width="13.28515625" style="9" customWidth="1"/>
    <col min="12" max="12" width="11.5703125" style="9" customWidth="1"/>
    <col min="13" max="13" width="5.28515625" style="9" customWidth="1"/>
    <col min="14" max="14" width="9.7109375" style="9" customWidth="1"/>
    <col min="15" max="15" width="17.140625" style="9" customWidth="1"/>
    <col min="16" max="16" width="13" style="9" customWidth="1"/>
    <col min="17" max="18" width="9.7109375" style="9" customWidth="1"/>
    <col min="19" max="19" width="13" style="9" customWidth="1"/>
    <col min="20" max="20" width="14.140625" style="9" customWidth="1"/>
    <col min="21" max="21" width="12.7109375" style="9" customWidth="1"/>
    <col min="22" max="22" width="11.85546875" style="9" customWidth="1"/>
    <col min="23" max="23" width="6.140625" style="9" customWidth="1"/>
    <col min="24" max="24" width="9.7109375" style="9" customWidth="1"/>
    <col min="25" max="25" width="15.28515625" style="9" customWidth="1"/>
    <col min="26" max="26" width="14.5703125" style="9" customWidth="1"/>
    <col min="27" max="28" width="9.7109375" style="9" customWidth="1"/>
    <col min="29" max="29" width="14.28515625" style="9" customWidth="1"/>
    <col min="30" max="30" width="13.140625" style="9" customWidth="1"/>
    <col min="31" max="16384" width="9.140625" style="130"/>
  </cols>
  <sheetData>
    <row r="1" spans="1:30">
      <c r="Z1" s="9" t="s">
        <v>260</v>
      </c>
    </row>
    <row r="2" spans="1:30">
      <c r="Z2" s="9" t="s">
        <v>261</v>
      </c>
    </row>
    <row r="3" spans="1:30">
      <c r="L3" s="193"/>
      <c r="M3" s="193"/>
      <c r="N3" s="193"/>
      <c r="O3" s="193"/>
      <c r="P3" s="193"/>
      <c r="Q3" s="193"/>
      <c r="R3" s="193"/>
      <c r="S3" s="193"/>
      <c r="T3" s="193"/>
      <c r="U3" s="193"/>
      <c r="V3" s="193"/>
      <c r="W3" s="193"/>
      <c r="X3" s="193"/>
      <c r="Y3" s="193"/>
      <c r="Z3" s="577" t="s">
        <v>262</v>
      </c>
      <c r="AA3" s="577"/>
      <c r="AB3" s="577"/>
      <c r="AC3" s="577"/>
      <c r="AD3" s="577"/>
    </row>
    <row r="4" spans="1:30" ht="41.25" customHeight="1">
      <c r="V4" s="595" t="s">
        <v>272</v>
      </c>
      <c r="W4" s="595"/>
      <c r="X4" s="595"/>
      <c r="Y4" s="595"/>
      <c r="Z4" s="595"/>
      <c r="AA4" s="595"/>
      <c r="AB4" s="595"/>
      <c r="AC4" s="595"/>
      <c r="AD4" s="595"/>
    </row>
    <row r="5" spans="1:30">
      <c r="A5" s="547" t="s">
        <v>0</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row>
    <row r="7" spans="1:30" ht="19.5">
      <c r="A7" s="580" t="s">
        <v>1</v>
      </c>
      <c r="B7" s="580" t="s">
        <v>219</v>
      </c>
      <c r="C7" s="580" t="s">
        <v>2</v>
      </c>
      <c r="D7" s="596" t="s">
        <v>3</v>
      </c>
      <c r="E7" s="599" t="s">
        <v>220</v>
      </c>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row>
    <row r="8" spans="1:30">
      <c r="A8" s="580"/>
      <c r="B8" s="580"/>
      <c r="C8" s="580"/>
      <c r="D8" s="597"/>
      <c r="E8" s="580" t="s">
        <v>88</v>
      </c>
      <c r="F8" s="580"/>
      <c r="G8" s="580"/>
      <c r="H8" s="580"/>
      <c r="I8" s="580"/>
      <c r="J8" s="580" t="s">
        <v>89</v>
      </c>
      <c r="K8" s="580"/>
      <c r="L8" s="580"/>
      <c r="M8" s="580"/>
      <c r="N8" s="580"/>
      <c r="O8" s="580" t="s">
        <v>90</v>
      </c>
      <c r="P8" s="580"/>
      <c r="Q8" s="580"/>
      <c r="R8" s="580"/>
      <c r="S8" s="580"/>
      <c r="T8" s="580" t="s">
        <v>91</v>
      </c>
      <c r="U8" s="580"/>
      <c r="V8" s="580"/>
      <c r="W8" s="580"/>
      <c r="X8" s="580"/>
      <c r="Y8" s="580" t="s">
        <v>92</v>
      </c>
      <c r="Z8" s="580"/>
      <c r="AA8" s="580"/>
      <c r="AB8" s="580"/>
      <c r="AC8" s="580"/>
      <c r="AD8" s="580" t="s">
        <v>5</v>
      </c>
    </row>
    <row r="9" spans="1:30" ht="152.25">
      <c r="A9" s="580"/>
      <c r="B9" s="580"/>
      <c r="C9" s="580"/>
      <c r="D9" s="598"/>
      <c r="E9" s="194" t="s">
        <v>6</v>
      </c>
      <c r="F9" s="132" t="s">
        <v>7</v>
      </c>
      <c r="G9" s="132" t="s">
        <v>8</v>
      </c>
      <c r="H9" s="132" t="s">
        <v>9</v>
      </c>
      <c r="I9" s="133" t="s">
        <v>10</v>
      </c>
      <c r="J9" s="131" t="s">
        <v>6</v>
      </c>
      <c r="K9" s="132" t="s">
        <v>7</v>
      </c>
      <c r="L9" s="132" t="s">
        <v>8</v>
      </c>
      <c r="M9" s="132" t="s">
        <v>9</v>
      </c>
      <c r="N9" s="133" t="s">
        <v>10</v>
      </c>
      <c r="O9" s="131" t="s">
        <v>6</v>
      </c>
      <c r="P9" s="132" t="s">
        <v>7</v>
      </c>
      <c r="Q9" s="132" t="s">
        <v>8</v>
      </c>
      <c r="R9" s="132" t="s">
        <v>9</v>
      </c>
      <c r="S9" s="133" t="s">
        <v>10</v>
      </c>
      <c r="T9" s="131" t="s">
        <v>6</v>
      </c>
      <c r="U9" s="132" t="s">
        <v>7</v>
      </c>
      <c r="V9" s="132" t="s">
        <v>8</v>
      </c>
      <c r="W9" s="132" t="s">
        <v>9</v>
      </c>
      <c r="X9" s="133" t="s">
        <v>10</v>
      </c>
      <c r="Y9" s="131" t="s">
        <v>6</v>
      </c>
      <c r="Z9" s="132" t="s">
        <v>7</v>
      </c>
      <c r="AA9" s="132" t="s">
        <v>8</v>
      </c>
      <c r="AB9" s="132" t="s">
        <v>9</v>
      </c>
      <c r="AC9" s="133" t="s">
        <v>10</v>
      </c>
      <c r="AD9" s="580"/>
    </row>
    <row r="10" spans="1:30">
      <c r="A10" s="134">
        <v>1</v>
      </c>
      <c r="B10" s="134">
        <v>2</v>
      </c>
      <c r="C10" s="134">
        <v>3</v>
      </c>
      <c r="D10" s="134">
        <v>4</v>
      </c>
      <c r="E10" s="134">
        <v>5</v>
      </c>
      <c r="F10" s="134">
        <v>6</v>
      </c>
      <c r="G10" s="134">
        <v>7</v>
      </c>
      <c r="H10" s="134">
        <v>8</v>
      </c>
      <c r="I10" s="134">
        <v>9</v>
      </c>
      <c r="J10" s="134">
        <v>10</v>
      </c>
      <c r="K10" s="134">
        <v>11</v>
      </c>
      <c r="L10" s="134">
        <v>12</v>
      </c>
      <c r="M10" s="134">
        <v>13</v>
      </c>
      <c r="N10" s="134">
        <v>14</v>
      </c>
      <c r="O10" s="134">
        <v>15</v>
      </c>
      <c r="P10" s="134">
        <v>16</v>
      </c>
      <c r="Q10" s="134">
        <v>17</v>
      </c>
      <c r="R10" s="134">
        <v>18</v>
      </c>
      <c r="S10" s="134">
        <v>19</v>
      </c>
      <c r="T10" s="134">
        <v>20</v>
      </c>
      <c r="U10" s="134">
        <v>21</v>
      </c>
      <c r="V10" s="134">
        <v>22</v>
      </c>
      <c r="W10" s="134">
        <v>23</v>
      </c>
      <c r="X10" s="134">
        <v>24</v>
      </c>
      <c r="Y10" s="134">
        <v>25</v>
      </c>
      <c r="Z10" s="134">
        <v>26</v>
      </c>
      <c r="AA10" s="134">
        <v>27</v>
      </c>
      <c r="AB10" s="134">
        <v>28</v>
      </c>
      <c r="AC10" s="134">
        <v>29</v>
      </c>
      <c r="AD10" s="134">
        <v>30</v>
      </c>
    </row>
    <row r="11" spans="1:30">
      <c r="A11" s="541" t="s">
        <v>86</v>
      </c>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3"/>
    </row>
    <row r="12" spans="1:30" ht="23.25">
      <c r="A12" s="25" t="s">
        <v>221</v>
      </c>
      <c r="B12" s="581" t="s">
        <v>225</v>
      </c>
      <c r="C12" s="582"/>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4"/>
    </row>
    <row r="13" spans="1:30" ht="162.75">
      <c r="A13" s="135" t="s">
        <v>12</v>
      </c>
      <c r="B13" s="173" t="s">
        <v>81</v>
      </c>
      <c r="C13" s="585" t="s">
        <v>14</v>
      </c>
      <c r="D13" s="172" t="s">
        <v>93</v>
      </c>
      <c r="E13" s="176">
        <f>SUM(F13:I13)</f>
        <v>28350</v>
      </c>
      <c r="F13" s="176">
        <f>43350-15000</f>
        <v>28350</v>
      </c>
      <c r="G13" s="176">
        <v>0</v>
      </c>
      <c r="H13" s="176">
        <v>0</v>
      </c>
      <c r="I13" s="176">
        <v>0</v>
      </c>
      <c r="J13" s="177">
        <v>0</v>
      </c>
      <c r="K13" s="177">
        <v>0</v>
      </c>
      <c r="L13" s="177">
        <v>0</v>
      </c>
      <c r="M13" s="137">
        <v>0</v>
      </c>
      <c r="N13" s="137">
        <v>0</v>
      </c>
      <c r="O13" s="137">
        <v>0</v>
      </c>
      <c r="P13" s="137">
        <v>0</v>
      </c>
      <c r="Q13" s="137">
        <v>0</v>
      </c>
      <c r="R13" s="137">
        <v>0</v>
      </c>
      <c r="S13" s="137">
        <v>0</v>
      </c>
      <c r="T13" s="137">
        <f>U13+V13+W13+X13</f>
        <v>46425</v>
      </c>
      <c r="U13" s="137">
        <v>46425</v>
      </c>
      <c r="V13" s="137">
        <v>0</v>
      </c>
      <c r="W13" s="137">
        <v>0</v>
      </c>
      <c r="X13" s="137">
        <v>0</v>
      </c>
      <c r="Y13" s="137">
        <f>Z13+AA13+AB13+AC13</f>
        <v>46425</v>
      </c>
      <c r="Z13" s="137">
        <v>46425</v>
      </c>
      <c r="AA13" s="137">
        <v>0</v>
      </c>
      <c r="AB13" s="137">
        <v>0</v>
      </c>
      <c r="AC13" s="137">
        <v>0</v>
      </c>
      <c r="AD13" s="138">
        <f t="shared" ref="AD13:AD18" si="0">E13+J13+O13+T13+Y13</f>
        <v>121200</v>
      </c>
    </row>
    <row r="14" spans="1:30" ht="186">
      <c r="A14" s="135" t="s">
        <v>13</v>
      </c>
      <c r="B14" s="174" t="s">
        <v>268</v>
      </c>
      <c r="C14" s="586"/>
      <c r="D14" s="172" t="s">
        <v>93</v>
      </c>
      <c r="E14" s="196">
        <f>SUM(F14:I14)</f>
        <v>7359</v>
      </c>
      <c r="F14" s="196">
        <f>12748-5387-2060</f>
        <v>5301</v>
      </c>
      <c r="G14" s="196">
        <v>0</v>
      </c>
      <c r="H14" s="196">
        <v>0</v>
      </c>
      <c r="I14" s="196">
        <f>4602-2544</f>
        <v>2058</v>
      </c>
      <c r="J14" s="177">
        <v>0</v>
      </c>
      <c r="K14" s="177">
        <v>0</v>
      </c>
      <c r="L14" s="177">
        <v>0</v>
      </c>
      <c r="M14" s="137">
        <v>0</v>
      </c>
      <c r="N14" s="137">
        <v>0</v>
      </c>
      <c r="O14" s="137">
        <v>0</v>
      </c>
      <c r="P14" s="137">
        <v>0</v>
      </c>
      <c r="Q14" s="137">
        <v>0</v>
      </c>
      <c r="R14" s="137">
        <v>0</v>
      </c>
      <c r="S14" s="137">
        <v>0</v>
      </c>
      <c r="T14" s="137">
        <f>U14+V14+W14+X14</f>
        <v>19038</v>
      </c>
      <c r="U14" s="137">
        <v>13655</v>
      </c>
      <c r="V14" s="137">
        <v>0</v>
      </c>
      <c r="W14" s="137">
        <v>0</v>
      </c>
      <c r="X14" s="137">
        <v>5383</v>
      </c>
      <c r="Y14" s="137">
        <f>Z14+AA14+AB14+AC14</f>
        <v>19038</v>
      </c>
      <c r="Z14" s="137">
        <v>13655</v>
      </c>
      <c r="AA14" s="137">
        <v>0</v>
      </c>
      <c r="AB14" s="137">
        <v>0</v>
      </c>
      <c r="AC14" s="137">
        <v>5383</v>
      </c>
      <c r="AD14" s="138">
        <f t="shared" si="0"/>
        <v>45435</v>
      </c>
    </row>
    <row r="15" spans="1:30" ht="139.5">
      <c r="A15" s="135" t="s">
        <v>15</v>
      </c>
      <c r="B15" s="191" t="s">
        <v>117</v>
      </c>
      <c r="C15" s="171" t="s">
        <v>218</v>
      </c>
      <c r="D15" s="25" t="s">
        <v>93</v>
      </c>
      <c r="E15" s="176">
        <f>F15+G15+H15+I15</f>
        <v>8260</v>
      </c>
      <c r="F15" s="176">
        <f>8260</f>
        <v>8260</v>
      </c>
      <c r="G15" s="176">
        <v>0</v>
      </c>
      <c r="H15" s="176">
        <v>0</v>
      </c>
      <c r="I15" s="176">
        <v>0</v>
      </c>
      <c r="J15" s="178">
        <f>K15+L15+M15+N15</f>
        <v>8260</v>
      </c>
      <c r="K15" s="178">
        <v>8260</v>
      </c>
      <c r="L15" s="178">
        <v>0</v>
      </c>
      <c r="M15" s="142">
        <v>0</v>
      </c>
      <c r="N15" s="142">
        <v>0</v>
      </c>
      <c r="O15" s="137">
        <v>8260</v>
      </c>
      <c r="P15" s="137">
        <v>8260</v>
      </c>
      <c r="Q15" s="137">
        <v>0</v>
      </c>
      <c r="R15" s="137">
        <v>0</v>
      </c>
      <c r="S15" s="137">
        <v>0</v>
      </c>
      <c r="T15" s="137">
        <v>12655.3</v>
      </c>
      <c r="U15" s="137">
        <v>12655.3</v>
      </c>
      <c r="V15" s="137">
        <v>0</v>
      </c>
      <c r="W15" s="137">
        <v>0</v>
      </c>
      <c r="X15" s="137">
        <v>0</v>
      </c>
      <c r="Y15" s="137">
        <v>12655.3</v>
      </c>
      <c r="Z15" s="137">
        <v>12655.3</v>
      </c>
      <c r="AA15" s="137">
        <v>0</v>
      </c>
      <c r="AB15" s="137">
        <v>0</v>
      </c>
      <c r="AC15" s="137">
        <v>0</v>
      </c>
      <c r="AD15" s="138">
        <f t="shared" si="0"/>
        <v>50090.600000000006</v>
      </c>
    </row>
    <row r="16" spans="1:30" ht="116.25">
      <c r="A16" s="135" t="s">
        <v>16</v>
      </c>
      <c r="B16" s="175" t="s">
        <v>270</v>
      </c>
      <c r="C16" s="139" t="s">
        <v>14</v>
      </c>
      <c r="D16" s="25" t="s">
        <v>93</v>
      </c>
      <c r="E16" s="176">
        <f>F16+G16+H16+I16</f>
        <v>586.36999999999978</v>
      </c>
      <c r="F16" s="176">
        <f>3300-2825.3</f>
        <v>474.69999999999982</v>
      </c>
      <c r="G16" s="176">
        <v>0</v>
      </c>
      <c r="H16" s="176">
        <v>0</v>
      </c>
      <c r="I16" s="176">
        <f>775-663.33</f>
        <v>111.66999999999996</v>
      </c>
      <c r="J16" s="176">
        <v>0</v>
      </c>
      <c r="K16" s="177">
        <v>0</v>
      </c>
      <c r="L16" s="177">
        <v>0</v>
      </c>
      <c r="M16" s="137">
        <v>0</v>
      </c>
      <c r="N16" s="137">
        <v>0</v>
      </c>
      <c r="O16" s="137">
        <v>0</v>
      </c>
      <c r="P16" s="137">
        <v>0</v>
      </c>
      <c r="Q16" s="137">
        <v>0</v>
      </c>
      <c r="R16" s="137">
        <v>0</v>
      </c>
      <c r="S16" s="137">
        <v>0</v>
      </c>
      <c r="T16" s="137">
        <f>U16+V16+W16+X16</f>
        <v>2909</v>
      </c>
      <c r="U16" s="137">
        <v>2412</v>
      </c>
      <c r="V16" s="137">
        <v>0</v>
      </c>
      <c r="W16" s="137">
        <v>0</v>
      </c>
      <c r="X16" s="137">
        <v>497</v>
      </c>
      <c r="Y16" s="137">
        <f>Z16+AA16+AB16+AC16</f>
        <v>2909</v>
      </c>
      <c r="Z16" s="137">
        <v>2412</v>
      </c>
      <c r="AA16" s="137">
        <v>0</v>
      </c>
      <c r="AB16" s="137">
        <v>0</v>
      </c>
      <c r="AC16" s="137">
        <v>497</v>
      </c>
      <c r="AD16" s="138">
        <f t="shared" si="0"/>
        <v>6404.37</v>
      </c>
    </row>
    <row r="17" spans="1:31" ht="75">
      <c r="A17" s="135" t="s">
        <v>17</v>
      </c>
      <c r="B17" s="175" t="s">
        <v>210</v>
      </c>
      <c r="C17" s="140" t="s">
        <v>94</v>
      </c>
      <c r="D17" s="141" t="s">
        <v>164</v>
      </c>
      <c r="E17" s="178">
        <f t="shared" ref="E17:E22" si="1">F17+G17+H17+I17</f>
        <v>1192</v>
      </c>
      <c r="F17" s="178">
        <v>1192</v>
      </c>
      <c r="G17" s="178">
        <v>0</v>
      </c>
      <c r="H17" s="178">
        <v>0</v>
      </c>
      <c r="I17" s="178">
        <v>0</v>
      </c>
      <c r="J17" s="178">
        <f t="shared" ref="J17:J22" si="2">K17+L17+M17+N17</f>
        <v>1192</v>
      </c>
      <c r="K17" s="178">
        <v>1192</v>
      </c>
      <c r="L17" s="178">
        <v>0</v>
      </c>
      <c r="M17" s="142">
        <v>0</v>
      </c>
      <c r="N17" s="142">
        <v>0</v>
      </c>
      <c r="O17" s="137">
        <v>1192</v>
      </c>
      <c r="P17" s="137">
        <v>1192</v>
      </c>
      <c r="Q17" s="137">
        <v>0</v>
      </c>
      <c r="R17" s="137">
        <v>0</v>
      </c>
      <c r="S17" s="137">
        <v>0</v>
      </c>
      <c r="T17" s="137">
        <f>U17+V17+W17+X17</f>
        <v>1290</v>
      </c>
      <c r="U17" s="137">
        <v>1290</v>
      </c>
      <c r="V17" s="137">
        <v>0</v>
      </c>
      <c r="W17" s="137">
        <v>0</v>
      </c>
      <c r="X17" s="137">
        <v>0</v>
      </c>
      <c r="Y17" s="137">
        <f>Z17+AA17+AB17+AC17</f>
        <v>1290</v>
      </c>
      <c r="Z17" s="137">
        <v>1290</v>
      </c>
      <c r="AA17" s="137">
        <v>0</v>
      </c>
      <c r="AB17" s="137">
        <v>0</v>
      </c>
      <c r="AC17" s="137">
        <v>0</v>
      </c>
      <c r="AD17" s="137">
        <f t="shared" si="0"/>
        <v>6156</v>
      </c>
    </row>
    <row r="18" spans="1:31" ht="75">
      <c r="A18" s="135" t="s">
        <v>163</v>
      </c>
      <c r="B18" s="175" t="s">
        <v>121</v>
      </c>
      <c r="C18" s="140" t="s">
        <v>94</v>
      </c>
      <c r="D18" s="141" t="s">
        <v>164</v>
      </c>
      <c r="E18" s="178">
        <f t="shared" si="1"/>
        <v>6060</v>
      </c>
      <c r="F18" s="178">
        <f>6183-123</f>
        <v>6060</v>
      </c>
      <c r="G18" s="178">
        <v>0</v>
      </c>
      <c r="H18" s="178">
        <v>0</v>
      </c>
      <c r="I18" s="178">
        <v>0</v>
      </c>
      <c r="J18" s="178">
        <f t="shared" si="2"/>
        <v>6213</v>
      </c>
      <c r="K18" s="178">
        <v>6213</v>
      </c>
      <c r="L18" s="178">
        <v>0</v>
      </c>
      <c r="M18" s="142">
        <v>0</v>
      </c>
      <c r="N18" s="142">
        <v>0</v>
      </c>
      <c r="O18" s="137">
        <v>6213</v>
      </c>
      <c r="P18" s="137">
        <v>6213</v>
      </c>
      <c r="Q18" s="137">
        <v>0</v>
      </c>
      <c r="R18" s="137">
        <v>0</v>
      </c>
      <c r="S18" s="137">
        <v>0</v>
      </c>
      <c r="T18" s="137">
        <v>6150</v>
      </c>
      <c r="U18" s="137">
        <v>6150</v>
      </c>
      <c r="V18" s="137">
        <v>0</v>
      </c>
      <c r="W18" s="137">
        <v>0</v>
      </c>
      <c r="X18" s="137">
        <v>0</v>
      </c>
      <c r="Y18" s="137">
        <v>6150</v>
      </c>
      <c r="Z18" s="137">
        <v>6150</v>
      </c>
      <c r="AA18" s="137">
        <v>0</v>
      </c>
      <c r="AB18" s="137">
        <v>0</v>
      </c>
      <c r="AC18" s="137">
        <v>0</v>
      </c>
      <c r="AD18" s="137">
        <f t="shared" si="0"/>
        <v>30786</v>
      </c>
    </row>
    <row r="19" spans="1:31" ht="75">
      <c r="A19" s="135" t="s">
        <v>182</v>
      </c>
      <c r="B19" s="170" t="s">
        <v>124</v>
      </c>
      <c r="C19" s="140" t="s">
        <v>94</v>
      </c>
      <c r="D19" s="141" t="s">
        <v>164</v>
      </c>
      <c r="E19" s="178">
        <f t="shared" si="1"/>
        <v>785</v>
      </c>
      <c r="F19" s="178">
        <v>785</v>
      </c>
      <c r="G19" s="178">
        <v>0</v>
      </c>
      <c r="H19" s="178">
        <v>0</v>
      </c>
      <c r="I19" s="178">
        <v>0</v>
      </c>
      <c r="J19" s="178">
        <f t="shared" si="2"/>
        <v>785</v>
      </c>
      <c r="K19" s="178">
        <v>785</v>
      </c>
      <c r="L19" s="178">
        <v>0</v>
      </c>
      <c r="M19" s="142">
        <v>0</v>
      </c>
      <c r="N19" s="142">
        <v>0</v>
      </c>
      <c r="O19" s="137">
        <v>785</v>
      </c>
      <c r="P19" s="137">
        <v>785</v>
      </c>
      <c r="Q19" s="137">
        <v>0</v>
      </c>
      <c r="R19" s="137">
        <v>0</v>
      </c>
      <c r="S19" s="137">
        <v>0</v>
      </c>
      <c r="T19" s="137">
        <v>940</v>
      </c>
      <c r="U19" s="137">
        <v>940</v>
      </c>
      <c r="V19" s="137">
        <v>0</v>
      </c>
      <c r="W19" s="137">
        <v>0</v>
      </c>
      <c r="X19" s="137">
        <v>0</v>
      </c>
      <c r="Y19" s="137">
        <v>950</v>
      </c>
      <c r="Z19" s="137">
        <v>950</v>
      </c>
      <c r="AA19" s="137">
        <v>0</v>
      </c>
      <c r="AB19" s="137">
        <v>0</v>
      </c>
      <c r="AC19" s="137">
        <v>0</v>
      </c>
      <c r="AD19" s="137">
        <v>4245</v>
      </c>
    </row>
    <row r="20" spans="1:31" ht="75">
      <c r="A20" s="135" t="s">
        <v>208</v>
      </c>
      <c r="B20" s="170" t="s">
        <v>126</v>
      </c>
      <c r="C20" s="140" t="s">
        <v>94</v>
      </c>
      <c r="D20" s="141" t="s">
        <v>164</v>
      </c>
      <c r="E20" s="178">
        <f t="shared" si="1"/>
        <v>110</v>
      </c>
      <c r="F20" s="178">
        <v>110</v>
      </c>
      <c r="G20" s="178">
        <v>0</v>
      </c>
      <c r="H20" s="178">
        <v>0</v>
      </c>
      <c r="I20" s="178">
        <v>0</v>
      </c>
      <c r="J20" s="178">
        <f t="shared" si="2"/>
        <v>110</v>
      </c>
      <c r="K20" s="178">
        <v>110</v>
      </c>
      <c r="L20" s="178">
        <v>0</v>
      </c>
      <c r="M20" s="142">
        <v>0</v>
      </c>
      <c r="N20" s="142">
        <v>0</v>
      </c>
      <c r="O20" s="137">
        <v>110</v>
      </c>
      <c r="P20" s="137">
        <v>110</v>
      </c>
      <c r="Q20" s="137">
        <v>0</v>
      </c>
      <c r="R20" s="137">
        <v>0</v>
      </c>
      <c r="S20" s="137">
        <v>0</v>
      </c>
      <c r="T20" s="137">
        <v>140</v>
      </c>
      <c r="U20" s="137">
        <v>140</v>
      </c>
      <c r="V20" s="137">
        <v>0</v>
      </c>
      <c r="W20" s="137">
        <v>0</v>
      </c>
      <c r="X20" s="137">
        <v>0</v>
      </c>
      <c r="Y20" s="137">
        <v>140</v>
      </c>
      <c r="Z20" s="137">
        <v>140</v>
      </c>
      <c r="AA20" s="137">
        <v>0</v>
      </c>
      <c r="AB20" s="137">
        <v>0</v>
      </c>
      <c r="AC20" s="137">
        <v>0</v>
      </c>
      <c r="AD20" s="137">
        <f t="shared" ref="AD20:AD26" si="3">E20+J20+O20+T20+Y20</f>
        <v>610</v>
      </c>
    </row>
    <row r="21" spans="1:31" ht="93">
      <c r="A21" s="135" t="s">
        <v>211</v>
      </c>
      <c r="B21" s="170" t="s">
        <v>122</v>
      </c>
      <c r="C21" s="140" t="s">
        <v>94</v>
      </c>
      <c r="D21" s="141" t="s">
        <v>164</v>
      </c>
      <c r="E21" s="178">
        <f t="shared" si="1"/>
        <v>53</v>
      </c>
      <c r="F21" s="178">
        <v>53</v>
      </c>
      <c r="G21" s="178">
        <v>0</v>
      </c>
      <c r="H21" s="178">
        <v>0</v>
      </c>
      <c r="I21" s="178">
        <v>0</v>
      </c>
      <c r="J21" s="178">
        <f t="shared" si="2"/>
        <v>53</v>
      </c>
      <c r="K21" s="178">
        <v>53</v>
      </c>
      <c r="L21" s="178">
        <v>0</v>
      </c>
      <c r="M21" s="142">
        <v>0</v>
      </c>
      <c r="N21" s="142">
        <v>0</v>
      </c>
      <c r="O21" s="137">
        <v>53</v>
      </c>
      <c r="P21" s="137">
        <v>53</v>
      </c>
      <c r="Q21" s="137">
        <v>0</v>
      </c>
      <c r="R21" s="137">
        <v>0</v>
      </c>
      <c r="S21" s="137">
        <v>0</v>
      </c>
      <c r="T21" s="137">
        <v>50</v>
      </c>
      <c r="U21" s="137">
        <v>50</v>
      </c>
      <c r="V21" s="137">
        <v>0</v>
      </c>
      <c r="W21" s="137">
        <v>0</v>
      </c>
      <c r="X21" s="137">
        <v>0</v>
      </c>
      <c r="Y21" s="137">
        <v>50</v>
      </c>
      <c r="Z21" s="137">
        <v>50</v>
      </c>
      <c r="AA21" s="137">
        <v>0</v>
      </c>
      <c r="AB21" s="137">
        <v>0</v>
      </c>
      <c r="AC21" s="137">
        <v>0</v>
      </c>
      <c r="AD21" s="137">
        <f t="shared" si="3"/>
        <v>259</v>
      </c>
    </row>
    <row r="22" spans="1:31" ht="93">
      <c r="A22" s="135" t="s">
        <v>212</v>
      </c>
      <c r="B22" s="170" t="s">
        <v>123</v>
      </c>
      <c r="C22" s="140" t="s">
        <v>94</v>
      </c>
      <c r="D22" s="141" t="s">
        <v>164</v>
      </c>
      <c r="E22" s="176">
        <f t="shared" si="1"/>
        <v>130</v>
      </c>
      <c r="F22" s="176">
        <f>112+18</f>
        <v>130</v>
      </c>
      <c r="G22" s="176">
        <v>0</v>
      </c>
      <c r="H22" s="176">
        <v>0</v>
      </c>
      <c r="I22" s="178">
        <v>0</v>
      </c>
      <c r="J22" s="178">
        <f t="shared" si="2"/>
        <v>112</v>
      </c>
      <c r="K22" s="178">
        <v>112</v>
      </c>
      <c r="L22" s="178">
        <v>0</v>
      </c>
      <c r="M22" s="142">
        <v>0</v>
      </c>
      <c r="N22" s="142">
        <v>0</v>
      </c>
      <c r="O22" s="137">
        <v>112</v>
      </c>
      <c r="P22" s="137">
        <v>112</v>
      </c>
      <c r="Q22" s="137">
        <v>0</v>
      </c>
      <c r="R22" s="137">
        <v>0</v>
      </c>
      <c r="S22" s="137">
        <v>0</v>
      </c>
      <c r="T22" s="137">
        <v>60</v>
      </c>
      <c r="U22" s="137">
        <v>60</v>
      </c>
      <c r="V22" s="137">
        <v>0</v>
      </c>
      <c r="W22" s="137">
        <v>0</v>
      </c>
      <c r="X22" s="137">
        <v>0</v>
      </c>
      <c r="Y22" s="137">
        <v>60</v>
      </c>
      <c r="Z22" s="137">
        <v>60</v>
      </c>
      <c r="AA22" s="137">
        <v>0</v>
      </c>
      <c r="AB22" s="137">
        <v>0</v>
      </c>
      <c r="AC22" s="137">
        <v>0</v>
      </c>
      <c r="AD22" s="137">
        <f t="shared" si="3"/>
        <v>474</v>
      </c>
    </row>
    <row r="23" spans="1:31" ht="93">
      <c r="A23" s="135" t="s">
        <v>213</v>
      </c>
      <c r="B23" s="170" t="s">
        <v>125</v>
      </c>
      <c r="C23" s="140" t="s">
        <v>94</v>
      </c>
      <c r="D23" s="141" t="s">
        <v>164</v>
      </c>
      <c r="E23" s="178">
        <v>120</v>
      </c>
      <c r="F23" s="178">
        <v>120</v>
      </c>
      <c r="G23" s="178">
        <v>0</v>
      </c>
      <c r="H23" s="177">
        <v>0</v>
      </c>
      <c r="I23" s="177">
        <v>0</v>
      </c>
      <c r="J23" s="177">
        <v>90</v>
      </c>
      <c r="K23" s="177">
        <v>90</v>
      </c>
      <c r="L23" s="177">
        <v>0</v>
      </c>
      <c r="M23" s="137">
        <v>0</v>
      </c>
      <c r="N23" s="137">
        <v>0</v>
      </c>
      <c r="O23" s="137">
        <v>90</v>
      </c>
      <c r="P23" s="137">
        <v>90</v>
      </c>
      <c r="Q23" s="137">
        <v>0</v>
      </c>
      <c r="R23" s="137">
        <v>0</v>
      </c>
      <c r="S23" s="137">
        <v>0</v>
      </c>
      <c r="T23" s="137">
        <v>90</v>
      </c>
      <c r="U23" s="137">
        <v>90</v>
      </c>
      <c r="V23" s="137">
        <v>0</v>
      </c>
      <c r="W23" s="137">
        <v>0</v>
      </c>
      <c r="X23" s="137">
        <v>0</v>
      </c>
      <c r="Y23" s="137">
        <v>90</v>
      </c>
      <c r="Z23" s="137">
        <v>90</v>
      </c>
      <c r="AA23" s="137">
        <v>0</v>
      </c>
      <c r="AB23" s="137">
        <v>0</v>
      </c>
      <c r="AC23" s="137">
        <v>0</v>
      </c>
      <c r="AD23" s="137">
        <f t="shared" si="3"/>
        <v>480</v>
      </c>
    </row>
    <row r="24" spans="1:31" ht="56.25">
      <c r="A24" s="135" t="s">
        <v>214</v>
      </c>
      <c r="B24" s="170" t="s">
        <v>205</v>
      </c>
      <c r="C24" s="140" t="s">
        <v>52</v>
      </c>
      <c r="D24" s="141" t="s">
        <v>164</v>
      </c>
      <c r="E24" s="177">
        <v>23068</v>
      </c>
      <c r="F24" s="177">
        <v>0</v>
      </c>
      <c r="G24" s="177">
        <v>23068</v>
      </c>
      <c r="H24" s="177">
        <v>0</v>
      </c>
      <c r="I24" s="177">
        <v>0</v>
      </c>
      <c r="J24" s="177">
        <v>0</v>
      </c>
      <c r="K24" s="177">
        <v>0</v>
      </c>
      <c r="L24" s="177">
        <v>0</v>
      </c>
      <c r="M24" s="137">
        <v>0</v>
      </c>
      <c r="N24" s="137">
        <v>0</v>
      </c>
      <c r="O24" s="137">
        <v>0</v>
      </c>
      <c r="P24" s="137">
        <v>0</v>
      </c>
      <c r="Q24" s="137">
        <v>0</v>
      </c>
      <c r="R24" s="137">
        <v>0</v>
      </c>
      <c r="S24" s="137">
        <v>0</v>
      </c>
      <c r="T24" s="137">
        <v>0</v>
      </c>
      <c r="U24" s="137">
        <v>0</v>
      </c>
      <c r="V24" s="137">
        <v>0</v>
      </c>
      <c r="W24" s="137">
        <v>0</v>
      </c>
      <c r="X24" s="137">
        <v>0</v>
      </c>
      <c r="Y24" s="137">
        <v>0</v>
      </c>
      <c r="Z24" s="137">
        <v>0</v>
      </c>
      <c r="AA24" s="137">
        <v>0</v>
      </c>
      <c r="AB24" s="137">
        <v>0</v>
      </c>
      <c r="AC24" s="137">
        <v>0</v>
      </c>
      <c r="AD24" s="137">
        <f t="shared" si="3"/>
        <v>23068</v>
      </c>
    </row>
    <row r="25" spans="1:31" ht="69.75">
      <c r="A25" s="135" t="s">
        <v>215</v>
      </c>
      <c r="B25" s="170" t="s">
        <v>198</v>
      </c>
      <c r="C25" s="140" t="s">
        <v>52</v>
      </c>
      <c r="D25" s="141" t="s">
        <v>164</v>
      </c>
      <c r="E25" s="178">
        <v>238</v>
      </c>
      <c r="F25" s="179">
        <v>0</v>
      </c>
      <c r="G25" s="178">
        <v>238</v>
      </c>
      <c r="H25" s="178">
        <v>0</v>
      </c>
      <c r="I25" s="178">
        <v>0</v>
      </c>
      <c r="J25" s="177">
        <f>K25+L25+M25+N25</f>
        <v>0</v>
      </c>
      <c r="K25" s="177">
        <v>0</v>
      </c>
      <c r="L25" s="177">
        <v>0</v>
      </c>
      <c r="M25" s="137">
        <v>0</v>
      </c>
      <c r="N25" s="137">
        <v>0</v>
      </c>
      <c r="O25" s="137">
        <f>P25+Q25+R25+S25</f>
        <v>0</v>
      </c>
      <c r="P25" s="137">
        <v>0</v>
      </c>
      <c r="Q25" s="137">
        <v>0</v>
      </c>
      <c r="R25" s="137">
        <v>0</v>
      </c>
      <c r="S25" s="137">
        <v>0</v>
      </c>
      <c r="T25" s="137">
        <v>0</v>
      </c>
      <c r="U25" s="137">
        <v>0</v>
      </c>
      <c r="V25" s="137">
        <v>0</v>
      </c>
      <c r="W25" s="137">
        <v>0</v>
      </c>
      <c r="X25" s="137">
        <v>0</v>
      </c>
      <c r="Y25" s="137">
        <v>0</v>
      </c>
      <c r="Z25" s="137">
        <v>0</v>
      </c>
      <c r="AA25" s="137">
        <v>0</v>
      </c>
      <c r="AB25" s="137">
        <v>0</v>
      </c>
      <c r="AC25" s="137">
        <v>0</v>
      </c>
      <c r="AD25" s="137">
        <f t="shared" si="3"/>
        <v>238</v>
      </c>
    </row>
    <row r="26" spans="1:31" ht="75">
      <c r="A26" s="135" t="s">
        <v>216</v>
      </c>
      <c r="B26" s="175" t="s">
        <v>217</v>
      </c>
      <c r="C26" s="140" t="s">
        <v>94</v>
      </c>
      <c r="D26" s="141" t="s">
        <v>164</v>
      </c>
      <c r="E26" s="176">
        <f>F26+G26+H26+I26</f>
        <v>120</v>
      </c>
      <c r="F26" s="176">
        <f>300-180</f>
        <v>120</v>
      </c>
      <c r="G26" s="176">
        <v>0</v>
      </c>
      <c r="H26" s="176">
        <v>0</v>
      </c>
      <c r="I26" s="176">
        <v>0</v>
      </c>
      <c r="J26" s="178">
        <f>K26+L26+M26+N26</f>
        <v>300</v>
      </c>
      <c r="K26" s="178">
        <v>300</v>
      </c>
      <c r="L26" s="178">
        <v>0</v>
      </c>
      <c r="M26" s="142">
        <v>0</v>
      </c>
      <c r="N26" s="142">
        <v>0</v>
      </c>
      <c r="O26" s="137">
        <f>P26+Q26+R26+S26</f>
        <v>300</v>
      </c>
      <c r="P26" s="137">
        <v>300</v>
      </c>
      <c r="Q26" s="137">
        <v>0</v>
      </c>
      <c r="R26" s="137">
        <v>0</v>
      </c>
      <c r="S26" s="137">
        <v>0</v>
      </c>
      <c r="T26" s="137">
        <f>U26+V26+W26+X26</f>
        <v>300</v>
      </c>
      <c r="U26" s="137">
        <v>300</v>
      </c>
      <c r="V26" s="137">
        <v>0</v>
      </c>
      <c r="W26" s="137">
        <v>0</v>
      </c>
      <c r="X26" s="137">
        <v>0</v>
      </c>
      <c r="Y26" s="137">
        <f>Z26+AA26+AB26+AC26</f>
        <v>300</v>
      </c>
      <c r="Z26" s="137">
        <v>300</v>
      </c>
      <c r="AA26" s="137">
        <v>0</v>
      </c>
      <c r="AB26" s="137">
        <v>0</v>
      </c>
      <c r="AC26" s="137">
        <v>0</v>
      </c>
      <c r="AD26" s="137">
        <f t="shared" si="3"/>
        <v>1320</v>
      </c>
    </row>
    <row r="27" spans="1:31" ht="23.25">
      <c r="A27" s="561" t="s">
        <v>19</v>
      </c>
      <c r="B27" s="561"/>
      <c r="C27" s="561"/>
      <c r="D27" s="143"/>
      <c r="E27" s="138">
        <f>E28+E29+E30</f>
        <v>76431.37</v>
      </c>
      <c r="F27" s="138">
        <f>SUM(F13:F26)</f>
        <v>50955.7</v>
      </c>
      <c r="G27" s="138">
        <f>G28+G29+G30</f>
        <v>23306</v>
      </c>
      <c r="H27" s="138">
        <f>SUM(H13:H17)</f>
        <v>0</v>
      </c>
      <c r="I27" s="138">
        <f>SUM(I13:I17)</f>
        <v>2169.67</v>
      </c>
      <c r="J27" s="138">
        <f>J28+J29</f>
        <v>17115</v>
      </c>
      <c r="K27" s="138">
        <f>K28+K29</f>
        <v>17115</v>
      </c>
      <c r="L27" s="138">
        <f>SUM(L13:L17)</f>
        <v>0</v>
      </c>
      <c r="M27" s="138">
        <f>SUM(M13:M17)</f>
        <v>0</v>
      </c>
      <c r="N27" s="138">
        <f>SUM(N13:N17)</f>
        <v>0</v>
      </c>
      <c r="O27" s="138">
        <f>O28+O29</f>
        <v>17115</v>
      </c>
      <c r="P27" s="138">
        <f>P28+P29</f>
        <v>17115</v>
      </c>
      <c r="Q27" s="138">
        <f>SUM(Q13:Q17)</f>
        <v>0</v>
      </c>
      <c r="R27" s="138">
        <f>SUM(R13:R17)</f>
        <v>0</v>
      </c>
      <c r="S27" s="138">
        <f>SUM(S13:S17)</f>
        <v>0</v>
      </c>
      <c r="T27" s="138">
        <f>SUM(T13:T26)</f>
        <v>90047.3</v>
      </c>
      <c r="U27" s="138">
        <f>SUM(U13:U26)</f>
        <v>84167.3</v>
      </c>
      <c r="V27" s="138">
        <f>SUM(V13:V17)</f>
        <v>0</v>
      </c>
      <c r="W27" s="138">
        <f>SUM(W13:W16)</f>
        <v>0</v>
      </c>
      <c r="X27" s="138">
        <f>SUM(X13:X16)</f>
        <v>5880</v>
      </c>
      <c r="Y27" s="138">
        <f>Y28+Y29</f>
        <v>90057.3</v>
      </c>
      <c r="Z27" s="138">
        <f>Z28+Z29</f>
        <v>84177.3</v>
      </c>
      <c r="AA27" s="138">
        <f>SUM(AA13:AA17)</f>
        <v>0</v>
      </c>
      <c r="AB27" s="138">
        <f>SUM(AB13:AB17)</f>
        <v>0</v>
      </c>
      <c r="AC27" s="138">
        <f>SUM(AC13:AC17)</f>
        <v>5880</v>
      </c>
      <c r="AD27" s="138">
        <f>SUM(AD13:AD26)</f>
        <v>290765.96999999997</v>
      </c>
    </row>
    <row r="28" spans="1:31" ht="23.25">
      <c r="A28" s="180" t="s">
        <v>14</v>
      </c>
      <c r="B28" s="181"/>
      <c r="C28" s="182"/>
      <c r="D28" s="145"/>
      <c r="E28" s="137">
        <f>F28+G28+H28+I28</f>
        <v>36295.369999999995</v>
      </c>
      <c r="F28" s="137">
        <f>F13+F14+F16</f>
        <v>34125.699999999997</v>
      </c>
      <c r="G28" s="137">
        <f>G13+G14+G16</f>
        <v>0</v>
      </c>
      <c r="H28" s="137">
        <f>G13+G14+G16</f>
        <v>0</v>
      </c>
      <c r="I28" s="137">
        <f>I14+I16</f>
        <v>2169.67</v>
      </c>
      <c r="J28" s="137">
        <f t="shared" ref="J28:V28" si="4">J13+J14+J16</f>
        <v>0</v>
      </c>
      <c r="K28" s="137">
        <f t="shared" si="4"/>
        <v>0</v>
      </c>
      <c r="L28" s="137">
        <f t="shared" si="4"/>
        <v>0</v>
      </c>
      <c r="M28" s="137">
        <f t="shared" si="4"/>
        <v>0</v>
      </c>
      <c r="N28" s="137">
        <f t="shared" si="4"/>
        <v>0</v>
      </c>
      <c r="O28" s="137">
        <f t="shared" si="4"/>
        <v>0</v>
      </c>
      <c r="P28" s="137">
        <f t="shared" si="4"/>
        <v>0</v>
      </c>
      <c r="Q28" s="137">
        <f t="shared" si="4"/>
        <v>0</v>
      </c>
      <c r="R28" s="137">
        <f t="shared" si="4"/>
        <v>0</v>
      </c>
      <c r="S28" s="137">
        <f t="shared" si="4"/>
        <v>0</v>
      </c>
      <c r="T28" s="137">
        <f t="shared" si="4"/>
        <v>68372</v>
      </c>
      <c r="U28" s="137">
        <f>U13+U14+U16</f>
        <v>62492</v>
      </c>
      <c r="V28" s="137">
        <f t="shared" si="4"/>
        <v>0</v>
      </c>
      <c r="W28" s="137">
        <f>V13+V14+V27</f>
        <v>0</v>
      </c>
      <c r="X28" s="137">
        <f t="shared" ref="X28:AC28" si="5">X13+X14+X16</f>
        <v>5880</v>
      </c>
      <c r="Y28" s="137">
        <f t="shared" si="5"/>
        <v>68372</v>
      </c>
      <c r="Z28" s="137">
        <f t="shared" si="5"/>
        <v>62492</v>
      </c>
      <c r="AA28" s="137">
        <f t="shared" si="5"/>
        <v>0</v>
      </c>
      <c r="AB28" s="137">
        <f t="shared" si="5"/>
        <v>0</v>
      </c>
      <c r="AC28" s="137">
        <f t="shared" si="5"/>
        <v>5880</v>
      </c>
      <c r="AD28" s="137">
        <f>E28+J28+O28+T28+Y28</f>
        <v>173039.37</v>
      </c>
    </row>
    <row r="29" spans="1:31" ht="23.25">
      <c r="A29" s="180" t="s">
        <v>135</v>
      </c>
      <c r="B29" s="183"/>
      <c r="C29" s="184"/>
      <c r="D29" s="145"/>
      <c r="E29" s="137">
        <f>E15+E17+E18+E19+E20+E21+E22+E23+E26</f>
        <v>16830</v>
      </c>
      <c r="F29" s="137">
        <f>F15+F17+F18+F19+F20+F21+F22+F23+F26</f>
        <v>16830</v>
      </c>
      <c r="G29" s="137">
        <f>G15+G16</f>
        <v>0</v>
      </c>
      <c r="H29" s="137">
        <f>H15+H17+H18+H19+H20+H21+H22+H23+H26</f>
        <v>0</v>
      </c>
      <c r="I29" s="137">
        <f>I15+I17+I17+I18+I19+I20+I21+I22+I23+I26</f>
        <v>0</v>
      </c>
      <c r="J29" s="137">
        <f>J15+J17+J18+J19+J20+J21+J22+J23+J26</f>
        <v>17115</v>
      </c>
      <c r="K29" s="137">
        <f>K15+K17+K18+K19+K20+K21+K22+K23+K26</f>
        <v>17115</v>
      </c>
      <c r="L29" s="137">
        <f>L24+L25</f>
        <v>0</v>
      </c>
      <c r="M29" s="137">
        <f>M24+M25</f>
        <v>0</v>
      </c>
      <c r="N29" s="137">
        <f>N24+N25</f>
        <v>0</v>
      </c>
      <c r="O29" s="137">
        <f>O26+O23+O13+O22+O21+O20+O19+O18+O17+O16+O15</f>
        <v>17115</v>
      </c>
      <c r="P29" s="137">
        <f t="shared" ref="P29:AC29" si="6">P15+P17+P18+P19+P20+P21+P22+P23+P26</f>
        <v>17115</v>
      </c>
      <c r="Q29" s="137">
        <f t="shared" si="6"/>
        <v>0</v>
      </c>
      <c r="R29" s="137">
        <f t="shared" si="6"/>
        <v>0</v>
      </c>
      <c r="S29" s="137">
        <f t="shared" si="6"/>
        <v>0</v>
      </c>
      <c r="T29" s="137">
        <f t="shared" si="6"/>
        <v>21675.3</v>
      </c>
      <c r="U29" s="137">
        <f>U15+U17+U18+U19+U20+U21+U22+U23+U26</f>
        <v>21675.3</v>
      </c>
      <c r="V29" s="137">
        <f t="shared" si="6"/>
        <v>0</v>
      </c>
      <c r="W29" s="137">
        <f t="shared" si="6"/>
        <v>0</v>
      </c>
      <c r="X29" s="137">
        <f t="shared" si="6"/>
        <v>0</v>
      </c>
      <c r="Y29" s="137">
        <f t="shared" si="6"/>
        <v>21685.3</v>
      </c>
      <c r="Z29" s="137">
        <f t="shared" si="6"/>
        <v>21685.3</v>
      </c>
      <c r="AA29" s="137">
        <f t="shared" si="6"/>
        <v>0</v>
      </c>
      <c r="AB29" s="137">
        <f t="shared" si="6"/>
        <v>0</v>
      </c>
      <c r="AC29" s="137">
        <f t="shared" si="6"/>
        <v>0</v>
      </c>
      <c r="AD29" s="137">
        <f>E29+J29+O29+T29+Y29</f>
        <v>94420.6</v>
      </c>
      <c r="AE29" s="146"/>
    </row>
    <row r="30" spans="1:31" ht="23.25">
      <c r="A30" s="181" t="s">
        <v>73</v>
      </c>
      <c r="B30" s="182"/>
      <c r="C30" s="182"/>
      <c r="D30" s="147"/>
      <c r="E30" s="137">
        <f t="shared" ref="E30:T30" si="7">E24+E25</f>
        <v>23306</v>
      </c>
      <c r="F30" s="137">
        <f t="shared" si="7"/>
        <v>0</v>
      </c>
      <c r="G30" s="137">
        <f t="shared" si="7"/>
        <v>23306</v>
      </c>
      <c r="H30" s="137">
        <f t="shared" si="7"/>
        <v>0</v>
      </c>
      <c r="I30" s="137">
        <f t="shared" si="7"/>
        <v>0</v>
      </c>
      <c r="J30" s="137">
        <f t="shared" si="7"/>
        <v>0</v>
      </c>
      <c r="K30" s="137">
        <f t="shared" si="7"/>
        <v>0</v>
      </c>
      <c r="L30" s="137">
        <f t="shared" si="7"/>
        <v>0</v>
      </c>
      <c r="M30" s="137">
        <f t="shared" si="7"/>
        <v>0</v>
      </c>
      <c r="N30" s="137">
        <f t="shared" si="7"/>
        <v>0</v>
      </c>
      <c r="O30" s="137">
        <f t="shared" si="7"/>
        <v>0</v>
      </c>
      <c r="P30" s="137">
        <f t="shared" si="7"/>
        <v>0</v>
      </c>
      <c r="Q30" s="137">
        <f t="shared" si="7"/>
        <v>0</v>
      </c>
      <c r="R30" s="137">
        <f t="shared" si="7"/>
        <v>0</v>
      </c>
      <c r="S30" s="137">
        <f t="shared" si="7"/>
        <v>0</v>
      </c>
      <c r="T30" s="137">
        <f t="shared" si="7"/>
        <v>0</v>
      </c>
      <c r="U30" s="137">
        <f>U25+U24</f>
        <v>0</v>
      </c>
      <c r="V30" s="137">
        <f>U24+U25</f>
        <v>0</v>
      </c>
      <c r="W30" s="137">
        <f t="shared" ref="W30:AC30" si="8">W24+W25</f>
        <v>0</v>
      </c>
      <c r="X30" s="137">
        <f t="shared" si="8"/>
        <v>0</v>
      </c>
      <c r="Y30" s="137">
        <f t="shared" si="8"/>
        <v>0</v>
      </c>
      <c r="Z30" s="137">
        <f t="shared" si="8"/>
        <v>0</v>
      </c>
      <c r="AA30" s="137">
        <f t="shared" si="8"/>
        <v>0</v>
      </c>
      <c r="AB30" s="137">
        <f t="shared" si="8"/>
        <v>0</v>
      </c>
      <c r="AC30" s="137">
        <f t="shared" si="8"/>
        <v>0</v>
      </c>
      <c r="AD30" s="137">
        <f>E30+J30+O30+T30+Y30</f>
        <v>23306</v>
      </c>
      <c r="AE30" s="146"/>
    </row>
    <row r="31" spans="1:31" ht="23.25">
      <c r="A31" s="25" t="s">
        <v>222</v>
      </c>
      <c r="B31" s="587" t="s">
        <v>226</v>
      </c>
      <c r="C31" s="588"/>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60"/>
    </row>
    <row r="32" spans="1:31" ht="139.5">
      <c r="A32" s="135" t="s">
        <v>21</v>
      </c>
      <c r="B32" s="185" t="s">
        <v>192</v>
      </c>
      <c r="C32" s="25" t="s">
        <v>94</v>
      </c>
      <c r="D32" s="25" t="s">
        <v>93</v>
      </c>
      <c r="E32" s="136">
        <f>F32+G32+H32+I32</f>
        <v>1892</v>
      </c>
      <c r="F32" s="136">
        <f>2664-772</f>
        <v>1892</v>
      </c>
      <c r="G32" s="136">
        <v>0</v>
      </c>
      <c r="H32" s="136">
        <v>0</v>
      </c>
      <c r="I32" s="136">
        <v>0</v>
      </c>
      <c r="J32" s="137">
        <f>K32+L32+M32+N32</f>
        <v>2664</v>
      </c>
      <c r="K32" s="137">
        <v>2664</v>
      </c>
      <c r="L32" s="137">
        <v>0</v>
      </c>
      <c r="M32" s="137">
        <v>0</v>
      </c>
      <c r="N32" s="137">
        <v>0</v>
      </c>
      <c r="O32" s="137">
        <f>P32+Q32+R32+S32</f>
        <v>2664</v>
      </c>
      <c r="P32" s="137">
        <v>2664</v>
      </c>
      <c r="Q32" s="137">
        <v>0</v>
      </c>
      <c r="R32" s="137">
        <v>0</v>
      </c>
      <c r="S32" s="137">
        <v>0</v>
      </c>
      <c r="T32" s="137">
        <f>U32+V32+W32+X32</f>
        <v>2664</v>
      </c>
      <c r="U32" s="137">
        <v>2664</v>
      </c>
      <c r="V32" s="137">
        <v>0</v>
      </c>
      <c r="W32" s="137">
        <v>0</v>
      </c>
      <c r="X32" s="137">
        <v>0</v>
      </c>
      <c r="Y32" s="137">
        <f>Z32+AA32+AB32+AC32</f>
        <v>2664</v>
      </c>
      <c r="Z32" s="137">
        <v>2664</v>
      </c>
      <c r="AA32" s="137">
        <v>0</v>
      </c>
      <c r="AB32" s="137">
        <v>0</v>
      </c>
      <c r="AC32" s="137">
        <v>0</v>
      </c>
      <c r="AD32" s="137">
        <f>E32+J32+O32+T32+Y32</f>
        <v>12548</v>
      </c>
    </row>
    <row r="33" spans="1:30" ht="20.25">
      <c r="A33" s="589" t="s">
        <v>22</v>
      </c>
      <c r="B33" s="590"/>
      <c r="C33" s="591"/>
      <c r="D33" s="144"/>
      <c r="E33" s="148">
        <f>E32</f>
        <v>1892</v>
      </c>
      <c r="F33" s="148">
        <f>SUM(F32)</f>
        <v>1892</v>
      </c>
      <c r="G33" s="148">
        <f t="shared" ref="G33:AD33" si="9">SUM(G32:G32)</f>
        <v>0</v>
      </c>
      <c r="H33" s="148">
        <f t="shared" si="9"/>
        <v>0</v>
      </c>
      <c r="I33" s="148">
        <f t="shared" si="9"/>
        <v>0</v>
      </c>
      <c r="J33" s="138">
        <f t="shared" si="9"/>
        <v>2664</v>
      </c>
      <c r="K33" s="138">
        <f t="shared" si="9"/>
        <v>2664</v>
      </c>
      <c r="L33" s="138">
        <f t="shared" si="9"/>
        <v>0</v>
      </c>
      <c r="M33" s="138">
        <f t="shared" si="9"/>
        <v>0</v>
      </c>
      <c r="N33" s="138">
        <f t="shared" si="9"/>
        <v>0</v>
      </c>
      <c r="O33" s="138">
        <f t="shared" si="9"/>
        <v>2664</v>
      </c>
      <c r="P33" s="138">
        <f t="shared" si="9"/>
        <v>2664</v>
      </c>
      <c r="Q33" s="138">
        <f t="shared" si="9"/>
        <v>0</v>
      </c>
      <c r="R33" s="138">
        <f t="shared" si="9"/>
        <v>0</v>
      </c>
      <c r="S33" s="138">
        <f t="shared" si="9"/>
        <v>0</v>
      </c>
      <c r="T33" s="138">
        <f t="shared" si="9"/>
        <v>2664</v>
      </c>
      <c r="U33" s="138">
        <f t="shared" si="9"/>
        <v>2664</v>
      </c>
      <c r="V33" s="138">
        <f t="shared" si="9"/>
        <v>0</v>
      </c>
      <c r="W33" s="138">
        <f t="shared" si="9"/>
        <v>0</v>
      </c>
      <c r="X33" s="138">
        <f t="shared" si="9"/>
        <v>0</v>
      </c>
      <c r="Y33" s="138">
        <f t="shared" si="9"/>
        <v>2664</v>
      </c>
      <c r="Z33" s="138">
        <f t="shared" si="9"/>
        <v>2664</v>
      </c>
      <c r="AA33" s="138">
        <f t="shared" si="9"/>
        <v>0</v>
      </c>
      <c r="AB33" s="138">
        <f t="shared" si="9"/>
        <v>0</v>
      </c>
      <c r="AC33" s="138">
        <f t="shared" si="9"/>
        <v>0</v>
      </c>
      <c r="AD33" s="138">
        <f t="shared" si="9"/>
        <v>12548</v>
      </c>
    </row>
    <row r="34" spans="1:30" ht="20.25">
      <c r="A34" s="25" t="s">
        <v>229</v>
      </c>
      <c r="B34" s="592" t="s">
        <v>230</v>
      </c>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4"/>
    </row>
    <row r="35" spans="1:30" ht="23.25">
      <c r="A35" s="135" t="s">
        <v>24</v>
      </c>
      <c r="B35" s="186" t="s">
        <v>68</v>
      </c>
      <c r="C35" s="585" t="s">
        <v>94</v>
      </c>
      <c r="D35" s="25" t="s">
        <v>93</v>
      </c>
      <c r="E35" s="137">
        <f xml:space="preserve"> SUM(F35:I35)</f>
        <v>2949</v>
      </c>
      <c r="F35" s="137">
        <f>SUM(F36:F39)</f>
        <v>2949</v>
      </c>
      <c r="G35" s="137">
        <f>SUM(G36,G37,G38,G39)</f>
        <v>0</v>
      </c>
      <c r="H35" s="137">
        <f>SUM(H36,H37,H38,H39)</f>
        <v>0</v>
      </c>
      <c r="I35" s="137">
        <f>SUM(I36,I37,I38,I39)</f>
        <v>0</v>
      </c>
      <c r="J35" s="142">
        <f>J36+J37+J38+J39</f>
        <v>3306</v>
      </c>
      <c r="K35" s="142">
        <f>K36+K37+K38+K39</f>
        <v>3306</v>
      </c>
      <c r="L35" s="142">
        <v>0</v>
      </c>
      <c r="M35" s="142">
        <f>SUM(M36,M37,M38,M39)</f>
        <v>0</v>
      </c>
      <c r="N35" s="142">
        <f>SUM(N36,N37,N38,N39)</f>
        <v>0</v>
      </c>
      <c r="O35" s="137">
        <f xml:space="preserve"> SUM(P35:S35)</f>
        <v>3306</v>
      </c>
      <c r="P35" s="137">
        <f>SUM(P36:P39)</f>
        <v>3306</v>
      </c>
      <c r="Q35" s="137">
        <f>SUM(Q36,Q37,Q38,Q39)</f>
        <v>0</v>
      </c>
      <c r="R35" s="137">
        <f>SUM(R36,R37,R38,R39)</f>
        <v>0</v>
      </c>
      <c r="S35" s="137">
        <f>SUM(S36,S37,S38,S39)</f>
        <v>0</v>
      </c>
      <c r="T35" s="137">
        <f xml:space="preserve"> SUM(U35:X35)</f>
        <v>3306</v>
      </c>
      <c r="U35" s="137">
        <f>SUM(U36:U39)</f>
        <v>3306</v>
      </c>
      <c r="V35" s="137">
        <f>SUM(V36,V37,V38,V39)</f>
        <v>0</v>
      </c>
      <c r="W35" s="137">
        <f>SUM(W36,W37,W38,W39)</f>
        <v>0</v>
      </c>
      <c r="X35" s="137">
        <f>SUM(X36,X37,X38,X39)</f>
        <v>0</v>
      </c>
      <c r="Y35" s="137">
        <f xml:space="preserve"> SUM(Z35:AC35)</f>
        <v>3306</v>
      </c>
      <c r="Z35" s="137">
        <f>SUM(Z36:Z39)</f>
        <v>3306</v>
      </c>
      <c r="AA35" s="137">
        <f>SUM(AA36,AA37,AA38,AA39)</f>
        <v>0</v>
      </c>
      <c r="AB35" s="137">
        <f>SUM(AB36,AB37,AB38,AB39)</f>
        <v>0</v>
      </c>
      <c r="AC35" s="137">
        <f>SUM(AC36,AC37,AC38,AC39)</f>
        <v>0</v>
      </c>
      <c r="AD35" s="137">
        <f t="shared" ref="AD35:AD52" si="10">E35+J35+O35+T35+Y35</f>
        <v>16173</v>
      </c>
    </row>
    <row r="36" spans="1:30" ht="69.75">
      <c r="A36" s="135" t="s">
        <v>231</v>
      </c>
      <c r="B36" s="175" t="s">
        <v>227</v>
      </c>
      <c r="C36" s="585"/>
      <c r="D36" s="25" t="s">
        <v>93</v>
      </c>
      <c r="E36" s="142">
        <f>F36+G36+H36+I36</f>
        <v>124</v>
      </c>
      <c r="F36" s="142">
        <v>124</v>
      </c>
      <c r="G36" s="142">
        <v>0</v>
      </c>
      <c r="H36" s="142">
        <v>0</v>
      </c>
      <c r="I36" s="142">
        <v>0</v>
      </c>
      <c r="J36" s="137">
        <f t="shared" ref="J36:K39" si="11">K36+L36+M36+N36</f>
        <v>124</v>
      </c>
      <c r="K36" s="137">
        <f t="shared" si="11"/>
        <v>124</v>
      </c>
      <c r="L36" s="137">
        <v>0</v>
      </c>
      <c r="M36" s="137">
        <v>0</v>
      </c>
      <c r="N36" s="137">
        <v>0</v>
      </c>
      <c r="O36" s="137">
        <v>124</v>
      </c>
      <c r="P36" s="137">
        <v>124</v>
      </c>
      <c r="Q36" s="137">
        <v>0</v>
      </c>
      <c r="R36" s="137">
        <v>0</v>
      </c>
      <c r="S36" s="137">
        <v>0</v>
      </c>
      <c r="T36" s="137">
        <f>U36+V36+W36+X36</f>
        <v>124</v>
      </c>
      <c r="U36" s="137">
        <v>124</v>
      </c>
      <c r="V36" s="137">
        <v>0</v>
      </c>
      <c r="W36" s="137">
        <v>0</v>
      </c>
      <c r="X36" s="137">
        <v>0</v>
      </c>
      <c r="Y36" s="137">
        <f>Z36+AA36+AB36+AC36</f>
        <v>124</v>
      </c>
      <c r="Z36" s="137">
        <v>124</v>
      </c>
      <c r="AA36" s="137">
        <v>0</v>
      </c>
      <c r="AB36" s="137">
        <v>0</v>
      </c>
      <c r="AC36" s="137">
        <v>0</v>
      </c>
      <c r="AD36" s="137">
        <f>E36+J36+O36+T36+Y36</f>
        <v>620</v>
      </c>
    </row>
    <row r="37" spans="1:30" ht="69.75">
      <c r="A37" s="135" t="s">
        <v>232</v>
      </c>
      <c r="B37" s="175" t="s">
        <v>228</v>
      </c>
      <c r="C37" s="585"/>
      <c r="D37" s="25" t="s">
        <v>93</v>
      </c>
      <c r="E37" s="142">
        <f t="shared" ref="E37:E50" si="12">F37+G37+H37+I37</f>
        <v>1790</v>
      </c>
      <c r="F37" s="142">
        <f>2147-357</f>
        <v>1790</v>
      </c>
      <c r="G37" s="142">
        <v>0</v>
      </c>
      <c r="H37" s="142">
        <v>0</v>
      </c>
      <c r="I37" s="142">
        <v>0</v>
      </c>
      <c r="J37" s="137">
        <f t="shared" si="11"/>
        <v>2147</v>
      </c>
      <c r="K37" s="137">
        <f t="shared" si="11"/>
        <v>2147</v>
      </c>
      <c r="L37" s="137">
        <v>0</v>
      </c>
      <c r="M37" s="137">
        <v>0</v>
      </c>
      <c r="N37" s="137">
        <v>0</v>
      </c>
      <c r="O37" s="137">
        <v>2147</v>
      </c>
      <c r="P37" s="137">
        <v>2147</v>
      </c>
      <c r="Q37" s="137">
        <v>0</v>
      </c>
      <c r="R37" s="137">
        <v>0</v>
      </c>
      <c r="S37" s="137">
        <v>0</v>
      </c>
      <c r="T37" s="137">
        <f>U37+V37+W37+X37</f>
        <v>2147</v>
      </c>
      <c r="U37" s="137">
        <v>2147</v>
      </c>
      <c r="V37" s="137">
        <v>0</v>
      </c>
      <c r="W37" s="137">
        <v>0</v>
      </c>
      <c r="X37" s="137">
        <v>0</v>
      </c>
      <c r="Y37" s="137">
        <f>Z37+AA37+AB37+AC37</f>
        <v>2147</v>
      </c>
      <c r="Z37" s="137">
        <v>2147</v>
      </c>
      <c r="AA37" s="137">
        <v>0</v>
      </c>
      <c r="AB37" s="137">
        <v>0</v>
      </c>
      <c r="AC37" s="137">
        <v>0</v>
      </c>
      <c r="AD37" s="137">
        <f>E37+J37+O37+T37+Y37</f>
        <v>10378</v>
      </c>
    </row>
    <row r="38" spans="1:30" ht="46.5">
      <c r="A38" s="135" t="s">
        <v>233</v>
      </c>
      <c r="B38" s="175" t="s">
        <v>69</v>
      </c>
      <c r="C38" s="585"/>
      <c r="D38" s="25" t="s">
        <v>93</v>
      </c>
      <c r="E38" s="142">
        <f t="shared" si="12"/>
        <v>921</v>
      </c>
      <c r="F38" s="142">
        <v>921</v>
      </c>
      <c r="G38" s="142">
        <v>0</v>
      </c>
      <c r="H38" s="142">
        <v>0</v>
      </c>
      <c r="I38" s="142">
        <v>0</v>
      </c>
      <c r="J38" s="137">
        <f t="shared" si="11"/>
        <v>921</v>
      </c>
      <c r="K38" s="137">
        <f t="shared" si="11"/>
        <v>921</v>
      </c>
      <c r="L38" s="137">
        <v>0</v>
      </c>
      <c r="M38" s="137">
        <v>0</v>
      </c>
      <c r="N38" s="137">
        <v>0</v>
      </c>
      <c r="O38" s="137">
        <v>921</v>
      </c>
      <c r="P38" s="137">
        <v>921</v>
      </c>
      <c r="Q38" s="137">
        <v>0</v>
      </c>
      <c r="R38" s="137">
        <v>0</v>
      </c>
      <c r="S38" s="137">
        <v>0</v>
      </c>
      <c r="T38" s="137">
        <f t="shared" ref="T38:T50" si="13">U38+V38+W38+X38</f>
        <v>921</v>
      </c>
      <c r="U38" s="137">
        <v>921</v>
      </c>
      <c r="V38" s="137">
        <v>0</v>
      </c>
      <c r="W38" s="137">
        <v>0</v>
      </c>
      <c r="X38" s="137">
        <v>0</v>
      </c>
      <c r="Y38" s="137">
        <f t="shared" ref="Y38:Y50" si="14">Z38+AA38+AB38+AC38</f>
        <v>921</v>
      </c>
      <c r="Z38" s="137">
        <v>921</v>
      </c>
      <c r="AA38" s="137">
        <v>0</v>
      </c>
      <c r="AB38" s="137">
        <v>0</v>
      </c>
      <c r="AC38" s="137">
        <v>0</v>
      </c>
      <c r="AD38" s="137">
        <f>E38+J38+O38+T38+Y38</f>
        <v>4605</v>
      </c>
    </row>
    <row r="39" spans="1:30" ht="46.5">
      <c r="A39" s="135" t="s">
        <v>234</v>
      </c>
      <c r="B39" s="175" t="s">
        <v>70</v>
      </c>
      <c r="C39" s="585"/>
      <c r="D39" s="25" t="s">
        <v>93</v>
      </c>
      <c r="E39" s="142">
        <f t="shared" si="12"/>
        <v>114</v>
      </c>
      <c r="F39" s="142">
        <v>114</v>
      </c>
      <c r="G39" s="142">
        <v>0</v>
      </c>
      <c r="H39" s="142">
        <v>0</v>
      </c>
      <c r="I39" s="142">
        <v>0</v>
      </c>
      <c r="J39" s="137">
        <f t="shared" si="11"/>
        <v>114</v>
      </c>
      <c r="K39" s="137">
        <f t="shared" si="11"/>
        <v>114</v>
      </c>
      <c r="L39" s="137">
        <v>0</v>
      </c>
      <c r="M39" s="137">
        <v>0</v>
      </c>
      <c r="N39" s="137">
        <v>0</v>
      </c>
      <c r="O39" s="137">
        <v>114</v>
      </c>
      <c r="P39" s="137">
        <v>114</v>
      </c>
      <c r="Q39" s="137">
        <v>0</v>
      </c>
      <c r="R39" s="137">
        <v>0</v>
      </c>
      <c r="S39" s="137">
        <v>0</v>
      </c>
      <c r="T39" s="137">
        <f t="shared" si="13"/>
        <v>114</v>
      </c>
      <c r="U39" s="137">
        <v>114</v>
      </c>
      <c r="V39" s="137">
        <v>0</v>
      </c>
      <c r="W39" s="137">
        <v>0</v>
      </c>
      <c r="X39" s="137">
        <v>0</v>
      </c>
      <c r="Y39" s="137">
        <f t="shared" si="14"/>
        <v>114</v>
      </c>
      <c r="Z39" s="137">
        <v>114</v>
      </c>
      <c r="AA39" s="137">
        <v>0</v>
      </c>
      <c r="AB39" s="137">
        <v>0</v>
      </c>
      <c r="AC39" s="137">
        <v>0</v>
      </c>
      <c r="AD39" s="137">
        <f>E39+J39+O39+T39+Y39</f>
        <v>570</v>
      </c>
    </row>
    <row r="40" spans="1:30" ht="255.75">
      <c r="A40" s="135" t="s">
        <v>151</v>
      </c>
      <c r="B40" s="175" t="s">
        <v>76</v>
      </c>
      <c r="C40" s="139" t="s">
        <v>94</v>
      </c>
      <c r="D40" s="25" t="s">
        <v>93</v>
      </c>
      <c r="E40" s="137">
        <f t="shared" si="12"/>
        <v>9</v>
      </c>
      <c r="F40" s="137">
        <v>9</v>
      </c>
      <c r="G40" s="137">
        <v>0</v>
      </c>
      <c r="H40" s="137">
        <v>0</v>
      </c>
      <c r="I40" s="137">
        <v>0</v>
      </c>
      <c r="J40" s="137">
        <f t="shared" ref="J40:J50" si="15">K40+L40+M40+N40</f>
        <v>9</v>
      </c>
      <c r="K40" s="137">
        <v>9</v>
      </c>
      <c r="L40" s="137">
        <v>0</v>
      </c>
      <c r="M40" s="137">
        <v>0</v>
      </c>
      <c r="N40" s="137">
        <v>0</v>
      </c>
      <c r="O40" s="137">
        <f t="shared" ref="O40:O50" si="16">P40+Q40+R40+S40</f>
        <v>9</v>
      </c>
      <c r="P40" s="137">
        <v>9</v>
      </c>
      <c r="Q40" s="137">
        <v>0</v>
      </c>
      <c r="R40" s="137">
        <v>0</v>
      </c>
      <c r="S40" s="137">
        <v>0</v>
      </c>
      <c r="T40" s="137">
        <f t="shared" si="13"/>
        <v>9</v>
      </c>
      <c r="U40" s="137">
        <v>9</v>
      </c>
      <c r="V40" s="137">
        <v>0</v>
      </c>
      <c r="W40" s="137">
        <v>0</v>
      </c>
      <c r="X40" s="137">
        <v>0</v>
      </c>
      <c r="Y40" s="137">
        <f t="shared" si="14"/>
        <v>9</v>
      </c>
      <c r="Z40" s="137">
        <v>9</v>
      </c>
      <c r="AA40" s="137">
        <v>0</v>
      </c>
      <c r="AB40" s="137">
        <v>0</v>
      </c>
      <c r="AC40" s="137">
        <v>0</v>
      </c>
      <c r="AD40" s="137">
        <f t="shared" si="10"/>
        <v>45</v>
      </c>
    </row>
    <row r="41" spans="1:30" ht="75">
      <c r="A41" s="135" t="s">
        <v>235</v>
      </c>
      <c r="B41" s="175" t="s">
        <v>71</v>
      </c>
      <c r="C41" s="25" t="s">
        <v>94</v>
      </c>
      <c r="D41" s="25" t="s">
        <v>93</v>
      </c>
      <c r="E41" s="142">
        <f t="shared" si="12"/>
        <v>426</v>
      </c>
      <c r="F41" s="142">
        <v>426</v>
      </c>
      <c r="G41" s="142">
        <v>0</v>
      </c>
      <c r="H41" s="142">
        <v>0</v>
      </c>
      <c r="I41" s="142">
        <v>0</v>
      </c>
      <c r="J41" s="142">
        <f t="shared" si="15"/>
        <v>426</v>
      </c>
      <c r="K41" s="142">
        <v>426</v>
      </c>
      <c r="L41" s="142">
        <v>0</v>
      </c>
      <c r="M41" s="142">
        <v>0</v>
      </c>
      <c r="N41" s="142">
        <v>0</v>
      </c>
      <c r="O41" s="137">
        <f t="shared" si="16"/>
        <v>426</v>
      </c>
      <c r="P41" s="137">
        <v>426</v>
      </c>
      <c r="Q41" s="137">
        <v>0</v>
      </c>
      <c r="R41" s="137">
        <v>0</v>
      </c>
      <c r="S41" s="137">
        <v>0</v>
      </c>
      <c r="T41" s="137">
        <f t="shared" si="13"/>
        <v>426</v>
      </c>
      <c r="U41" s="137">
        <v>426</v>
      </c>
      <c r="V41" s="137">
        <v>0</v>
      </c>
      <c r="W41" s="137">
        <v>0</v>
      </c>
      <c r="X41" s="137">
        <v>0</v>
      </c>
      <c r="Y41" s="137">
        <f t="shared" si="14"/>
        <v>426</v>
      </c>
      <c r="Z41" s="137">
        <v>426</v>
      </c>
      <c r="AA41" s="137">
        <v>0</v>
      </c>
      <c r="AB41" s="137">
        <v>0</v>
      </c>
      <c r="AC41" s="137">
        <v>0</v>
      </c>
      <c r="AD41" s="137">
        <f>E41+J41+O41+T41+Y41</f>
        <v>2130</v>
      </c>
    </row>
    <row r="42" spans="1:30" ht="46.5">
      <c r="A42" s="135" t="s">
        <v>236</v>
      </c>
      <c r="B42" s="175" t="s">
        <v>110</v>
      </c>
      <c r="C42" s="578" t="s">
        <v>105</v>
      </c>
      <c r="D42" s="25" t="s">
        <v>93</v>
      </c>
      <c r="E42" s="137">
        <f t="shared" si="12"/>
        <v>3304</v>
      </c>
      <c r="F42" s="137">
        <v>3304</v>
      </c>
      <c r="G42" s="137">
        <v>0</v>
      </c>
      <c r="H42" s="137">
        <v>0</v>
      </c>
      <c r="I42" s="137">
        <v>0</v>
      </c>
      <c r="J42" s="142">
        <f t="shared" si="15"/>
        <v>3304</v>
      </c>
      <c r="K42" s="142">
        <v>3304</v>
      </c>
      <c r="L42" s="142">
        <v>0</v>
      </c>
      <c r="M42" s="142">
        <v>0</v>
      </c>
      <c r="N42" s="142">
        <v>0</v>
      </c>
      <c r="O42" s="137">
        <f t="shared" si="16"/>
        <v>3304</v>
      </c>
      <c r="P42" s="137">
        <v>3304</v>
      </c>
      <c r="Q42" s="137">
        <v>0</v>
      </c>
      <c r="R42" s="137">
        <v>0</v>
      </c>
      <c r="S42" s="137">
        <v>0</v>
      </c>
      <c r="T42" s="137">
        <f t="shared" si="13"/>
        <v>3304</v>
      </c>
      <c r="U42" s="137">
        <v>3304</v>
      </c>
      <c r="V42" s="137">
        <v>0</v>
      </c>
      <c r="W42" s="137">
        <v>0</v>
      </c>
      <c r="X42" s="137">
        <v>0</v>
      </c>
      <c r="Y42" s="137">
        <f t="shared" si="14"/>
        <v>3304</v>
      </c>
      <c r="Z42" s="137">
        <v>3304</v>
      </c>
      <c r="AA42" s="137">
        <v>0</v>
      </c>
      <c r="AB42" s="137">
        <v>0</v>
      </c>
      <c r="AC42" s="137">
        <v>0</v>
      </c>
      <c r="AD42" s="137">
        <f>E42+J42+O42+T42+Y42</f>
        <v>16520</v>
      </c>
    </row>
    <row r="43" spans="1:30" ht="116.25">
      <c r="A43" s="135" t="s">
        <v>237</v>
      </c>
      <c r="B43" s="175" t="s">
        <v>191</v>
      </c>
      <c r="C43" s="579"/>
      <c r="D43" s="25" t="s">
        <v>93</v>
      </c>
      <c r="E43" s="137">
        <f t="shared" si="12"/>
        <v>378</v>
      </c>
      <c r="F43" s="137">
        <v>378</v>
      </c>
      <c r="G43" s="137">
        <v>0</v>
      </c>
      <c r="H43" s="137">
        <v>0</v>
      </c>
      <c r="I43" s="137">
        <v>0</v>
      </c>
      <c r="J43" s="142">
        <f t="shared" si="15"/>
        <v>378</v>
      </c>
      <c r="K43" s="142">
        <v>378</v>
      </c>
      <c r="L43" s="142">
        <v>0</v>
      </c>
      <c r="M43" s="142">
        <v>0</v>
      </c>
      <c r="N43" s="142">
        <v>0</v>
      </c>
      <c r="O43" s="137">
        <f t="shared" si="16"/>
        <v>378</v>
      </c>
      <c r="P43" s="137">
        <v>378</v>
      </c>
      <c r="Q43" s="137">
        <v>0</v>
      </c>
      <c r="R43" s="137">
        <v>0</v>
      </c>
      <c r="S43" s="137">
        <v>0</v>
      </c>
      <c r="T43" s="137">
        <f t="shared" si="13"/>
        <v>378</v>
      </c>
      <c r="U43" s="137">
        <v>378</v>
      </c>
      <c r="V43" s="137">
        <v>0</v>
      </c>
      <c r="W43" s="137">
        <v>0</v>
      </c>
      <c r="X43" s="137">
        <v>0</v>
      </c>
      <c r="Y43" s="137">
        <f t="shared" si="14"/>
        <v>378</v>
      </c>
      <c r="Z43" s="137">
        <v>378</v>
      </c>
      <c r="AA43" s="137">
        <v>0</v>
      </c>
      <c r="AB43" s="137">
        <v>0</v>
      </c>
      <c r="AC43" s="137">
        <v>0</v>
      </c>
      <c r="AD43" s="137">
        <f>E43+J43+O43+T43+Y43</f>
        <v>1890</v>
      </c>
    </row>
    <row r="44" spans="1:30" ht="139.5">
      <c r="A44" s="135" t="s">
        <v>238</v>
      </c>
      <c r="B44" s="175" t="s">
        <v>77</v>
      </c>
      <c r="C44" s="139" t="s">
        <v>94</v>
      </c>
      <c r="D44" s="25" t="s">
        <v>93</v>
      </c>
      <c r="E44" s="137">
        <f t="shared" si="12"/>
        <v>12</v>
      </c>
      <c r="F44" s="137">
        <v>12</v>
      </c>
      <c r="G44" s="137">
        <v>0</v>
      </c>
      <c r="H44" s="137">
        <v>0</v>
      </c>
      <c r="I44" s="137">
        <v>0</v>
      </c>
      <c r="J44" s="142">
        <f t="shared" si="15"/>
        <v>12</v>
      </c>
      <c r="K44" s="142">
        <v>12</v>
      </c>
      <c r="L44" s="142">
        <v>0</v>
      </c>
      <c r="M44" s="142">
        <v>0</v>
      </c>
      <c r="N44" s="142">
        <v>0</v>
      </c>
      <c r="O44" s="137">
        <f t="shared" si="16"/>
        <v>12</v>
      </c>
      <c r="P44" s="137">
        <v>12</v>
      </c>
      <c r="Q44" s="137">
        <v>0</v>
      </c>
      <c r="R44" s="137">
        <v>0</v>
      </c>
      <c r="S44" s="137">
        <v>0</v>
      </c>
      <c r="T44" s="137">
        <f t="shared" si="13"/>
        <v>12</v>
      </c>
      <c r="U44" s="137">
        <v>12</v>
      </c>
      <c r="V44" s="137">
        <v>0</v>
      </c>
      <c r="W44" s="137">
        <v>0</v>
      </c>
      <c r="X44" s="137">
        <v>0</v>
      </c>
      <c r="Y44" s="137">
        <f t="shared" si="14"/>
        <v>12</v>
      </c>
      <c r="Z44" s="137">
        <v>12</v>
      </c>
      <c r="AA44" s="137">
        <v>0</v>
      </c>
      <c r="AB44" s="137">
        <v>0</v>
      </c>
      <c r="AC44" s="137">
        <v>0</v>
      </c>
      <c r="AD44" s="137">
        <f t="shared" si="10"/>
        <v>60</v>
      </c>
    </row>
    <row r="45" spans="1:30" ht="139.5">
      <c r="A45" s="135" t="s">
        <v>239</v>
      </c>
      <c r="B45" s="175" t="s">
        <v>265</v>
      </c>
      <c r="C45" s="569" t="s">
        <v>105</v>
      </c>
      <c r="D45" s="25" t="s">
        <v>93</v>
      </c>
      <c r="E45" s="137">
        <f t="shared" si="12"/>
        <v>50</v>
      </c>
      <c r="F45" s="137">
        <v>50</v>
      </c>
      <c r="G45" s="137">
        <v>0</v>
      </c>
      <c r="H45" s="137">
        <v>0</v>
      </c>
      <c r="I45" s="137">
        <v>0</v>
      </c>
      <c r="J45" s="142">
        <f t="shared" si="15"/>
        <v>50</v>
      </c>
      <c r="K45" s="142">
        <v>50</v>
      </c>
      <c r="L45" s="142">
        <v>0</v>
      </c>
      <c r="M45" s="142">
        <v>0</v>
      </c>
      <c r="N45" s="142">
        <v>0</v>
      </c>
      <c r="O45" s="137">
        <f t="shared" si="16"/>
        <v>50</v>
      </c>
      <c r="P45" s="137">
        <v>50</v>
      </c>
      <c r="Q45" s="137">
        <v>0</v>
      </c>
      <c r="R45" s="137">
        <v>0</v>
      </c>
      <c r="S45" s="137">
        <v>0</v>
      </c>
      <c r="T45" s="137">
        <f t="shared" si="13"/>
        <v>50</v>
      </c>
      <c r="U45" s="137">
        <v>50</v>
      </c>
      <c r="V45" s="137">
        <v>0</v>
      </c>
      <c r="W45" s="137">
        <v>0</v>
      </c>
      <c r="X45" s="137">
        <v>0</v>
      </c>
      <c r="Y45" s="137">
        <f t="shared" si="14"/>
        <v>50</v>
      </c>
      <c r="Z45" s="137">
        <v>50</v>
      </c>
      <c r="AA45" s="137">
        <v>0</v>
      </c>
      <c r="AB45" s="137">
        <v>0</v>
      </c>
      <c r="AC45" s="137">
        <v>0</v>
      </c>
      <c r="AD45" s="137">
        <f t="shared" si="10"/>
        <v>250</v>
      </c>
    </row>
    <row r="46" spans="1:30" ht="116.25">
      <c r="A46" s="135" t="s">
        <v>240</v>
      </c>
      <c r="B46" s="175" t="s">
        <v>111</v>
      </c>
      <c r="C46" s="570"/>
      <c r="D46" s="25" t="s">
        <v>93</v>
      </c>
      <c r="E46" s="137">
        <f t="shared" si="12"/>
        <v>50</v>
      </c>
      <c r="F46" s="137">
        <v>50</v>
      </c>
      <c r="G46" s="137">
        <v>0</v>
      </c>
      <c r="H46" s="137">
        <v>0</v>
      </c>
      <c r="I46" s="137">
        <v>0</v>
      </c>
      <c r="J46" s="142">
        <f t="shared" si="15"/>
        <v>50</v>
      </c>
      <c r="K46" s="142">
        <v>50</v>
      </c>
      <c r="L46" s="142">
        <v>0</v>
      </c>
      <c r="M46" s="142">
        <v>0</v>
      </c>
      <c r="N46" s="142">
        <v>0</v>
      </c>
      <c r="O46" s="137">
        <f t="shared" si="16"/>
        <v>50</v>
      </c>
      <c r="P46" s="137">
        <v>50</v>
      </c>
      <c r="Q46" s="137">
        <v>0</v>
      </c>
      <c r="R46" s="137">
        <v>0</v>
      </c>
      <c r="S46" s="137">
        <v>0</v>
      </c>
      <c r="T46" s="137">
        <f t="shared" si="13"/>
        <v>50</v>
      </c>
      <c r="U46" s="137">
        <v>50</v>
      </c>
      <c r="V46" s="137">
        <v>0</v>
      </c>
      <c r="W46" s="137">
        <v>0</v>
      </c>
      <c r="X46" s="137">
        <v>0</v>
      </c>
      <c r="Y46" s="137">
        <f t="shared" si="14"/>
        <v>50</v>
      </c>
      <c r="Z46" s="137">
        <v>50</v>
      </c>
      <c r="AA46" s="137">
        <v>0</v>
      </c>
      <c r="AB46" s="137">
        <v>0</v>
      </c>
      <c r="AC46" s="137">
        <v>0</v>
      </c>
      <c r="AD46" s="137">
        <f t="shared" si="10"/>
        <v>250</v>
      </c>
    </row>
    <row r="47" spans="1:30" ht="162.75">
      <c r="A47" s="135" t="s">
        <v>241</v>
      </c>
      <c r="B47" s="175" t="s">
        <v>112</v>
      </c>
      <c r="C47" s="570"/>
      <c r="D47" s="25" t="s">
        <v>93</v>
      </c>
      <c r="E47" s="142">
        <f t="shared" si="12"/>
        <v>810</v>
      </c>
      <c r="F47" s="142">
        <f>480+330</f>
        <v>810</v>
      </c>
      <c r="G47" s="142">
        <v>0</v>
      </c>
      <c r="H47" s="142">
        <v>0</v>
      </c>
      <c r="I47" s="142">
        <v>0</v>
      </c>
      <c r="J47" s="142">
        <f t="shared" si="15"/>
        <v>480</v>
      </c>
      <c r="K47" s="142">
        <v>480</v>
      </c>
      <c r="L47" s="142">
        <v>0</v>
      </c>
      <c r="M47" s="142">
        <v>0</v>
      </c>
      <c r="N47" s="142">
        <v>0</v>
      </c>
      <c r="O47" s="137">
        <f t="shared" si="16"/>
        <v>480</v>
      </c>
      <c r="P47" s="137">
        <v>480</v>
      </c>
      <c r="Q47" s="137">
        <v>0</v>
      </c>
      <c r="R47" s="137">
        <v>0</v>
      </c>
      <c r="S47" s="137">
        <v>0</v>
      </c>
      <c r="T47" s="137">
        <f t="shared" si="13"/>
        <v>480</v>
      </c>
      <c r="U47" s="137">
        <v>480</v>
      </c>
      <c r="V47" s="137">
        <v>0</v>
      </c>
      <c r="W47" s="137">
        <v>0</v>
      </c>
      <c r="X47" s="137">
        <v>0</v>
      </c>
      <c r="Y47" s="137">
        <f t="shared" si="14"/>
        <v>480</v>
      </c>
      <c r="Z47" s="137">
        <v>480</v>
      </c>
      <c r="AA47" s="137">
        <v>0</v>
      </c>
      <c r="AB47" s="137">
        <v>0</v>
      </c>
      <c r="AC47" s="137">
        <v>0</v>
      </c>
      <c r="AD47" s="137">
        <f>E47+J47+O47+T47+Y47</f>
        <v>2730</v>
      </c>
    </row>
    <row r="48" spans="1:30" ht="209.25">
      <c r="A48" s="149" t="s">
        <v>242</v>
      </c>
      <c r="B48" s="175" t="s">
        <v>113</v>
      </c>
      <c r="C48" s="570"/>
      <c r="D48" s="25" t="s">
        <v>93</v>
      </c>
      <c r="E48" s="137">
        <f t="shared" si="12"/>
        <v>30</v>
      </c>
      <c r="F48" s="137">
        <v>30</v>
      </c>
      <c r="G48" s="137">
        <v>0</v>
      </c>
      <c r="H48" s="137">
        <v>0</v>
      </c>
      <c r="I48" s="137">
        <v>0</v>
      </c>
      <c r="J48" s="142">
        <f t="shared" si="15"/>
        <v>30</v>
      </c>
      <c r="K48" s="142">
        <v>30</v>
      </c>
      <c r="L48" s="142">
        <v>0</v>
      </c>
      <c r="M48" s="142">
        <v>0</v>
      </c>
      <c r="N48" s="142">
        <v>0</v>
      </c>
      <c r="O48" s="137">
        <f t="shared" si="16"/>
        <v>30</v>
      </c>
      <c r="P48" s="137">
        <v>30</v>
      </c>
      <c r="Q48" s="137">
        <v>0</v>
      </c>
      <c r="R48" s="137">
        <v>0</v>
      </c>
      <c r="S48" s="137">
        <v>0</v>
      </c>
      <c r="T48" s="137">
        <f t="shared" si="13"/>
        <v>30</v>
      </c>
      <c r="U48" s="137">
        <v>30</v>
      </c>
      <c r="V48" s="137">
        <v>0</v>
      </c>
      <c r="W48" s="137">
        <v>0</v>
      </c>
      <c r="X48" s="137">
        <v>0</v>
      </c>
      <c r="Y48" s="137">
        <f t="shared" si="14"/>
        <v>30</v>
      </c>
      <c r="Z48" s="137">
        <v>30</v>
      </c>
      <c r="AA48" s="137">
        <v>0</v>
      </c>
      <c r="AB48" s="137">
        <v>0</v>
      </c>
      <c r="AC48" s="137">
        <v>0</v>
      </c>
      <c r="AD48" s="137">
        <f t="shared" si="10"/>
        <v>150</v>
      </c>
    </row>
    <row r="49" spans="1:31" ht="116.25">
      <c r="A49" s="135" t="s">
        <v>243</v>
      </c>
      <c r="B49" s="175" t="s">
        <v>114</v>
      </c>
      <c r="C49" s="571"/>
      <c r="D49" s="25" t="s">
        <v>93</v>
      </c>
      <c r="E49" s="137">
        <f t="shared" si="12"/>
        <v>50</v>
      </c>
      <c r="F49" s="137">
        <v>50</v>
      </c>
      <c r="G49" s="137">
        <v>0</v>
      </c>
      <c r="H49" s="137">
        <v>0</v>
      </c>
      <c r="I49" s="137">
        <v>0</v>
      </c>
      <c r="J49" s="142">
        <f t="shared" si="15"/>
        <v>50</v>
      </c>
      <c r="K49" s="142">
        <v>50</v>
      </c>
      <c r="L49" s="142">
        <v>0</v>
      </c>
      <c r="M49" s="142">
        <v>0</v>
      </c>
      <c r="N49" s="142">
        <v>0</v>
      </c>
      <c r="O49" s="137">
        <f t="shared" si="16"/>
        <v>50</v>
      </c>
      <c r="P49" s="137">
        <v>50</v>
      </c>
      <c r="Q49" s="137">
        <v>0</v>
      </c>
      <c r="R49" s="137">
        <v>0</v>
      </c>
      <c r="S49" s="137">
        <v>0</v>
      </c>
      <c r="T49" s="137">
        <f t="shared" si="13"/>
        <v>50</v>
      </c>
      <c r="U49" s="137">
        <v>50</v>
      </c>
      <c r="V49" s="137">
        <v>0</v>
      </c>
      <c r="W49" s="137">
        <v>0</v>
      </c>
      <c r="X49" s="137">
        <v>0</v>
      </c>
      <c r="Y49" s="137">
        <f t="shared" si="14"/>
        <v>50</v>
      </c>
      <c r="Z49" s="137">
        <v>50</v>
      </c>
      <c r="AA49" s="137">
        <v>0</v>
      </c>
      <c r="AB49" s="137">
        <v>0</v>
      </c>
      <c r="AC49" s="137">
        <v>0</v>
      </c>
      <c r="AD49" s="137">
        <f t="shared" si="10"/>
        <v>250</v>
      </c>
    </row>
    <row r="50" spans="1:31" ht="116.25">
      <c r="A50" s="135" t="s">
        <v>244</v>
      </c>
      <c r="B50" s="175" t="s">
        <v>78</v>
      </c>
      <c r="C50" s="25" t="s">
        <v>18</v>
      </c>
      <c r="D50" s="25" t="s">
        <v>93</v>
      </c>
      <c r="E50" s="142">
        <f t="shared" si="12"/>
        <v>96</v>
      </c>
      <c r="F50" s="142">
        <f>96</f>
        <v>96</v>
      </c>
      <c r="G50" s="142">
        <v>0</v>
      </c>
      <c r="H50" s="142">
        <v>0</v>
      </c>
      <c r="I50" s="142">
        <v>0</v>
      </c>
      <c r="J50" s="142">
        <f t="shared" si="15"/>
        <v>96</v>
      </c>
      <c r="K50" s="142">
        <v>96</v>
      </c>
      <c r="L50" s="142">
        <v>0</v>
      </c>
      <c r="M50" s="142">
        <v>0</v>
      </c>
      <c r="N50" s="142">
        <v>0</v>
      </c>
      <c r="O50" s="137">
        <f t="shared" si="16"/>
        <v>96</v>
      </c>
      <c r="P50" s="137">
        <v>96</v>
      </c>
      <c r="Q50" s="137">
        <v>0</v>
      </c>
      <c r="R50" s="137">
        <v>0</v>
      </c>
      <c r="S50" s="137">
        <v>0</v>
      </c>
      <c r="T50" s="137">
        <f t="shared" si="13"/>
        <v>96</v>
      </c>
      <c r="U50" s="137">
        <v>96</v>
      </c>
      <c r="V50" s="137">
        <v>0</v>
      </c>
      <c r="W50" s="137">
        <v>0</v>
      </c>
      <c r="X50" s="137">
        <v>0</v>
      </c>
      <c r="Y50" s="137">
        <f t="shared" si="14"/>
        <v>96</v>
      </c>
      <c r="Z50" s="137">
        <v>96</v>
      </c>
      <c r="AA50" s="137">
        <v>0</v>
      </c>
      <c r="AB50" s="137">
        <v>0</v>
      </c>
      <c r="AC50" s="137">
        <v>0</v>
      </c>
      <c r="AD50" s="137">
        <f t="shared" si="10"/>
        <v>480</v>
      </c>
    </row>
    <row r="51" spans="1:31" ht="162.75">
      <c r="A51" s="135" t="s">
        <v>245</v>
      </c>
      <c r="B51" s="175" t="s">
        <v>145</v>
      </c>
      <c r="C51" s="25" t="s">
        <v>94</v>
      </c>
      <c r="D51" s="25" t="s">
        <v>93</v>
      </c>
      <c r="E51" s="142">
        <f>F51+G51+H51+I51</f>
        <v>28325</v>
      </c>
      <c r="F51" s="142">
        <f>6567-902</f>
        <v>5665</v>
      </c>
      <c r="G51" s="142">
        <f>26268-3608</f>
        <v>22660</v>
      </c>
      <c r="H51" s="142">
        <v>0</v>
      </c>
      <c r="I51" s="142">
        <v>0</v>
      </c>
      <c r="J51" s="142">
        <f>K51+L51+M51+N51</f>
        <v>1848</v>
      </c>
      <c r="K51" s="142">
        <v>1848</v>
      </c>
      <c r="L51" s="142">
        <v>0</v>
      </c>
      <c r="M51" s="142">
        <v>0</v>
      </c>
      <c r="N51" s="142">
        <v>0</v>
      </c>
      <c r="O51" s="137">
        <v>1848</v>
      </c>
      <c r="P51" s="137">
        <v>1848</v>
      </c>
      <c r="Q51" s="137">
        <v>0</v>
      </c>
      <c r="R51" s="137">
        <v>0</v>
      </c>
      <c r="S51" s="137">
        <v>0</v>
      </c>
      <c r="T51" s="137">
        <v>2321</v>
      </c>
      <c r="U51" s="137">
        <v>2321</v>
      </c>
      <c r="V51" s="137">
        <v>0</v>
      </c>
      <c r="W51" s="137">
        <v>0</v>
      </c>
      <c r="X51" s="137">
        <v>0</v>
      </c>
      <c r="Y51" s="137">
        <v>2321</v>
      </c>
      <c r="Z51" s="137">
        <v>2321</v>
      </c>
      <c r="AA51" s="137">
        <v>0</v>
      </c>
      <c r="AB51" s="137">
        <v>0</v>
      </c>
      <c r="AC51" s="137">
        <v>0</v>
      </c>
      <c r="AD51" s="137">
        <f>E51+J51+O51+T51+Y51</f>
        <v>36663</v>
      </c>
      <c r="AE51" s="18"/>
    </row>
    <row r="52" spans="1:31" ht="69.75">
      <c r="A52" s="150" t="s">
        <v>246</v>
      </c>
      <c r="B52" s="187" t="s">
        <v>87</v>
      </c>
      <c r="C52" s="151" t="s">
        <v>52</v>
      </c>
      <c r="D52" s="25" t="s">
        <v>93</v>
      </c>
      <c r="E52" s="142">
        <f>F52+G52+H52+I52</f>
        <v>384.8</v>
      </c>
      <c r="F52" s="142">
        <f>387-2.2</f>
        <v>384.8</v>
      </c>
      <c r="G52" s="142">
        <v>0</v>
      </c>
      <c r="H52" s="142">
        <v>0</v>
      </c>
      <c r="I52" s="142">
        <v>0</v>
      </c>
      <c r="J52" s="137">
        <v>387</v>
      </c>
      <c r="K52" s="137">
        <v>387</v>
      </c>
      <c r="L52" s="137">
        <v>0</v>
      </c>
      <c r="M52" s="137">
        <v>0</v>
      </c>
      <c r="N52" s="137">
        <v>0</v>
      </c>
      <c r="O52" s="137">
        <v>387</v>
      </c>
      <c r="P52" s="137">
        <v>387</v>
      </c>
      <c r="Q52" s="137">
        <v>0</v>
      </c>
      <c r="R52" s="137">
        <v>0</v>
      </c>
      <c r="S52" s="137">
        <v>0</v>
      </c>
      <c r="T52" s="137">
        <v>386</v>
      </c>
      <c r="U52" s="137">
        <v>386</v>
      </c>
      <c r="V52" s="137">
        <v>0</v>
      </c>
      <c r="W52" s="137">
        <v>0</v>
      </c>
      <c r="X52" s="137">
        <v>0</v>
      </c>
      <c r="Y52" s="137">
        <v>386</v>
      </c>
      <c r="Z52" s="137">
        <v>386</v>
      </c>
      <c r="AA52" s="137">
        <v>0</v>
      </c>
      <c r="AB52" s="137">
        <v>0</v>
      </c>
      <c r="AC52" s="137">
        <v>0</v>
      </c>
      <c r="AD52" s="137">
        <f t="shared" si="10"/>
        <v>1930.8</v>
      </c>
    </row>
    <row r="53" spans="1:31" ht="131.25">
      <c r="A53" s="150" t="s">
        <v>247</v>
      </c>
      <c r="B53" s="187" t="s">
        <v>132</v>
      </c>
      <c r="C53" s="151" t="s">
        <v>147</v>
      </c>
      <c r="D53" s="172" t="s">
        <v>93</v>
      </c>
      <c r="E53" s="142">
        <f>F53+G53+H53+I53</f>
        <v>1248</v>
      </c>
      <c r="F53" s="142">
        <f>1248</f>
        <v>1248</v>
      </c>
      <c r="G53" s="142">
        <v>0</v>
      </c>
      <c r="H53" s="142">
        <v>0</v>
      </c>
      <c r="I53" s="142">
        <v>0</v>
      </c>
      <c r="J53" s="142">
        <f>K53+L53+M53+N53</f>
        <v>1248</v>
      </c>
      <c r="K53" s="142">
        <v>1248</v>
      </c>
      <c r="L53" s="142">
        <v>0</v>
      </c>
      <c r="M53" s="142">
        <v>0</v>
      </c>
      <c r="N53" s="142">
        <v>0</v>
      </c>
      <c r="O53" s="142">
        <f>P53+Q53+R53+S53</f>
        <v>1248</v>
      </c>
      <c r="P53" s="142">
        <v>1248</v>
      </c>
      <c r="Q53" s="142">
        <v>0</v>
      </c>
      <c r="R53" s="142">
        <v>0</v>
      </c>
      <c r="S53" s="142">
        <v>0</v>
      </c>
      <c r="T53" s="142">
        <f>U53+V53+W53+X53</f>
        <v>1248</v>
      </c>
      <c r="U53" s="142">
        <v>1248</v>
      </c>
      <c r="V53" s="142">
        <v>0</v>
      </c>
      <c r="W53" s="142">
        <v>0</v>
      </c>
      <c r="X53" s="142">
        <v>0</v>
      </c>
      <c r="Y53" s="142">
        <f>Z53+AA53+AB53+AC53</f>
        <v>1248</v>
      </c>
      <c r="Z53" s="142">
        <v>1248</v>
      </c>
      <c r="AA53" s="142">
        <v>0</v>
      </c>
      <c r="AB53" s="142">
        <v>0</v>
      </c>
      <c r="AC53" s="142">
        <v>0</v>
      </c>
      <c r="AD53" s="142">
        <f>E53+J53+O53+T53+Y53</f>
        <v>6240</v>
      </c>
    </row>
    <row r="54" spans="1:31" ht="23.25">
      <c r="A54" s="561" t="s">
        <v>25</v>
      </c>
      <c r="B54" s="561"/>
      <c r="C54" s="561"/>
      <c r="D54" s="144"/>
      <c r="E54" s="148">
        <f t="shared" ref="E54:K54" si="17">E55+E56</f>
        <v>38121.800000000003</v>
      </c>
      <c r="F54" s="148">
        <f t="shared" si="17"/>
        <v>15461.8</v>
      </c>
      <c r="G54" s="148">
        <f t="shared" si="17"/>
        <v>22660</v>
      </c>
      <c r="H54" s="148">
        <f t="shared" si="17"/>
        <v>0</v>
      </c>
      <c r="I54" s="148">
        <f t="shared" si="17"/>
        <v>0</v>
      </c>
      <c r="J54" s="138">
        <f t="shared" si="17"/>
        <v>11674</v>
      </c>
      <c r="K54" s="138">
        <f t="shared" si="17"/>
        <v>11674</v>
      </c>
      <c r="L54" s="138">
        <f t="shared" ref="L54:AC54" si="18">SUM(L35,L40:L52)</f>
        <v>0</v>
      </c>
      <c r="M54" s="138">
        <f t="shared" si="18"/>
        <v>0</v>
      </c>
      <c r="N54" s="138">
        <f t="shared" si="18"/>
        <v>0</v>
      </c>
      <c r="O54" s="138">
        <f>O55+O56</f>
        <v>11674</v>
      </c>
      <c r="P54" s="138">
        <f>P55+P56</f>
        <v>11674</v>
      </c>
      <c r="Q54" s="138">
        <f t="shared" si="18"/>
        <v>0</v>
      </c>
      <c r="R54" s="138">
        <f t="shared" si="18"/>
        <v>0</v>
      </c>
      <c r="S54" s="138">
        <f t="shared" si="18"/>
        <v>0</v>
      </c>
      <c r="T54" s="138">
        <f>T55+T56</f>
        <v>12146</v>
      </c>
      <c r="U54" s="138">
        <f>U55+U56</f>
        <v>12146</v>
      </c>
      <c r="V54" s="138">
        <f t="shared" si="18"/>
        <v>0</v>
      </c>
      <c r="W54" s="138">
        <f t="shared" si="18"/>
        <v>0</v>
      </c>
      <c r="X54" s="138">
        <f t="shared" si="18"/>
        <v>0</v>
      </c>
      <c r="Y54" s="138">
        <f>Y55+Y56</f>
        <v>12146</v>
      </c>
      <c r="Z54" s="138">
        <f>Z55+Z56</f>
        <v>12146</v>
      </c>
      <c r="AA54" s="138">
        <f t="shared" si="18"/>
        <v>0</v>
      </c>
      <c r="AB54" s="138">
        <f t="shared" si="18"/>
        <v>0</v>
      </c>
      <c r="AC54" s="138">
        <f t="shared" si="18"/>
        <v>0</v>
      </c>
      <c r="AD54" s="138">
        <f>E54+J54+O54+T54+Y54</f>
        <v>85761.8</v>
      </c>
    </row>
    <row r="55" spans="1:31" ht="23.25">
      <c r="A55" s="180" t="s">
        <v>73</v>
      </c>
      <c r="B55" s="180"/>
      <c r="C55" s="182"/>
      <c r="D55" s="145"/>
      <c r="E55" s="152">
        <f t="shared" ref="E55:AC55" si="19">E52</f>
        <v>384.8</v>
      </c>
      <c r="F55" s="152">
        <f t="shared" si="19"/>
        <v>384.8</v>
      </c>
      <c r="G55" s="152">
        <f t="shared" si="19"/>
        <v>0</v>
      </c>
      <c r="H55" s="152">
        <f t="shared" si="19"/>
        <v>0</v>
      </c>
      <c r="I55" s="152">
        <f t="shared" si="19"/>
        <v>0</v>
      </c>
      <c r="J55" s="153">
        <f t="shared" si="19"/>
        <v>387</v>
      </c>
      <c r="K55" s="153">
        <f t="shared" si="19"/>
        <v>387</v>
      </c>
      <c r="L55" s="153">
        <f t="shared" si="19"/>
        <v>0</v>
      </c>
      <c r="M55" s="153">
        <f t="shared" si="19"/>
        <v>0</v>
      </c>
      <c r="N55" s="153">
        <f t="shared" si="19"/>
        <v>0</v>
      </c>
      <c r="O55" s="153">
        <f t="shared" si="19"/>
        <v>387</v>
      </c>
      <c r="P55" s="153">
        <f t="shared" si="19"/>
        <v>387</v>
      </c>
      <c r="Q55" s="153">
        <f t="shared" si="19"/>
        <v>0</v>
      </c>
      <c r="R55" s="153">
        <f t="shared" si="19"/>
        <v>0</v>
      </c>
      <c r="S55" s="153">
        <f t="shared" si="19"/>
        <v>0</v>
      </c>
      <c r="T55" s="153">
        <f t="shared" si="19"/>
        <v>386</v>
      </c>
      <c r="U55" s="153">
        <f t="shared" si="19"/>
        <v>386</v>
      </c>
      <c r="V55" s="153">
        <f t="shared" si="19"/>
        <v>0</v>
      </c>
      <c r="W55" s="153">
        <f t="shared" si="19"/>
        <v>0</v>
      </c>
      <c r="X55" s="153">
        <f t="shared" si="19"/>
        <v>0</v>
      </c>
      <c r="Y55" s="153">
        <f t="shared" si="19"/>
        <v>386</v>
      </c>
      <c r="Z55" s="153">
        <f t="shared" si="19"/>
        <v>386</v>
      </c>
      <c r="AA55" s="153">
        <f t="shared" si="19"/>
        <v>0</v>
      </c>
      <c r="AB55" s="153">
        <f t="shared" si="19"/>
        <v>0</v>
      </c>
      <c r="AC55" s="153">
        <f t="shared" si="19"/>
        <v>0</v>
      </c>
      <c r="AD55" s="154">
        <f>E55+J55+O55+T55+Y55</f>
        <v>1930.8</v>
      </c>
    </row>
    <row r="56" spans="1:31" ht="23.25">
      <c r="A56" s="180" t="s">
        <v>135</v>
      </c>
      <c r="B56" s="180"/>
      <c r="C56" s="182"/>
      <c r="D56" s="145"/>
      <c r="E56" s="142">
        <f>E35+E40+E41+E42+E43+E44+E45+E46+E47+E48+E49+E50+E51+E53</f>
        <v>37737</v>
      </c>
      <c r="F56" s="142">
        <f>F35+F40+F41+F42+F43+F44+F45+F46+F47+F48+F49+F50+F51+F53</f>
        <v>15077</v>
      </c>
      <c r="G56" s="142">
        <f>G35+G40+G36+G37+G38+G39+G40+G41+G42+G43+G44+G45+G46+G47+G48+G49+G50+G51</f>
        <v>22660</v>
      </c>
      <c r="H56" s="142">
        <f>0</f>
        <v>0</v>
      </c>
      <c r="I56" s="142">
        <v>0</v>
      </c>
      <c r="J56" s="137">
        <f>J35+J40+J41+J42+J43+J44+J45+J46+J47+J48+J49+J50+J51+J53</f>
        <v>11287</v>
      </c>
      <c r="K56" s="137">
        <f>K35+K40+K41+K42+K43+K44+K45+K46+K47+K48+K49+K50+K51+K53</f>
        <v>11287</v>
      </c>
      <c r="L56" s="137">
        <v>0</v>
      </c>
      <c r="M56" s="137">
        <v>0</v>
      </c>
      <c r="N56" s="137">
        <v>0</v>
      </c>
      <c r="O56" s="137">
        <f>O35+O40+O41+O42+O43+O44+O46+O45+O47+O48+O49+O50+O51+O53</f>
        <v>11287</v>
      </c>
      <c r="P56" s="137">
        <f>P35+P40+P41+P42+P43+P44+P45+P46+P47+P48+P49+P50+P51+P53</f>
        <v>11287</v>
      </c>
      <c r="Q56" s="137">
        <v>0</v>
      </c>
      <c r="R56" s="137">
        <v>0</v>
      </c>
      <c r="S56" s="137">
        <v>0</v>
      </c>
      <c r="T56" s="137">
        <f>T35+T40+T41+T42+T43+T44+T45+T46+T47+T48+T49+T50+T51+T53</f>
        <v>11760</v>
      </c>
      <c r="U56" s="137">
        <f>U35+U40+U41+U42+U43+U44+U45+U46+U47+U48+U49+U50+U51+U53</f>
        <v>11760</v>
      </c>
      <c r="V56" s="137">
        <v>0</v>
      </c>
      <c r="W56" s="137">
        <v>0</v>
      </c>
      <c r="X56" s="137">
        <v>0</v>
      </c>
      <c r="Y56" s="137">
        <f>Y35+Y40+Y41+Y42+Y43+Y44+Y45+Y46+Y47+Y48+Y49+Y50+Y51+Y53</f>
        <v>11760</v>
      </c>
      <c r="Z56" s="137">
        <f>Z35+Z40+Z41+Z42+Z43+Z44+Z45+Z46+Z47+Z48+Z49+Z50+Z51+Z53</f>
        <v>11760</v>
      </c>
      <c r="AA56" s="137">
        <v>0</v>
      </c>
      <c r="AB56" s="137">
        <v>0</v>
      </c>
      <c r="AC56" s="137">
        <v>0</v>
      </c>
      <c r="AD56" s="137">
        <f>E56+J56+O56+T56+Y56</f>
        <v>83831</v>
      </c>
    </row>
    <row r="57" spans="1:31" ht="23.25">
      <c r="A57" s="41" t="s">
        <v>223</v>
      </c>
      <c r="B57" s="572" t="s">
        <v>248</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4"/>
    </row>
    <row r="58" spans="1:31" ht="75">
      <c r="A58" s="155" t="s">
        <v>27</v>
      </c>
      <c r="B58" s="175" t="s">
        <v>120</v>
      </c>
      <c r="C58" s="41" t="s">
        <v>94</v>
      </c>
      <c r="D58" s="41" t="s">
        <v>93</v>
      </c>
      <c r="E58" s="142">
        <f>F58+G58+H58+I58</f>
        <v>700</v>
      </c>
      <c r="F58" s="142">
        <f>700</f>
        <v>700</v>
      </c>
      <c r="G58" s="142">
        <v>0</v>
      </c>
      <c r="H58" s="142">
        <v>0</v>
      </c>
      <c r="I58" s="142">
        <v>0</v>
      </c>
      <c r="J58" s="142">
        <f>K58+L58+M58+N58</f>
        <v>700</v>
      </c>
      <c r="K58" s="142">
        <v>700</v>
      </c>
      <c r="L58" s="142">
        <v>0</v>
      </c>
      <c r="M58" s="142">
        <v>0</v>
      </c>
      <c r="N58" s="142">
        <v>0</v>
      </c>
      <c r="O58" s="142">
        <f>P58+Q58+R58+S58</f>
        <v>700</v>
      </c>
      <c r="P58" s="142">
        <v>700</v>
      </c>
      <c r="Q58" s="142">
        <v>0</v>
      </c>
      <c r="R58" s="142">
        <v>0</v>
      </c>
      <c r="S58" s="142">
        <v>0</v>
      </c>
      <c r="T58" s="142">
        <f>U58+V58+W58+X58</f>
        <v>700</v>
      </c>
      <c r="U58" s="142">
        <v>700</v>
      </c>
      <c r="V58" s="142">
        <v>0</v>
      </c>
      <c r="W58" s="142">
        <v>0</v>
      </c>
      <c r="X58" s="142">
        <v>0</v>
      </c>
      <c r="Y58" s="142">
        <f>Z58+AA58+AB58+AC58</f>
        <v>700</v>
      </c>
      <c r="Z58" s="142">
        <v>700</v>
      </c>
      <c r="AA58" s="142">
        <v>0</v>
      </c>
      <c r="AB58" s="142">
        <v>0</v>
      </c>
      <c r="AC58" s="142">
        <v>0</v>
      </c>
      <c r="AD58" s="142">
        <f>E58+J58+O58+T58+Y58</f>
        <v>3500</v>
      </c>
    </row>
    <row r="59" spans="1:31" ht="23.25">
      <c r="A59" s="575" t="s">
        <v>44</v>
      </c>
      <c r="B59" s="575"/>
      <c r="C59" s="575"/>
      <c r="D59" s="156"/>
      <c r="E59" s="148">
        <f t="shared" ref="E59:AD59" si="20">SUM(E58:E58)</f>
        <v>700</v>
      </c>
      <c r="F59" s="148">
        <f>SUM(F58)</f>
        <v>700</v>
      </c>
      <c r="G59" s="148">
        <f t="shared" si="20"/>
        <v>0</v>
      </c>
      <c r="H59" s="148">
        <f t="shared" si="20"/>
        <v>0</v>
      </c>
      <c r="I59" s="148">
        <f t="shared" si="20"/>
        <v>0</v>
      </c>
      <c r="J59" s="148">
        <f t="shared" si="20"/>
        <v>700</v>
      </c>
      <c r="K59" s="148">
        <f t="shared" si="20"/>
        <v>700</v>
      </c>
      <c r="L59" s="148">
        <f t="shared" si="20"/>
        <v>0</v>
      </c>
      <c r="M59" s="148">
        <f t="shared" si="20"/>
        <v>0</v>
      </c>
      <c r="N59" s="148">
        <f t="shared" si="20"/>
        <v>0</v>
      </c>
      <c r="O59" s="148">
        <f t="shared" si="20"/>
        <v>700</v>
      </c>
      <c r="P59" s="148">
        <f t="shared" si="20"/>
        <v>700</v>
      </c>
      <c r="Q59" s="148">
        <f t="shared" si="20"/>
        <v>0</v>
      </c>
      <c r="R59" s="148">
        <f t="shared" si="20"/>
        <v>0</v>
      </c>
      <c r="S59" s="148">
        <f t="shared" si="20"/>
        <v>0</v>
      </c>
      <c r="T59" s="148">
        <f t="shared" si="20"/>
        <v>700</v>
      </c>
      <c r="U59" s="148">
        <f t="shared" si="20"/>
        <v>700</v>
      </c>
      <c r="V59" s="148">
        <f t="shared" si="20"/>
        <v>0</v>
      </c>
      <c r="W59" s="148">
        <f t="shared" si="20"/>
        <v>0</v>
      </c>
      <c r="X59" s="148">
        <f t="shared" si="20"/>
        <v>0</v>
      </c>
      <c r="Y59" s="148">
        <f t="shared" si="20"/>
        <v>700</v>
      </c>
      <c r="Z59" s="148">
        <f t="shared" si="20"/>
        <v>700</v>
      </c>
      <c r="AA59" s="148">
        <f t="shared" si="20"/>
        <v>0</v>
      </c>
      <c r="AB59" s="148">
        <f t="shared" si="20"/>
        <v>0</v>
      </c>
      <c r="AC59" s="148">
        <f t="shared" si="20"/>
        <v>0</v>
      </c>
      <c r="AD59" s="148">
        <f t="shared" si="20"/>
        <v>3500</v>
      </c>
    </row>
    <row r="60" spans="1:31" ht="23.25">
      <c r="A60" s="41" t="s">
        <v>249</v>
      </c>
      <c r="B60" s="572" t="s">
        <v>250</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4"/>
    </row>
    <row r="61" spans="1:31" ht="75">
      <c r="A61" s="155" t="s">
        <v>46</v>
      </c>
      <c r="B61" s="175" t="s">
        <v>109</v>
      </c>
      <c r="C61" s="41" t="s">
        <v>94</v>
      </c>
      <c r="D61" s="41" t="s">
        <v>93</v>
      </c>
      <c r="E61" s="142">
        <f>F61+G61+H61+I61</f>
        <v>1449</v>
      </c>
      <c r="F61" s="142">
        <f>1656-207</f>
        <v>1449</v>
      </c>
      <c r="G61" s="142">
        <v>0</v>
      </c>
      <c r="H61" s="142">
        <v>0</v>
      </c>
      <c r="I61" s="142">
        <v>0</v>
      </c>
      <c r="J61" s="142">
        <f>K61+L61+M61+N61</f>
        <v>1656</v>
      </c>
      <c r="K61" s="142">
        <v>1656</v>
      </c>
      <c r="L61" s="142">
        <v>0</v>
      </c>
      <c r="M61" s="142">
        <v>0</v>
      </c>
      <c r="N61" s="142">
        <v>0</v>
      </c>
      <c r="O61" s="142">
        <f>P61+Q61+R61+S61</f>
        <v>1656</v>
      </c>
      <c r="P61" s="142">
        <v>1656</v>
      </c>
      <c r="Q61" s="142">
        <v>0</v>
      </c>
      <c r="R61" s="142">
        <v>0</v>
      </c>
      <c r="S61" s="142">
        <v>0</v>
      </c>
      <c r="T61" s="142">
        <f>U61+V61+W61+X61</f>
        <v>1656</v>
      </c>
      <c r="U61" s="142">
        <v>1656</v>
      </c>
      <c r="V61" s="142">
        <v>0</v>
      </c>
      <c r="W61" s="142">
        <v>0</v>
      </c>
      <c r="X61" s="142">
        <v>0</v>
      </c>
      <c r="Y61" s="142">
        <f>Z61+AA61+AB61+AC61</f>
        <v>1656</v>
      </c>
      <c r="Z61" s="142">
        <v>1656</v>
      </c>
      <c r="AA61" s="142">
        <v>0</v>
      </c>
      <c r="AB61" s="142">
        <v>0</v>
      </c>
      <c r="AC61" s="142">
        <v>0</v>
      </c>
      <c r="AD61" s="142">
        <f>E61+J61+O61+T61+Y61</f>
        <v>8073</v>
      </c>
    </row>
    <row r="62" spans="1:31" ht="56.25">
      <c r="A62" s="155" t="s">
        <v>251</v>
      </c>
      <c r="B62" s="175" t="s">
        <v>267</v>
      </c>
      <c r="C62" s="41" t="s">
        <v>52</v>
      </c>
      <c r="D62" s="41" t="s">
        <v>93</v>
      </c>
      <c r="E62" s="142">
        <f>F62+G62+H62+I62</f>
        <v>55</v>
      </c>
      <c r="F62" s="142">
        <f>86-31</f>
        <v>55</v>
      </c>
      <c r="G62" s="142">
        <v>0</v>
      </c>
      <c r="H62" s="142">
        <v>0</v>
      </c>
      <c r="I62" s="142">
        <v>0</v>
      </c>
      <c r="J62" s="142">
        <f>K62+L62+M62+N62</f>
        <v>86</v>
      </c>
      <c r="K62" s="142">
        <v>86</v>
      </c>
      <c r="L62" s="142">
        <v>0</v>
      </c>
      <c r="M62" s="142">
        <v>0</v>
      </c>
      <c r="N62" s="142">
        <v>0</v>
      </c>
      <c r="O62" s="142">
        <f>P62+Q62+R62+S62</f>
        <v>86</v>
      </c>
      <c r="P62" s="142">
        <v>86</v>
      </c>
      <c r="Q62" s="142">
        <v>0</v>
      </c>
      <c r="R62" s="142">
        <v>0</v>
      </c>
      <c r="S62" s="142">
        <v>0</v>
      </c>
      <c r="T62" s="142">
        <f>U62+V62+W62+X62</f>
        <v>86</v>
      </c>
      <c r="U62" s="142">
        <v>86</v>
      </c>
      <c r="V62" s="142">
        <v>0</v>
      </c>
      <c r="W62" s="142">
        <v>0</v>
      </c>
      <c r="X62" s="142">
        <v>0</v>
      </c>
      <c r="Y62" s="142">
        <f>Z62+AA62+AB62+AC62</f>
        <v>86</v>
      </c>
      <c r="Z62" s="142">
        <v>86</v>
      </c>
      <c r="AA62" s="142">
        <v>0</v>
      </c>
      <c r="AB62" s="142">
        <v>0</v>
      </c>
      <c r="AC62" s="142">
        <v>0</v>
      </c>
      <c r="AD62" s="142">
        <f>E62+J62+O62+T62+Y62</f>
        <v>399</v>
      </c>
    </row>
    <row r="63" spans="1:31" ht="23.25">
      <c r="A63" s="575" t="s">
        <v>47</v>
      </c>
      <c r="B63" s="575"/>
      <c r="C63" s="575"/>
      <c r="D63" s="156"/>
      <c r="E63" s="148">
        <f t="shared" ref="E63:AD63" si="21">SUM(E61:E62)</f>
        <v>1504</v>
      </c>
      <c r="F63" s="148">
        <f>SUM(F61:F62)</f>
        <v>1504</v>
      </c>
      <c r="G63" s="148">
        <f t="shared" si="21"/>
        <v>0</v>
      </c>
      <c r="H63" s="148">
        <f t="shared" si="21"/>
        <v>0</v>
      </c>
      <c r="I63" s="148">
        <f t="shared" si="21"/>
        <v>0</v>
      </c>
      <c r="J63" s="148">
        <f t="shared" si="21"/>
        <v>1742</v>
      </c>
      <c r="K63" s="148">
        <f t="shared" si="21"/>
        <v>1742</v>
      </c>
      <c r="L63" s="148">
        <f t="shared" si="21"/>
        <v>0</v>
      </c>
      <c r="M63" s="148">
        <f t="shared" si="21"/>
        <v>0</v>
      </c>
      <c r="N63" s="148">
        <f t="shared" si="21"/>
        <v>0</v>
      </c>
      <c r="O63" s="148">
        <f t="shared" si="21"/>
        <v>1742</v>
      </c>
      <c r="P63" s="148">
        <f t="shared" si="21"/>
        <v>1742</v>
      </c>
      <c r="Q63" s="148">
        <f t="shared" si="21"/>
        <v>0</v>
      </c>
      <c r="R63" s="148">
        <f t="shared" si="21"/>
        <v>0</v>
      </c>
      <c r="S63" s="148">
        <f t="shared" si="21"/>
        <v>0</v>
      </c>
      <c r="T63" s="148">
        <f t="shared" si="21"/>
        <v>1742</v>
      </c>
      <c r="U63" s="148">
        <f t="shared" si="21"/>
        <v>1742</v>
      </c>
      <c r="V63" s="148">
        <f t="shared" si="21"/>
        <v>0</v>
      </c>
      <c r="W63" s="148">
        <f t="shared" si="21"/>
        <v>0</v>
      </c>
      <c r="X63" s="148">
        <f t="shared" si="21"/>
        <v>0</v>
      </c>
      <c r="Y63" s="148">
        <f t="shared" si="21"/>
        <v>1742</v>
      </c>
      <c r="Z63" s="148">
        <f t="shared" si="21"/>
        <v>1742</v>
      </c>
      <c r="AA63" s="148">
        <f t="shared" si="21"/>
        <v>0</v>
      </c>
      <c r="AB63" s="148">
        <f t="shared" si="21"/>
        <v>0</v>
      </c>
      <c r="AC63" s="148">
        <f t="shared" si="21"/>
        <v>0</v>
      </c>
      <c r="AD63" s="148">
        <f t="shared" si="21"/>
        <v>8472</v>
      </c>
    </row>
    <row r="64" spans="1:31" ht="23.25">
      <c r="A64" s="188" t="s">
        <v>73</v>
      </c>
      <c r="B64" s="188"/>
      <c r="C64" s="189"/>
      <c r="D64" s="157"/>
      <c r="E64" s="152">
        <f>E62</f>
        <v>55</v>
      </c>
      <c r="F64" s="152">
        <f>F62</f>
        <v>55</v>
      </c>
      <c r="G64" s="152">
        <v>0</v>
      </c>
      <c r="H64" s="152">
        <v>0</v>
      </c>
      <c r="I64" s="152">
        <v>0</v>
      </c>
      <c r="J64" s="152">
        <f>J62</f>
        <v>86</v>
      </c>
      <c r="K64" s="152">
        <f>K62</f>
        <v>86</v>
      </c>
      <c r="L64" s="152">
        <v>0</v>
      </c>
      <c r="M64" s="152">
        <v>0</v>
      </c>
      <c r="N64" s="152">
        <v>0</v>
      </c>
      <c r="O64" s="152">
        <f>O62</f>
        <v>86</v>
      </c>
      <c r="P64" s="152">
        <f>P62</f>
        <v>86</v>
      </c>
      <c r="Q64" s="152">
        <v>0</v>
      </c>
      <c r="R64" s="152">
        <v>0</v>
      </c>
      <c r="S64" s="152">
        <v>0</v>
      </c>
      <c r="T64" s="152">
        <f>T62</f>
        <v>86</v>
      </c>
      <c r="U64" s="152">
        <f>U62</f>
        <v>86</v>
      </c>
      <c r="V64" s="152">
        <v>0</v>
      </c>
      <c r="W64" s="152">
        <v>0</v>
      </c>
      <c r="X64" s="152">
        <v>0</v>
      </c>
      <c r="Y64" s="152">
        <f>Y62</f>
        <v>86</v>
      </c>
      <c r="Z64" s="152">
        <f>Z62</f>
        <v>86</v>
      </c>
      <c r="AA64" s="152">
        <v>0</v>
      </c>
      <c r="AB64" s="152">
        <v>0</v>
      </c>
      <c r="AC64" s="152">
        <v>0</v>
      </c>
      <c r="AD64" s="158">
        <f>AD62</f>
        <v>399</v>
      </c>
    </row>
    <row r="65" spans="1:35" ht="23.25">
      <c r="A65" s="188" t="s">
        <v>135</v>
      </c>
      <c r="B65" s="188"/>
      <c r="C65" s="189"/>
      <c r="D65" s="157"/>
      <c r="E65" s="152">
        <f>E61</f>
        <v>1449</v>
      </c>
      <c r="F65" s="152">
        <f>F61</f>
        <v>1449</v>
      </c>
      <c r="G65" s="152">
        <v>0</v>
      </c>
      <c r="H65" s="152">
        <v>0</v>
      </c>
      <c r="I65" s="152">
        <v>0</v>
      </c>
      <c r="J65" s="152">
        <f>J61</f>
        <v>1656</v>
      </c>
      <c r="K65" s="152">
        <f>K61</f>
        <v>1656</v>
      </c>
      <c r="L65" s="152">
        <v>0</v>
      </c>
      <c r="M65" s="152">
        <v>0</v>
      </c>
      <c r="N65" s="152">
        <v>0</v>
      </c>
      <c r="O65" s="152">
        <f>O61</f>
        <v>1656</v>
      </c>
      <c r="P65" s="152">
        <f>P61</f>
        <v>1656</v>
      </c>
      <c r="Q65" s="152">
        <v>0</v>
      </c>
      <c r="R65" s="152">
        <v>0</v>
      </c>
      <c r="S65" s="152">
        <v>0</v>
      </c>
      <c r="T65" s="152">
        <f>T61</f>
        <v>1656</v>
      </c>
      <c r="U65" s="152">
        <f>U61</f>
        <v>1656</v>
      </c>
      <c r="V65" s="152">
        <v>0</v>
      </c>
      <c r="W65" s="152">
        <v>0</v>
      </c>
      <c r="X65" s="152">
        <v>0</v>
      </c>
      <c r="Y65" s="152">
        <f>Y61</f>
        <v>1656</v>
      </c>
      <c r="Z65" s="152">
        <f>Z61</f>
        <v>1656</v>
      </c>
      <c r="AA65" s="152">
        <v>0</v>
      </c>
      <c r="AB65" s="152">
        <v>0</v>
      </c>
      <c r="AC65" s="152">
        <v>0</v>
      </c>
      <c r="AD65" s="158">
        <f>AD61</f>
        <v>8073</v>
      </c>
    </row>
    <row r="66" spans="1:35" ht="23.25">
      <c r="A66" s="25" t="s">
        <v>224</v>
      </c>
      <c r="B66" s="558" t="s">
        <v>269</v>
      </c>
      <c r="C66" s="559"/>
      <c r="D66" s="559"/>
      <c r="E66" s="559"/>
      <c r="F66" s="559"/>
      <c r="G66" s="559"/>
      <c r="H66" s="559"/>
      <c r="I66" s="559"/>
      <c r="J66" s="559"/>
      <c r="K66" s="559"/>
      <c r="L66" s="559"/>
      <c r="M66" s="559"/>
      <c r="N66" s="559"/>
      <c r="O66" s="559"/>
      <c r="P66" s="559"/>
      <c r="Q66" s="559"/>
      <c r="R66" s="559"/>
      <c r="S66" s="559"/>
      <c r="T66" s="559"/>
      <c r="U66" s="559"/>
      <c r="V66" s="559"/>
      <c r="W66" s="559"/>
      <c r="X66" s="559"/>
      <c r="Y66" s="559"/>
      <c r="Z66" s="559"/>
      <c r="AA66" s="559"/>
      <c r="AB66" s="559"/>
      <c r="AC66" s="559"/>
      <c r="AD66" s="560"/>
    </row>
    <row r="67" spans="1:35" ht="144" customHeight="1">
      <c r="A67" s="135" t="s">
        <v>48</v>
      </c>
      <c r="B67" s="190" t="s">
        <v>108</v>
      </c>
      <c r="C67" s="25" t="s">
        <v>94</v>
      </c>
      <c r="D67" s="25" t="s">
        <v>93</v>
      </c>
      <c r="E67" s="142">
        <f>F67+G67+H67+I67</f>
        <v>766</v>
      </c>
      <c r="F67" s="142">
        <f>409+357</f>
        <v>766</v>
      </c>
      <c r="G67" s="142">
        <v>0</v>
      </c>
      <c r="H67" s="142">
        <v>0</v>
      </c>
      <c r="I67" s="142">
        <v>0</v>
      </c>
      <c r="J67" s="137">
        <f>K67+L67+M67+N67</f>
        <v>409</v>
      </c>
      <c r="K67" s="137">
        <v>409</v>
      </c>
      <c r="L67" s="137">
        <v>0</v>
      </c>
      <c r="M67" s="137">
        <v>0</v>
      </c>
      <c r="N67" s="137">
        <v>0</v>
      </c>
      <c r="O67" s="137">
        <v>409</v>
      </c>
      <c r="P67" s="137">
        <v>409</v>
      </c>
      <c r="Q67" s="137">
        <v>0</v>
      </c>
      <c r="R67" s="137">
        <v>0</v>
      </c>
      <c r="S67" s="137">
        <v>0</v>
      </c>
      <c r="T67" s="137">
        <v>510</v>
      </c>
      <c r="U67" s="137">
        <v>510</v>
      </c>
      <c r="V67" s="137">
        <v>0</v>
      </c>
      <c r="W67" s="137">
        <v>0</v>
      </c>
      <c r="X67" s="137">
        <v>0</v>
      </c>
      <c r="Y67" s="137">
        <v>510</v>
      </c>
      <c r="Z67" s="137">
        <v>510</v>
      </c>
      <c r="AA67" s="142">
        <v>0</v>
      </c>
      <c r="AB67" s="142">
        <v>0</v>
      </c>
      <c r="AC67" s="142">
        <v>0</v>
      </c>
      <c r="AD67" s="142">
        <f>E67+J67+O67+T67+Y67</f>
        <v>2604</v>
      </c>
      <c r="AF67" s="159" t="s">
        <v>131</v>
      </c>
      <c r="AG67" s="159"/>
      <c r="AH67" s="159"/>
      <c r="AI67" s="159"/>
    </row>
    <row r="68" spans="1:35">
      <c r="A68" s="576" t="s">
        <v>49</v>
      </c>
      <c r="B68" s="576"/>
      <c r="C68" s="576"/>
      <c r="D68" s="144"/>
      <c r="E68" s="138">
        <f t="shared" ref="E68:AD68" si="22">SUM(E67:E67)</f>
        <v>766</v>
      </c>
      <c r="F68" s="138">
        <f>SUM(F67)</f>
        <v>766</v>
      </c>
      <c r="G68" s="138">
        <f t="shared" si="22"/>
        <v>0</v>
      </c>
      <c r="H68" s="138">
        <f t="shared" si="22"/>
        <v>0</v>
      </c>
      <c r="I68" s="138">
        <f t="shared" si="22"/>
        <v>0</v>
      </c>
      <c r="J68" s="138">
        <f t="shared" si="22"/>
        <v>409</v>
      </c>
      <c r="K68" s="138">
        <f t="shared" si="22"/>
        <v>409</v>
      </c>
      <c r="L68" s="138">
        <f t="shared" si="22"/>
        <v>0</v>
      </c>
      <c r="M68" s="138">
        <f t="shared" si="22"/>
        <v>0</v>
      </c>
      <c r="N68" s="138">
        <f t="shared" si="22"/>
        <v>0</v>
      </c>
      <c r="O68" s="138">
        <f t="shared" si="22"/>
        <v>409</v>
      </c>
      <c r="P68" s="138">
        <f t="shared" si="22"/>
        <v>409</v>
      </c>
      <c r="Q68" s="138">
        <f t="shared" si="22"/>
        <v>0</v>
      </c>
      <c r="R68" s="138">
        <f t="shared" si="22"/>
        <v>0</v>
      </c>
      <c r="S68" s="138">
        <f t="shared" si="22"/>
        <v>0</v>
      </c>
      <c r="T68" s="138">
        <f t="shared" si="22"/>
        <v>510</v>
      </c>
      <c r="U68" s="138">
        <f t="shared" si="22"/>
        <v>510</v>
      </c>
      <c r="V68" s="138">
        <f t="shared" si="22"/>
        <v>0</v>
      </c>
      <c r="W68" s="138">
        <f t="shared" si="22"/>
        <v>0</v>
      </c>
      <c r="X68" s="138">
        <f t="shared" si="22"/>
        <v>0</v>
      </c>
      <c r="Y68" s="138">
        <f t="shared" si="22"/>
        <v>510</v>
      </c>
      <c r="Z68" s="138">
        <f t="shared" si="22"/>
        <v>510</v>
      </c>
      <c r="AA68" s="138">
        <f t="shared" si="22"/>
        <v>0</v>
      </c>
      <c r="AB68" s="138">
        <f t="shared" si="22"/>
        <v>0</v>
      </c>
      <c r="AC68" s="138">
        <f t="shared" si="22"/>
        <v>0</v>
      </c>
      <c r="AD68" s="138">
        <f t="shared" si="22"/>
        <v>2604</v>
      </c>
    </row>
    <row r="69" spans="1:35" ht="27.75" customHeight="1">
      <c r="A69" s="192" t="s">
        <v>252</v>
      </c>
      <c r="B69" s="558" t="s">
        <v>253</v>
      </c>
      <c r="C69" s="559"/>
      <c r="D69" s="559"/>
      <c r="E69" s="559"/>
      <c r="F69" s="559"/>
      <c r="G69" s="559"/>
      <c r="H69" s="559"/>
      <c r="I69" s="559"/>
      <c r="J69" s="559"/>
      <c r="K69" s="559"/>
      <c r="L69" s="559"/>
      <c r="M69" s="559"/>
      <c r="N69" s="559"/>
      <c r="O69" s="559"/>
      <c r="P69" s="559"/>
      <c r="Q69" s="559"/>
      <c r="R69" s="559"/>
      <c r="S69" s="559"/>
      <c r="T69" s="559"/>
      <c r="U69" s="559"/>
      <c r="V69" s="559"/>
      <c r="W69" s="559"/>
      <c r="X69" s="559"/>
      <c r="Y69" s="559"/>
      <c r="Z69" s="559"/>
      <c r="AA69" s="559"/>
      <c r="AB69" s="559"/>
      <c r="AC69" s="559"/>
      <c r="AD69" s="560"/>
    </row>
    <row r="70" spans="1:35" ht="192" customHeight="1">
      <c r="A70" s="192" t="s">
        <v>50</v>
      </c>
      <c r="B70" s="170" t="s">
        <v>115</v>
      </c>
      <c r="C70" s="25" t="s">
        <v>106</v>
      </c>
      <c r="D70" s="25" t="s">
        <v>93</v>
      </c>
      <c r="E70" s="197">
        <f>F70+G70+H70+I70</f>
        <v>25286</v>
      </c>
      <c r="F70" s="197">
        <f>27786-2500</f>
        <v>25286</v>
      </c>
      <c r="G70" s="198">
        <v>0</v>
      </c>
      <c r="H70" s="198">
        <v>0</v>
      </c>
      <c r="I70" s="137">
        <v>0</v>
      </c>
      <c r="J70" s="142">
        <f>K70+L70+M70+N70</f>
        <v>27786</v>
      </c>
      <c r="K70" s="142">
        <v>27786</v>
      </c>
      <c r="L70" s="142">
        <v>0</v>
      </c>
      <c r="M70" s="142">
        <v>0</v>
      </c>
      <c r="N70" s="142">
        <v>0</v>
      </c>
      <c r="O70" s="137">
        <v>27786</v>
      </c>
      <c r="P70" s="137">
        <v>27786</v>
      </c>
      <c r="Q70" s="137">
        <v>0</v>
      </c>
      <c r="R70" s="137">
        <v>0</v>
      </c>
      <c r="S70" s="137">
        <v>0</v>
      </c>
      <c r="T70" s="137">
        <v>40120</v>
      </c>
      <c r="U70" s="137">
        <v>40120</v>
      </c>
      <c r="V70" s="137">
        <v>0</v>
      </c>
      <c r="W70" s="137">
        <v>0</v>
      </c>
      <c r="X70" s="137">
        <v>0</v>
      </c>
      <c r="Y70" s="137">
        <v>40120</v>
      </c>
      <c r="Z70" s="137">
        <v>40120</v>
      </c>
      <c r="AA70" s="137">
        <v>0</v>
      </c>
      <c r="AB70" s="137">
        <v>0</v>
      </c>
      <c r="AC70" s="137">
        <v>0</v>
      </c>
      <c r="AD70" s="137">
        <f>E70+J70+O70+T70+Y70</f>
        <v>161098</v>
      </c>
    </row>
    <row r="71" spans="1:35" ht="23.25">
      <c r="A71" s="565" t="s">
        <v>53</v>
      </c>
      <c r="B71" s="566"/>
      <c r="C71" s="567"/>
      <c r="D71" s="144"/>
      <c r="E71" s="138">
        <f t="shared" ref="E71:AD71" si="23">SUM(E70:E70)</f>
        <v>25286</v>
      </c>
      <c r="F71" s="138">
        <f>SUM(F70)</f>
        <v>25286</v>
      </c>
      <c r="G71" s="138">
        <f t="shared" si="23"/>
        <v>0</v>
      </c>
      <c r="H71" s="138">
        <f t="shared" si="23"/>
        <v>0</v>
      </c>
      <c r="I71" s="138">
        <f t="shared" si="23"/>
        <v>0</v>
      </c>
      <c r="J71" s="138">
        <f t="shared" si="23"/>
        <v>27786</v>
      </c>
      <c r="K71" s="138">
        <f t="shared" si="23"/>
        <v>27786</v>
      </c>
      <c r="L71" s="138">
        <f t="shared" si="23"/>
        <v>0</v>
      </c>
      <c r="M71" s="138">
        <f t="shared" si="23"/>
        <v>0</v>
      </c>
      <c r="N71" s="138">
        <f t="shared" si="23"/>
        <v>0</v>
      </c>
      <c r="O71" s="138">
        <f t="shared" si="23"/>
        <v>27786</v>
      </c>
      <c r="P71" s="138">
        <f t="shared" si="23"/>
        <v>27786</v>
      </c>
      <c r="Q71" s="138">
        <f t="shared" si="23"/>
        <v>0</v>
      </c>
      <c r="R71" s="138">
        <f t="shared" si="23"/>
        <v>0</v>
      </c>
      <c r="S71" s="138">
        <f t="shared" si="23"/>
        <v>0</v>
      </c>
      <c r="T71" s="138">
        <f t="shared" si="23"/>
        <v>40120</v>
      </c>
      <c r="U71" s="138">
        <f t="shared" si="23"/>
        <v>40120</v>
      </c>
      <c r="V71" s="138">
        <f t="shared" si="23"/>
        <v>0</v>
      </c>
      <c r="W71" s="138">
        <f t="shared" si="23"/>
        <v>0</v>
      </c>
      <c r="X71" s="138">
        <f t="shared" si="23"/>
        <v>0</v>
      </c>
      <c r="Y71" s="138">
        <f t="shared" si="23"/>
        <v>40120</v>
      </c>
      <c r="Z71" s="138">
        <f t="shared" si="23"/>
        <v>40120</v>
      </c>
      <c r="AA71" s="138">
        <f t="shared" si="23"/>
        <v>0</v>
      </c>
      <c r="AB71" s="138">
        <f t="shared" si="23"/>
        <v>0</v>
      </c>
      <c r="AC71" s="138">
        <f t="shared" si="23"/>
        <v>0</v>
      </c>
      <c r="AD71" s="138">
        <f t="shared" si="23"/>
        <v>161098</v>
      </c>
    </row>
    <row r="72" spans="1:35" ht="39" customHeight="1">
      <c r="A72" s="192" t="s">
        <v>254</v>
      </c>
      <c r="B72" s="558" t="s">
        <v>255</v>
      </c>
      <c r="C72" s="559"/>
      <c r="D72" s="559"/>
      <c r="E72" s="559"/>
      <c r="F72" s="559"/>
      <c r="G72" s="559"/>
      <c r="H72" s="559"/>
      <c r="I72" s="559"/>
      <c r="J72" s="559"/>
      <c r="K72" s="559"/>
      <c r="L72" s="559"/>
      <c r="M72" s="559"/>
      <c r="N72" s="559"/>
      <c r="O72" s="559"/>
      <c r="P72" s="559"/>
      <c r="Q72" s="559"/>
      <c r="R72" s="559"/>
      <c r="S72" s="559"/>
      <c r="T72" s="559"/>
      <c r="U72" s="559"/>
      <c r="V72" s="559"/>
      <c r="W72" s="559"/>
      <c r="X72" s="559"/>
      <c r="Y72" s="559"/>
      <c r="Z72" s="559"/>
      <c r="AA72" s="559"/>
      <c r="AB72" s="559"/>
      <c r="AC72" s="559"/>
      <c r="AD72" s="560"/>
    </row>
    <row r="73" spans="1:35" ht="98.25" customHeight="1">
      <c r="A73" s="192" t="s">
        <v>55</v>
      </c>
      <c r="B73" s="191" t="s">
        <v>96</v>
      </c>
      <c r="C73" s="25" t="s">
        <v>94</v>
      </c>
      <c r="D73" s="25" t="s">
        <v>93</v>
      </c>
      <c r="E73" s="136">
        <f>F73+G73+H73+I73</f>
        <v>7420</v>
      </c>
      <c r="F73" s="136">
        <f>6486+934</f>
        <v>7420</v>
      </c>
      <c r="G73" s="136">
        <v>0</v>
      </c>
      <c r="H73" s="142">
        <v>0</v>
      </c>
      <c r="I73" s="142">
        <v>0</v>
      </c>
      <c r="J73" s="142">
        <f>K73+L73+M73+N73</f>
        <v>6486</v>
      </c>
      <c r="K73" s="142">
        <v>6486</v>
      </c>
      <c r="L73" s="142">
        <v>0</v>
      </c>
      <c r="M73" s="142">
        <v>0</v>
      </c>
      <c r="N73" s="142">
        <v>0</v>
      </c>
      <c r="O73" s="137">
        <f>P73+Q73+R73+S73</f>
        <v>6486</v>
      </c>
      <c r="P73" s="137">
        <v>6486</v>
      </c>
      <c r="Q73" s="137">
        <v>0</v>
      </c>
      <c r="R73" s="137">
        <v>0</v>
      </c>
      <c r="S73" s="137">
        <v>0</v>
      </c>
      <c r="T73" s="137">
        <f>U73+V73+W73+X73</f>
        <v>6486</v>
      </c>
      <c r="U73" s="137">
        <v>6486</v>
      </c>
      <c r="V73" s="137">
        <v>0</v>
      </c>
      <c r="W73" s="137">
        <v>0</v>
      </c>
      <c r="X73" s="137">
        <v>0</v>
      </c>
      <c r="Y73" s="137">
        <f>Z73+AA73+AB73+AC73</f>
        <v>6486</v>
      </c>
      <c r="Z73" s="137">
        <v>6486</v>
      </c>
      <c r="AA73" s="137">
        <v>0</v>
      </c>
      <c r="AB73" s="137">
        <v>0</v>
      </c>
      <c r="AC73" s="137">
        <v>0</v>
      </c>
      <c r="AD73" s="137">
        <f>E73+J73+O73+T73+Y73</f>
        <v>33364</v>
      </c>
    </row>
    <row r="74" spans="1:35" ht="98.25" customHeight="1">
      <c r="A74" s="192" t="s">
        <v>256</v>
      </c>
      <c r="B74" s="170" t="s">
        <v>209</v>
      </c>
      <c r="C74" s="25" t="s">
        <v>94</v>
      </c>
      <c r="D74" s="25" t="s">
        <v>93</v>
      </c>
      <c r="E74" s="142">
        <f>SUM(F74:I74)</f>
        <v>681</v>
      </c>
      <c r="F74" s="142">
        <v>681</v>
      </c>
      <c r="G74" s="142">
        <v>0</v>
      </c>
      <c r="H74" s="142">
        <v>0</v>
      </c>
      <c r="I74" s="142">
        <v>0</v>
      </c>
      <c r="J74" s="142">
        <f>K74+L74+M74+N74</f>
        <v>681</v>
      </c>
      <c r="K74" s="142">
        <v>681</v>
      </c>
      <c r="L74" s="142">
        <v>0</v>
      </c>
      <c r="M74" s="142">
        <v>0</v>
      </c>
      <c r="N74" s="142">
        <v>0</v>
      </c>
      <c r="O74" s="137">
        <v>681</v>
      </c>
      <c r="P74" s="137">
        <v>681</v>
      </c>
      <c r="Q74" s="137">
        <v>0</v>
      </c>
      <c r="R74" s="137">
        <v>0</v>
      </c>
      <c r="S74" s="137">
        <v>0</v>
      </c>
      <c r="T74" s="137">
        <f>U74+V74+W74+X74</f>
        <v>660</v>
      </c>
      <c r="U74" s="137">
        <v>660</v>
      </c>
      <c r="V74" s="137">
        <v>0</v>
      </c>
      <c r="W74" s="137">
        <v>0</v>
      </c>
      <c r="X74" s="137">
        <v>0</v>
      </c>
      <c r="Y74" s="137">
        <f>Z74+AA74+AB74+AC74</f>
        <v>660</v>
      </c>
      <c r="Z74" s="137">
        <v>660</v>
      </c>
      <c r="AA74" s="137">
        <v>0</v>
      </c>
      <c r="AB74" s="137">
        <v>0</v>
      </c>
      <c r="AC74" s="137">
        <v>0</v>
      </c>
      <c r="AD74" s="137">
        <f>E74+J74+O74+T74+Y74</f>
        <v>3363</v>
      </c>
    </row>
    <row r="75" spans="1:35" ht="135.75" customHeight="1">
      <c r="A75" s="192" t="s">
        <v>257</v>
      </c>
      <c r="B75" s="170" t="s">
        <v>271</v>
      </c>
      <c r="C75" s="25" t="s">
        <v>266</v>
      </c>
      <c r="D75" s="25" t="s">
        <v>93</v>
      </c>
      <c r="E75" s="142">
        <f>F75+G75+H75+I75</f>
        <v>774</v>
      </c>
      <c r="F75" s="142">
        <f>774</f>
        <v>774</v>
      </c>
      <c r="G75" s="142">
        <v>0</v>
      </c>
      <c r="H75" s="142">
        <v>0</v>
      </c>
      <c r="I75" s="142">
        <v>0</v>
      </c>
      <c r="J75" s="142">
        <f>K75+L75+M75+N75</f>
        <v>774</v>
      </c>
      <c r="K75" s="142">
        <v>774</v>
      </c>
      <c r="L75" s="142">
        <v>0</v>
      </c>
      <c r="M75" s="142">
        <v>0</v>
      </c>
      <c r="N75" s="142">
        <v>0</v>
      </c>
      <c r="O75" s="137">
        <f>P75+Q75+R75+S75</f>
        <v>774</v>
      </c>
      <c r="P75" s="137">
        <v>774</v>
      </c>
      <c r="Q75" s="137">
        <v>0</v>
      </c>
      <c r="R75" s="137">
        <v>0</v>
      </c>
      <c r="S75" s="137">
        <v>0</v>
      </c>
      <c r="T75" s="137">
        <f>U75+V75+W75+X75</f>
        <v>774</v>
      </c>
      <c r="U75" s="137">
        <v>774</v>
      </c>
      <c r="V75" s="137">
        <v>0</v>
      </c>
      <c r="W75" s="137">
        <v>0</v>
      </c>
      <c r="X75" s="137">
        <v>0</v>
      </c>
      <c r="Y75" s="137">
        <f>Z75+AA75+AB75+AC75</f>
        <v>774</v>
      </c>
      <c r="Z75" s="137">
        <v>774</v>
      </c>
      <c r="AA75" s="137">
        <v>0</v>
      </c>
      <c r="AB75" s="137">
        <v>0</v>
      </c>
      <c r="AC75" s="137">
        <v>0</v>
      </c>
      <c r="AD75" s="138">
        <f>E75+J75+O75+T75+Y75</f>
        <v>3870</v>
      </c>
    </row>
    <row r="76" spans="1:35" ht="23.25">
      <c r="A76" s="565" t="s">
        <v>56</v>
      </c>
      <c r="B76" s="566"/>
      <c r="C76" s="567"/>
      <c r="D76" s="144"/>
      <c r="E76" s="148">
        <f>E73+E74+E75</f>
        <v>8875</v>
      </c>
      <c r="F76" s="148">
        <f>F73+F74+F75</f>
        <v>8875</v>
      </c>
      <c r="G76" s="148">
        <f>SUM(G73:G73)</f>
        <v>0</v>
      </c>
      <c r="H76" s="148">
        <f>SUM(H73:H73)</f>
        <v>0</v>
      </c>
      <c r="I76" s="148">
        <f>SUM(I73:I73)</f>
        <v>0</v>
      </c>
      <c r="J76" s="138">
        <f>J73+J74+J75</f>
        <v>7941</v>
      </c>
      <c r="K76" s="138">
        <f>K73+K74+K75</f>
        <v>7941</v>
      </c>
      <c r="L76" s="138">
        <f>SUM(L73:L73)</f>
        <v>0</v>
      </c>
      <c r="M76" s="138">
        <f>SUM(M73:M73)</f>
        <v>0</v>
      </c>
      <c r="N76" s="138">
        <f>SUM(N73:N73)</f>
        <v>0</v>
      </c>
      <c r="O76" s="138">
        <f>O73+O74+O75</f>
        <v>7941</v>
      </c>
      <c r="P76" s="138">
        <f>P73+P74+P75</f>
        <v>7941</v>
      </c>
      <c r="Q76" s="138">
        <f>SUM(Q73:Q73)</f>
        <v>0</v>
      </c>
      <c r="R76" s="138">
        <f>SUM(R73:R73)</f>
        <v>0</v>
      </c>
      <c r="S76" s="138">
        <f>SUM(S73:S73)</f>
        <v>0</v>
      </c>
      <c r="T76" s="138">
        <f>T73+T74+T75</f>
        <v>7920</v>
      </c>
      <c r="U76" s="138">
        <f>U73+U74+U75</f>
        <v>7920</v>
      </c>
      <c r="V76" s="138">
        <f>SUM(V73:V73)</f>
        <v>0</v>
      </c>
      <c r="W76" s="138">
        <f>SUM(W73:W73)</f>
        <v>0</v>
      </c>
      <c r="X76" s="138">
        <f>SUM(X73:X73)</f>
        <v>0</v>
      </c>
      <c r="Y76" s="138">
        <f>Y73+Y74+Y75</f>
        <v>7920</v>
      </c>
      <c r="Z76" s="138">
        <f>Z73+Z74+Z75</f>
        <v>7920</v>
      </c>
      <c r="AA76" s="138">
        <f>SUM(AA73:AA73)</f>
        <v>0</v>
      </c>
      <c r="AB76" s="138">
        <f>SUM(AB73:AB73)</f>
        <v>0</v>
      </c>
      <c r="AC76" s="138">
        <f>SUM(AC73:AC73)</f>
        <v>0</v>
      </c>
      <c r="AD76" s="138">
        <f>SUM(AD73:AD75)</f>
        <v>40597</v>
      </c>
    </row>
    <row r="77" spans="1:35" ht="23.25">
      <c r="A77" s="180" t="s">
        <v>135</v>
      </c>
      <c r="B77" s="180"/>
      <c r="C77" s="182"/>
      <c r="D77" s="145"/>
      <c r="E77" s="153">
        <f>E73+E74+E75</f>
        <v>8875</v>
      </c>
      <c r="F77" s="153">
        <f>F73+F74+F75</f>
        <v>8875</v>
      </c>
      <c r="G77" s="153">
        <v>0</v>
      </c>
      <c r="H77" s="153">
        <v>0</v>
      </c>
      <c r="I77" s="153">
        <v>0</v>
      </c>
      <c r="J77" s="153">
        <f>J73+J74</f>
        <v>7167</v>
      </c>
      <c r="K77" s="153">
        <f>K73+K74</f>
        <v>7167</v>
      </c>
      <c r="L77" s="153">
        <v>0</v>
      </c>
      <c r="M77" s="153">
        <v>0</v>
      </c>
      <c r="N77" s="153">
        <v>0</v>
      </c>
      <c r="O77" s="153">
        <f>O73+O74</f>
        <v>7167</v>
      </c>
      <c r="P77" s="153">
        <f>P73+P74</f>
        <v>7167</v>
      </c>
      <c r="Q77" s="153">
        <v>0</v>
      </c>
      <c r="R77" s="153">
        <v>0</v>
      </c>
      <c r="S77" s="153">
        <v>0</v>
      </c>
      <c r="T77" s="153">
        <f>T73+T74</f>
        <v>7146</v>
      </c>
      <c r="U77" s="153">
        <f>U73+U74</f>
        <v>7146</v>
      </c>
      <c r="V77" s="153">
        <v>0</v>
      </c>
      <c r="W77" s="153">
        <v>0</v>
      </c>
      <c r="X77" s="153">
        <v>0</v>
      </c>
      <c r="Y77" s="153">
        <f>Y73+Y74</f>
        <v>7146</v>
      </c>
      <c r="Z77" s="153">
        <f>Z73+Z74</f>
        <v>7146</v>
      </c>
      <c r="AA77" s="153">
        <v>0</v>
      </c>
      <c r="AB77" s="153">
        <v>0</v>
      </c>
      <c r="AC77" s="153">
        <v>0</v>
      </c>
      <c r="AD77" s="154">
        <f>AD73+AD74</f>
        <v>36727</v>
      </c>
    </row>
    <row r="78" spans="1:35" ht="54.75" customHeight="1">
      <c r="A78" s="192" t="s">
        <v>97</v>
      </c>
      <c r="B78" s="558" t="s">
        <v>258</v>
      </c>
      <c r="C78" s="559"/>
      <c r="D78" s="559"/>
      <c r="E78" s="559"/>
      <c r="F78" s="559"/>
      <c r="G78" s="559"/>
      <c r="H78" s="559"/>
      <c r="I78" s="559"/>
      <c r="J78" s="559"/>
      <c r="K78" s="559"/>
      <c r="L78" s="559"/>
      <c r="M78" s="559"/>
      <c r="N78" s="559"/>
      <c r="O78" s="559"/>
      <c r="P78" s="559"/>
      <c r="Q78" s="559"/>
      <c r="R78" s="559"/>
      <c r="S78" s="559"/>
      <c r="T78" s="559"/>
      <c r="U78" s="559"/>
      <c r="V78" s="559"/>
      <c r="W78" s="559"/>
      <c r="X78" s="559"/>
      <c r="Y78" s="559"/>
      <c r="Z78" s="559"/>
      <c r="AA78" s="559"/>
      <c r="AB78" s="559"/>
      <c r="AC78" s="559"/>
      <c r="AD78" s="560"/>
    </row>
    <row r="79" spans="1:35" ht="193.5" customHeight="1">
      <c r="A79" s="160" t="s">
        <v>57</v>
      </c>
      <c r="B79" s="191" t="s">
        <v>264</v>
      </c>
      <c r="C79" s="25" t="s">
        <v>73</v>
      </c>
      <c r="D79" s="25" t="s">
        <v>93</v>
      </c>
      <c r="E79" s="137">
        <f xml:space="preserve"> SUM(F79:I79)</f>
        <v>136.19999999999999</v>
      </c>
      <c r="F79" s="137">
        <f>74.6+61.6</f>
        <v>136.19999999999999</v>
      </c>
      <c r="G79" s="137">
        <v>0</v>
      </c>
      <c r="H79" s="137">
        <v>0</v>
      </c>
      <c r="I79" s="137">
        <v>0</v>
      </c>
      <c r="J79" s="137">
        <f xml:space="preserve"> SUM(K79:N79)</f>
        <v>145</v>
      </c>
      <c r="K79" s="137">
        <v>145</v>
      </c>
      <c r="L79" s="137">
        <v>0</v>
      </c>
      <c r="M79" s="137">
        <v>0</v>
      </c>
      <c r="N79" s="137">
        <v>0</v>
      </c>
      <c r="O79" s="137">
        <f xml:space="preserve"> SUM(P79:S79)</f>
        <v>145</v>
      </c>
      <c r="P79" s="137">
        <v>145</v>
      </c>
      <c r="Q79" s="137">
        <v>0</v>
      </c>
      <c r="R79" s="137">
        <v>0</v>
      </c>
      <c r="S79" s="137">
        <v>0</v>
      </c>
      <c r="T79" s="137">
        <f xml:space="preserve"> SUM(U79:X79)</f>
        <v>145</v>
      </c>
      <c r="U79" s="137">
        <v>145</v>
      </c>
      <c r="V79" s="137">
        <v>0</v>
      </c>
      <c r="W79" s="137">
        <v>0</v>
      </c>
      <c r="X79" s="137">
        <v>0</v>
      </c>
      <c r="Y79" s="137">
        <f xml:space="preserve"> SUM(Z79:AC79)</f>
        <v>145</v>
      </c>
      <c r="Z79" s="137">
        <v>145</v>
      </c>
      <c r="AA79" s="137">
        <v>0</v>
      </c>
      <c r="AB79" s="137">
        <v>0</v>
      </c>
      <c r="AC79" s="137">
        <v>0</v>
      </c>
      <c r="AD79" s="137">
        <f>E79+J79+O79+T79+Y79</f>
        <v>716.2</v>
      </c>
    </row>
    <row r="80" spans="1:35" ht="23.25">
      <c r="A80" s="561" t="s">
        <v>58</v>
      </c>
      <c r="B80" s="561"/>
      <c r="C80" s="561"/>
      <c r="D80" s="144"/>
      <c r="E80" s="148">
        <f>E79</f>
        <v>136.19999999999999</v>
      </c>
      <c r="F80" s="148">
        <f>F79</f>
        <v>136.19999999999999</v>
      </c>
      <c r="G80" s="148">
        <v>0</v>
      </c>
      <c r="H80" s="148">
        <v>0</v>
      </c>
      <c r="I80" s="148">
        <v>0</v>
      </c>
      <c r="J80" s="138">
        <f t="shared" ref="J80:AC80" si="24">J79</f>
        <v>145</v>
      </c>
      <c r="K80" s="138">
        <f t="shared" si="24"/>
        <v>145</v>
      </c>
      <c r="L80" s="138">
        <f t="shared" si="24"/>
        <v>0</v>
      </c>
      <c r="M80" s="138">
        <f t="shared" si="24"/>
        <v>0</v>
      </c>
      <c r="N80" s="138">
        <f t="shared" si="24"/>
        <v>0</v>
      </c>
      <c r="O80" s="138">
        <f t="shared" si="24"/>
        <v>145</v>
      </c>
      <c r="P80" s="138">
        <f t="shared" si="24"/>
        <v>145</v>
      </c>
      <c r="Q80" s="138">
        <f t="shared" si="24"/>
        <v>0</v>
      </c>
      <c r="R80" s="138">
        <f t="shared" si="24"/>
        <v>0</v>
      </c>
      <c r="S80" s="138">
        <f t="shared" si="24"/>
        <v>0</v>
      </c>
      <c r="T80" s="138">
        <f t="shared" si="24"/>
        <v>145</v>
      </c>
      <c r="U80" s="138">
        <f t="shared" si="24"/>
        <v>145</v>
      </c>
      <c r="V80" s="138">
        <f t="shared" si="24"/>
        <v>0</v>
      </c>
      <c r="W80" s="138">
        <f t="shared" si="24"/>
        <v>0</v>
      </c>
      <c r="X80" s="138">
        <f t="shared" si="24"/>
        <v>0</v>
      </c>
      <c r="Y80" s="138">
        <f t="shared" si="24"/>
        <v>145</v>
      </c>
      <c r="Z80" s="138">
        <f t="shared" si="24"/>
        <v>145</v>
      </c>
      <c r="AA80" s="138">
        <f t="shared" si="24"/>
        <v>0</v>
      </c>
      <c r="AB80" s="138">
        <f t="shared" si="24"/>
        <v>0</v>
      </c>
      <c r="AC80" s="138">
        <f t="shared" si="24"/>
        <v>0</v>
      </c>
      <c r="AD80" s="138">
        <f>E80+J80+O80+T80+Y80</f>
        <v>716.2</v>
      </c>
    </row>
    <row r="81" spans="1:30" ht="23.25">
      <c r="A81" s="143">
        <v>10</v>
      </c>
      <c r="B81" s="562" t="s">
        <v>259</v>
      </c>
      <c r="C81" s="563"/>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4"/>
    </row>
    <row r="82" spans="1:30" ht="188.25" customHeight="1">
      <c r="A82" s="195" t="s">
        <v>59</v>
      </c>
      <c r="B82" s="191" t="s">
        <v>186</v>
      </c>
      <c r="C82" s="161" t="s">
        <v>107</v>
      </c>
      <c r="D82" s="25" t="s">
        <v>93</v>
      </c>
      <c r="E82" s="162">
        <v>500</v>
      </c>
      <c r="F82" s="162">
        <v>500</v>
      </c>
      <c r="G82" s="162">
        <v>0</v>
      </c>
      <c r="H82" s="162">
        <v>0</v>
      </c>
      <c r="I82" s="162">
        <v>0</v>
      </c>
      <c r="J82" s="162">
        <f>K82+L82+M82+N82</f>
        <v>0</v>
      </c>
      <c r="K82" s="162">
        <v>0</v>
      </c>
      <c r="L82" s="162">
        <v>0</v>
      </c>
      <c r="M82" s="162">
        <v>0</v>
      </c>
      <c r="N82" s="162">
        <v>0</v>
      </c>
      <c r="O82" s="162">
        <v>0</v>
      </c>
      <c r="P82" s="162">
        <v>0</v>
      </c>
      <c r="Q82" s="162">
        <v>0</v>
      </c>
      <c r="R82" s="162">
        <v>0</v>
      </c>
      <c r="S82" s="162">
        <v>0</v>
      </c>
      <c r="T82" s="162">
        <v>6480</v>
      </c>
      <c r="U82" s="162">
        <v>6480</v>
      </c>
      <c r="V82" s="162">
        <v>0</v>
      </c>
      <c r="W82" s="162">
        <v>0</v>
      </c>
      <c r="X82" s="162">
        <v>0</v>
      </c>
      <c r="Y82" s="162">
        <v>6480</v>
      </c>
      <c r="Z82" s="162">
        <v>6480</v>
      </c>
      <c r="AA82" s="162">
        <v>0</v>
      </c>
      <c r="AB82" s="162">
        <v>0</v>
      </c>
      <c r="AC82" s="162">
        <v>0</v>
      </c>
      <c r="AD82" s="58">
        <f>E82+J82+O82+T82+Y82</f>
        <v>13460</v>
      </c>
    </row>
    <row r="83" spans="1:30" ht="131.25">
      <c r="A83" s="195" t="s">
        <v>98</v>
      </c>
      <c r="B83" s="170" t="s">
        <v>159</v>
      </c>
      <c r="C83" s="163" t="s">
        <v>107</v>
      </c>
      <c r="D83" s="25" t="s">
        <v>93</v>
      </c>
      <c r="E83" s="162">
        <v>2880</v>
      </c>
      <c r="F83" s="162">
        <v>2880</v>
      </c>
      <c r="G83" s="162">
        <v>0</v>
      </c>
      <c r="H83" s="162">
        <v>0</v>
      </c>
      <c r="I83" s="162">
        <v>0</v>
      </c>
      <c r="J83" s="162">
        <f>K83+L83+M83+N83</f>
        <v>0</v>
      </c>
      <c r="K83" s="162">
        <v>0</v>
      </c>
      <c r="L83" s="162">
        <v>0</v>
      </c>
      <c r="M83" s="162">
        <v>0</v>
      </c>
      <c r="N83" s="162">
        <v>0</v>
      </c>
      <c r="O83" s="162">
        <v>0</v>
      </c>
      <c r="P83" s="162">
        <v>0</v>
      </c>
      <c r="Q83" s="162">
        <v>0</v>
      </c>
      <c r="R83" s="162">
        <v>0</v>
      </c>
      <c r="S83" s="162">
        <v>0</v>
      </c>
      <c r="T83" s="162">
        <v>5760</v>
      </c>
      <c r="U83" s="162">
        <v>5760</v>
      </c>
      <c r="V83" s="162">
        <v>0</v>
      </c>
      <c r="W83" s="162">
        <v>0</v>
      </c>
      <c r="X83" s="162">
        <v>0</v>
      </c>
      <c r="Y83" s="162">
        <v>5760</v>
      </c>
      <c r="Z83" s="162">
        <v>5760</v>
      </c>
      <c r="AA83" s="162">
        <v>0</v>
      </c>
      <c r="AB83" s="162">
        <v>0</v>
      </c>
      <c r="AC83" s="162">
        <v>0</v>
      </c>
      <c r="AD83" s="58">
        <f>E83+J83+O83+T83+Y83</f>
        <v>14400</v>
      </c>
    </row>
    <row r="84" spans="1:30" ht="23.25">
      <c r="A84" s="565" t="s">
        <v>60</v>
      </c>
      <c r="B84" s="566"/>
      <c r="C84" s="567"/>
      <c r="D84" s="128"/>
      <c r="E84" s="58">
        <f>E82+E83</f>
        <v>3380</v>
      </c>
      <c r="F84" s="58">
        <f>SUM(F82:F83)</f>
        <v>3380</v>
      </c>
      <c r="G84" s="58">
        <f>G82</f>
        <v>0</v>
      </c>
      <c r="H84" s="58">
        <f>I82</f>
        <v>0</v>
      </c>
      <c r="I84" s="58">
        <f t="shared" ref="I84:V84" si="25">I82</f>
        <v>0</v>
      </c>
      <c r="J84" s="58">
        <f>K84+L84+M84+N84</f>
        <v>0</v>
      </c>
      <c r="K84" s="58">
        <f>K82+K83</f>
        <v>0</v>
      </c>
      <c r="L84" s="58">
        <f t="shared" si="25"/>
        <v>0</v>
      </c>
      <c r="M84" s="58">
        <f t="shared" si="25"/>
        <v>0</v>
      </c>
      <c r="N84" s="58">
        <f t="shared" si="25"/>
        <v>0</v>
      </c>
      <c r="O84" s="58">
        <f>P84+Q84+R84+S84</f>
        <v>0</v>
      </c>
      <c r="P84" s="58">
        <f>P82+P83</f>
        <v>0</v>
      </c>
      <c r="Q84" s="58">
        <f t="shared" si="25"/>
        <v>0</v>
      </c>
      <c r="R84" s="58">
        <f t="shared" si="25"/>
        <v>0</v>
      </c>
      <c r="S84" s="58">
        <f t="shared" si="25"/>
        <v>0</v>
      </c>
      <c r="T84" s="58">
        <f>U84+V84+W84+X84</f>
        <v>12240</v>
      </c>
      <c r="U84" s="58">
        <f>T82+T83</f>
        <v>12240</v>
      </c>
      <c r="V84" s="58">
        <f t="shared" si="25"/>
        <v>0</v>
      </c>
      <c r="W84" s="58">
        <f>V82</f>
        <v>0</v>
      </c>
      <c r="X84" s="58">
        <f t="shared" ref="X84:AC84" si="26">X82</f>
        <v>0</v>
      </c>
      <c r="Y84" s="58">
        <f>Z84+AA84+AB84+AC84</f>
        <v>12240</v>
      </c>
      <c r="Z84" s="58">
        <f>Z82+Z83</f>
        <v>12240</v>
      </c>
      <c r="AA84" s="58">
        <f t="shared" si="26"/>
        <v>0</v>
      </c>
      <c r="AB84" s="58">
        <f t="shared" si="26"/>
        <v>0</v>
      </c>
      <c r="AC84" s="58">
        <f t="shared" si="26"/>
        <v>0</v>
      </c>
      <c r="AD84" s="58">
        <f>E84+J84+O84+T84+Y84</f>
        <v>27860</v>
      </c>
    </row>
    <row r="85" spans="1:30" ht="23.25">
      <c r="A85" s="568" t="s">
        <v>67</v>
      </c>
      <c r="B85" s="568"/>
      <c r="C85" s="568"/>
      <c r="D85" s="128"/>
      <c r="E85" s="112">
        <f>E27+E33+E54+E59+E63+E68+E71+E76+E80+E84</f>
        <v>157092.37</v>
      </c>
      <c r="F85" s="112">
        <f>F27+F33+F54+F59+F63+F68+F71+F76+F80+F84</f>
        <v>108956.7</v>
      </c>
      <c r="G85" s="112">
        <f>G27+G33+G54+G59+G63+G68+G71+G76+G80+G84</f>
        <v>45966</v>
      </c>
      <c r="H85" s="112">
        <f>H27+H33+H54+H59+H63+H68+H71+H76+H80+H84</f>
        <v>0</v>
      </c>
      <c r="I85" s="112">
        <f>I27+I33+I54+I59+I63+I68+I71+I76+I80+I84</f>
        <v>2169.67</v>
      </c>
      <c r="J85" s="58">
        <f>K85+L85+M85+N85</f>
        <v>70176</v>
      </c>
      <c r="K85" s="58">
        <f>K27+K33+K54+K59+K63+K68+K71+K76+K80+K84</f>
        <v>70176</v>
      </c>
      <c r="L85" s="58">
        <f>L27+L33+L54+L59+L63+L68+L71+L76+L80+L84</f>
        <v>0</v>
      </c>
      <c r="M85" s="58">
        <f>M27+M33+M54+M59+M63+M68+M71+M76+M80+M84</f>
        <v>0</v>
      </c>
      <c r="N85" s="58">
        <f>N27+N33+N54+N59+N63+N68+N71+N76+N80+N84</f>
        <v>0</v>
      </c>
      <c r="O85" s="58">
        <f>P85+Q85+R85+S85</f>
        <v>70176</v>
      </c>
      <c r="P85" s="58">
        <f>P27+P33+P54+P59+P63+P68+P71+P76+P80+P84</f>
        <v>70176</v>
      </c>
      <c r="Q85" s="58">
        <f>Q27+Q33+Q54+Q59+Q63+Q68+Q71+Q76+Q80+Q84</f>
        <v>0</v>
      </c>
      <c r="R85" s="58">
        <f>R27+R33+R54+R59+R63+R68+R71+R76+R80+R84</f>
        <v>0</v>
      </c>
      <c r="S85" s="58">
        <f>S27+S33+S54+S59+S63+S68+S71+S76+S80+S84</f>
        <v>0</v>
      </c>
      <c r="T85" s="58">
        <f>U85+V85+W85+X85</f>
        <v>168234.3</v>
      </c>
      <c r="U85" s="58">
        <f>U27+U33+U54+U59+U63+U68+U71+U76+U80+U84</f>
        <v>162354.29999999999</v>
      </c>
      <c r="V85" s="58">
        <f>V27+V33+V54+V59+V63+V68+V71+V76+V80+V84</f>
        <v>0</v>
      </c>
      <c r="W85" s="58">
        <f>W27+W33+W54+W59+W63+W68+W71+W76+W80+W84</f>
        <v>0</v>
      </c>
      <c r="X85" s="58">
        <f>X27+X33+X54+X59+X63+X68+X71+X76+X80+X84</f>
        <v>5880</v>
      </c>
      <c r="Y85" s="58">
        <f>Z85+AA85+AB85+AC85</f>
        <v>168244.3</v>
      </c>
      <c r="Z85" s="58">
        <f>Z27+Z33+Z54+Z59+Z63+Z68+Z71+Z76+Z80+Z84</f>
        <v>162364.29999999999</v>
      </c>
      <c r="AA85" s="58">
        <f>AA27+AA33+AA54+AA59+AA63+AA68+AA71+AA76+AA80+AA84</f>
        <v>0</v>
      </c>
      <c r="AB85" s="58">
        <f>AB27+AB33+AB54+AB59+AB63+AB68+AB71+AB76+AB80+AB84</f>
        <v>0</v>
      </c>
      <c r="AC85" s="58">
        <f>AC27+AC33+AC54+AC59+AC63+AC68+AC71+AC76+AC80+AC84</f>
        <v>5880</v>
      </c>
      <c r="AD85" s="58">
        <f>E85+J85+O85+T85+Y85</f>
        <v>633922.97</v>
      </c>
    </row>
    <row r="86" spans="1:30">
      <c r="E86" s="164"/>
      <c r="F86" s="164"/>
      <c r="G86" s="164"/>
      <c r="H86" s="164"/>
      <c r="I86" s="164"/>
      <c r="J86" s="164"/>
    </row>
    <row r="87" spans="1:30">
      <c r="A87" s="129" t="s">
        <v>202</v>
      </c>
      <c r="K87" s="165"/>
      <c r="L87" s="166"/>
      <c r="M87" s="166"/>
      <c r="N87" s="166"/>
      <c r="O87" s="166"/>
      <c r="P87" s="166"/>
      <c r="Q87" s="166"/>
      <c r="R87" s="166"/>
      <c r="S87" s="166"/>
      <c r="T87" s="166"/>
      <c r="U87" s="166"/>
      <c r="V87" s="166"/>
      <c r="W87" s="166"/>
    </row>
    <row r="88" spans="1:30">
      <c r="C88" s="9">
        <v>2020</v>
      </c>
      <c r="E88" s="62"/>
      <c r="J88" s="9">
        <v>2021</v>
      </c>
      <c r="O88" s="9">
        <v>2022</v>
      </c>
      <c r="T88" s="9">
        <v>2023</v>
      </c>
      <c r="Y88" s="9">
        <v>2024</v>
      </c>
    </row>
    <row r="89" spans="1:30" ht="225">
      <c r="A89" s="167" t="s">
        <v>201</v>
      </c>
      <c r="B89" s="10" t="s">
        <v>134</v>
      </c>
      <c r="C89" s="62">
        <f>E29+E33+E56+E59+E65+E68+E71+E77+E84</f>
        <v>96915</v>
      </c>
      <c r="I89" s="9" t="s">
        <v>134</v>
      </c>
      <c r="J89" s="62">
        <f>J29+J33+J56+J59+J65+J68+J71+J77+J84</f>
        <v>68784</v>
      </c>
      <c r="N89" s="9" t="s">
        <v>134</v>
      </c>
      <c r="O89" s="62">
        <f>O29+O33+O56+O59+O65+O68+O71+O77+O84</f>
        <v>68784</v>
      </c>
      <c r="S89" s="9" t="s">
        <v>134</v>
      </c>
      <c r="T89" s="62">
        <f>T29+T33+T56+T59+T65+T68+T71+T77+T84</f>
        <v>98471.3</v>
      </c>
      <c r="X89" s="9" t="s">
        <v>134</v>
      </c>
      <c r="Y89" s="62">
        <f>Y29+Y33+Y56+Y59+Y65+Y68+Y71+Y77+Y84</f>
        <v>98481.3</v>
      </c>
      <c r="AC89" s="62">
        <f>C89+J89+O89+T89+Y89</f>
        <v>431435.6</v>
      </c>
    </row>
    <row r="90" spans="1:30">
      <c r="B90" s="10" t="s">
        <v>137</v>
      </c>
      <c r="C90" s="62">
        <f>E30+E55+E64+E80</f>
        <v>23882</v>
      </c>
      <c r="I90" s="9" t="s">
        <v>137</v>
      </c>
      <c r="J90" s="62">
        <f>J30+J55+J64+J80</f>
        <v>618</v>
      </c>
      <c r="N90" s="9" t="s">
        <v>137</v>
      </c>
      <c r="O90" s="62">
        <f>O30+O55+O64+O80</f>
        <v>618</v>
      </c>
      <c r="S90" s="9" t="s">
        <v>137</v>
      </c>
      <c r="T90" s="62">
        <f>T30+T55+T64+T80</f>
        <v>617</v>
      </c>
      <c r="X90" s="9" t="s">
        <v>137</v>
      </c>
      <c r="Y90" s="62">
        <f>Y30+Y55+Y64+Y80</f>
        <v>617</v>
      </c>
      <c r="AC90" s="62">
        <f>C90+J90+O90+T90+Y90</f>
        <v>26352</v>
      </c>
    </row>
    <row r="91" spans="1:30">
      <c r="B91" s="10" t="s">
        <v>138</v>
      </c>
      <c r="C91" s="62">
        <f>E28</f>
        <v>36295.369999999995</v>
      </c>
      <c r="I91" s="9" t="s">
        <v>140</v>
      </c>
      <c r="J91" s="62" t="e">
        <f>J28+#REF!</f>
        <v>#REF!</v>
      </c>
      <c r="N91" s="9" t="s">
        <v>140</v>
      </c>
      <c r="O91" s="62" t="e">
        <f>O28+#REF!</f>
        <v>#REF!</v>
      </c>
      <c r="S91" s="9" t="s">
        <v>140</v>
      </c>
      <c r="T91" s="62" t="e">
        <f>T28+#REF!</f>
        <v>#REF!</v>
      </c>
      <c r="X91" s="9" t="s">
        <v>140</v>
      </c>
      <c r="Y91" s="62" t="e">
        <f>Y28+#REF!</f>
        <v>#REF!</v>
      </c>
      <c r="AC91" s="62" t="e">
        <f>C91+J91+O91+T91+Y91</f>
        <v>#REF!</v>
      </c>
    </row>
    <row r="92" spans="1:30">
      <c r="C92" s="62"/>
      <c r="J92" s="62"/>
      <c r="O92" s="62"/>
      <c r="T92" s="62"/>
      <c r="Y92" s="62"/>
      <c r="AC92" s="62"/>
    </row>
    <row r="93" spans="1:30">
      <c r="B93" s="10"/>
      <c r="C93" s="62">
        <f>C89+C90+C91</f>
        <v>157092.37</v>
      </c>
      <c r="I93" s="9" t="s">
        <v>137</v>
      </c>
      <c r="J93" s="62"/>
      <c r="K93" s="62"/>
      <c r="N93" s="9" t="s">
        <v>137</v>
      </c>
      <c r="O93" s="62"/>
      <c r="S93" s="9" t="s">
        <v>137</v>
      </c>
      <c r="T93" s="62"/>
      <c r="X93" s="9" t="s">
        <v>173</v>
      </c>
      <c r="Y93" s="62"/>
      <c r="AC93" s="62"/>
    </row>
    <row r="94" spans="1:30">
      <c r="C94" s="62"/>
      <c r="J94" s="62"/>
      <c r="O94" s="62"/>
      <c r="T94" s="62" t="e">
        <f>T89+T90+T91</f>
        <v>#REF!</v>
      </c>
      <c r="Y94" s="62" t="e">
        <f>Y89+Y90+Y91</f>
        <v>#REF!</v>
      </c>
      <c r="AC94" s="62" t="e">
        <f>AC89+AC90+AC91</f>
        <v>#REF!</v>
      </c>
    </row>
    <row r="95" spans="1:30">
      <c r="C95" s="62"/>
      <c r="J95" s="62"/>
      <c r="O95" s="62"/>
      <c r="T95" s="62"/>
      <c r="Y95" s="62"/>
    </row>
    <row r="97" spans="2:29">
      <c r="B97" s="10" t="s">
        <v>195</v>
      </c>
      <c r="C97" s="62">
        <f>I85+N85+S85+X85+AC85</f>
        <v>13929.67</v>
      </c>
    </row>
    <row r="98" spans="2:29">
      <c r="B98" s="168" t="s">
        <v>196</v>
      </c>
      <c r="C98" s="62">
        <f>F85+K85+P85+U85+Z85</f>
        <v>574027.30000000005</v>
      </c>
    </row>
    <row r="99" spans="2:29">
      <c r="B99" s="168" t="s">
        <v>197</v>
      </c>
      <c r="C99" s="62">
        <f>G85+L85+Q85+V85+AA85</f>
        <v>45966</v>
      </c>
    </row>
    <row r="100" spans="2:29">
      <c r="C100" s="62">
        <f>C97+C98+C99</f>
        <v>633922.97000000009</v>
      </c>
      <c r="AC100" s="62" t="e">
        <f>AC94-865014</f>
        <v>#REF!</v>
      </c>
    </row>
    <row r="102" spans="2:29">
      <c r="B102" s="62">
        <f>127165-F85</f>
        <v>18208.300000000003</v>
      </c>
    </row>
    <row r="104" spans="2:29">
      <c r="Y104" s="169">
        <f>973249000-19710000-88655000</f>
        <v>864884000</v>
      </c>
    </row>
    <row r="107" spans="2:29">
      <c r="D107" s="169"/>
      <c r="E107" s="169"/>
    </row>
    <row r="108" spans="2:29">
      <c r="D108" s="169"/>
      <c r="E108" s="169"/>
    </row>
    <row r="113" spans="4:4">
      <c r="D113" s="62">
        <f>G85+L85+Q85+V85+AA85</f>
        <v>45966</v>
      </c>
    </row>
  </sheetData>
  <mergeCells count="40">
    <mergeCell ref="V4:AD4"/>
    <mergeCell ref="C7:C9"/>
    <mergeCell ref="D7:D9"/>
    <mergeCell ref="E7:AD7"/>
    <mergeCell ref="E8:I8"/>
    <mergeCell ref="J8:N8"/>
    <mergeCell ref="O8:S8"/>
    <mergeCell ref="Z3:AD3"/>
    <mergeCell ref="C42:C43"/>
    <mergeCell ref="T8:X8"/>
    <mergeCell ref="Y8:AC8"/>
    <mergeCell ref="AD8:AD9"/>
    <mergeCell ref="A11:AD11"/>
    <mergeCell ref="B12:AD12"/>
    <mergeCell ref="C13:C14"/>
    <mergeCell ref="A27:C27"/>
    <mergeCell ref="B31:AD31"/>
    <mergeCell ref="A33:C33"/>
    <mergeCell ref="B34:AD34"/>
    <mergeCell ref="C35:C39"/>
    <mergeCell ref="A5:AD5"/>
    <mergeCell ref="A7:A9"/>
    <mergeCell ref="B7:B9"/>
    <mergeCell ref="A76:C76"/>
    <mergeCell ref="C45:C49"/>
    <mergeCell ref="A54:C54"/>
    <mergeCell ref="B57:AD57"/>
    <mergeCell ref="A59:C59"/>
    <mergeCell ref="B60:AD60"/>
    <mergeCell ref="A63:C63"/>
    <mergeCell ref="B66:AD66"/>
    <mergeCell ref="A68:C68"/>
    <mergeCell ref="B69:AD69"/>
    <mergeCell ref="A71:C71"/>
    <mergeCell ref="B72:AD72"/>
    <mergeCell ref="B78:AD78"/>
    <mergeCell ref="A80:C80"/>
    <mergeCell ref="B81:AD81"/>
    <mergeCell ref="A84:C84"/>
    <mergeCell ref="A85:C85"/>
  </mergeCells>
  <pageMargins left="0.17" right="0.16" top="0.17" bottom="0.16" header="0.17" footer="0.16"/>
  <pageSetup paperSize="9" scale="29" orientation="landscape" r:id="rId1"/>
  <colBreaks count="1" manualBreakCount="1">
    <brk id="30" max="1048575" man="1"/>
  </colBreaks>
  <legacyDrawing r:id="rId2"/>
</worksheet>
</file>

<file path=xl/worksheets/sheet4.xml><?xml version="1.0" encoding="utf-8"?>
<worksheet xmlns="http://schemas.openxmlformats.org/spreadsheetml/2006/main" xmlns:r="http://schemas.openxmlformats.org/officeDocument/2006/relationships">
  <dimension ref="A1:AF110"/>
  <sheetViews>
    <sheetView view="pageBreakPreview" zoomScale="50" zoomScaleSheetLayoutView="50" workbookViewId="0">
      <pane xSplit="7" ySplit="13" topLeftCell="H53" activePane="bottomRight" state="frozen"/>
      <selection pane="topRight" activeCell="H1" sqref="H1"/>
      <selection pane="bottomLeft" activeCell="A14" sqref="A14"/>
      <selection pane="bottomRight" sqref="A1:XFD1048576"/>
    </sheetView>
  </sheetViews>
  <sheetFormatPr defaultRowHeight="18.75"/>
  <cols>
    <col min="1" max="1" width="6.140625" style="231" customWidth="1"/>
    <col min="2" max="2" width="124.140625" style="199" customWidth="1"/>
    <col min="3" max="3" width="29" style="199" customWidth="1"/>
    <col min="4" max="4" width="31.42578125" style="199" customWidth="1"/>
    <col min="5" max="5" width="16.42578125" style="199" customWidth="1"/>
    <col min="6" max="6" width="15.7109375" style="199" customWidth="1"/>
    <col min="7" max="7" width="16.140625" style="199" customWidth="1"/>
    <col min="8" max="8" width="6.7109375" style="199" customWidth="1"/>
    <col min="9" max="9" width="15" style="199" customWidth="1"/>
    <col min="10" max="10" width="17.85546875" style="199" customWidth="1"/>
    <col min="11" max="11" width="13.28515625" style="199" customWidth="1"/>
    <col min="12" max="12" width="15" style="199" customWidth="1"/>
    <col min="13" max="13" width="5.28515625" style="199" customWidth="1"/>
    <col min="14" max="14" width="9.7109375" style="199" customWidth="1"/>
    <col min="15" max="15" width="17.140625" style="199" customWidth="1"/>
    <col min="16" max="16" width="13" style="199" customWidth="1"/>
    <col min="17" max="17" width="14.28515625" style="199" customWidth="1"/>
    <col min="18" max="18" width="9.7109375" style="199" customWidth="1"/>
    <col min="19" max="19" width="13" style="199" customWidth="1"/>
    <col min="20" max="20" width="14.140625" style="199" customWidth="1"/>
    <col min="21" max="21" width="12.7109375" style="199" customWidth="1"/>
    <col min="22" max="22" width="11.85546875" style="199" customWidth="1"/>
    <col min="23" max="23" width="9.28515625" style="199" customWidth="1"/>
    <col min="24" max="24" width="10.28515625" style="199" customWidth="1"/>
    <col min="25" max="25" width="15.28515625" style="199" customWidth="1"/>
    <col min="26" max="26" width="14.5703125" style="199" customWidth="1"/>
    <col min="27" max="28" width="9.7109375" style="199" customWidth="1"/>
    <col min="29" max="29" width="14.28515625" style="199" customWidth="1"/>
    <col min="30" max="30" width="13.140625" style="199" customWidth="1"/>
    <col min="31" max="16384" width="9.140625" style="200"/>
  </cols>
  <sheetData>
    <row r="1" spans="1:30">
      <c r="Z1" s="199" t="s">
        <v>260</v>
      </c>
    </row>
    <row r="2" spans="1:30">
      <c r="Z2" s="199" t="s">
        <v>261</v>
      </c>
    </row>
    <row r="3" spans="1:30">
      <c r="L3" s="229"/>
      <c r="M3" s="229"/>
      <c r="N3" s="229"/>
      <c r="O3" s="229"/>
      <c r="P3" s="229"/>
      <c r="Q3" s="229"/>
      <c r="R3" s="229"/>
      <c r="S3" s="229"/>
      <c r="T3" s="229"/>
      <c r="U3" s="229"/>
      <c r="V3" s="229"/>
      <c r="W3" s="229"/>
      <c r="X3" s="229"/>
      <c r="Y3" s="229"/>
      <c r="Z3" s="615" t="s">
        <v>262</v>
      </c>
      <c r="AA3" s="615"/>
      <c r="AB3" s="615"/>
      <c r="AC3" s="615"/>
      <c r="AD3" s="615"/>
    </row>
    <row r="4" spans="1:30">
      <c r="V4" s="616" t="s">
        <v>272</v>
      </c>
      <c r="W4" s="616"/>
      <c r="X4" s="616"/>
      <c r="Y4" s="616"/>
      <c r="Z4" s="616"/>
      <c r="AA4" s="616"/>
      <c r="AB4" s="616"/>
      <c r="AC4" s="616"/>
      <c r="AD4" s="616"/>
    </row>
    <row r="5" spans="1:30">
      <c r="A5" s="617" t="s">
        <v>0</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row>
    <row r="7" spans="1:30" ht="19.5">
      <c r="A7" s="618" t="s">
        <v>1</v>
      </c>
      <c r="B7" s="618" t="s">
        <v>219</v>
      </c>
      <c r="C7" s="618" t="s">
        <v>2</v>
      </c>
      <c r="D7" s="619" t="s">
        <v>3</v>
      </c>
      <c r="E7" s="622" t="s">
        <v>273</v>
      </c>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row>
    <row r="8" spans="1:30">
      <c r="A8" s="618"/>
      <c r="B8" s="618"/>
      <c r="C8" s="618"/>
      <c r="D8" s="620"/>
      <c r="E8" s="618" t="s">
        <v>88</v>
      </c>
      <c r="F8" s="618"/>
      <c r="G8" s="618"/>
      <c r="H8" s="618"/>
      <c r="I8" s="618"/>
      <c r="J8" s="618" t="s">
        <v>89</v>
      </c>
      <c r="K8" s="618"/>
      <c r="L8" s="618"/>
      <c r="M8" s="618"/>
      <c r="N8" s="618"/>
      <c r="O8" s="618" t="s">
        <v>90</v>
      </c>
      <c r="P8" s="618"/>
      <c r="Q8" s="618"/>
      <c r="R8" s="618"/>
      <c r="S8" s="618"/>
      <c r="T8" s="618" t="s">
        <v>91</v>
      </c>
      <c r="U8" s="618"/>
      <c r="V8" s="618"/>
      <c r="W8" s="618"/>
      <c r="X8" s="618"/>
      <c r="Y8" s="618" t="s">
        <v>92</v>
      </c>
      <c r="Z8" s="618"/>
      <c r="AA8" s="618"/>
      <c r="AB8" s="618"/>
      <c r="AC8" s="618"/>
      <c r="AD8" s="618" t="s">
        <v>5</v>
      </c>
    </row>
    <row r="9" spans="1:30" ht="152.25">
      <c r="A9" s="618"/>
      <c r="B9" s="618"/>
      <c r="C9" s="618"/>
      <c r="D9" s="621"/>
      <c r="E9" s="232" t="s">
        <v>6</v>
      </c>
      <c r="F9" s="201" t="s">
        <v>7</v>
      </c>
      <c r="G9" s="201" t="s">
        <v>8</v>
      </c>
      <c r="H9" s="201" t="s">
        <v>9</v>
      </c>
      <c r="I9" s="202" t="s">
        <v>10</v>
      </c>
      <c r="J9" s="232" t="s">
        <v>6</v>
      </c>
      <c r="K9" s="201" t="s">
        <v>7</v>
      </c>
      <c r="L9" s="201" t="s">
        <v>8</v>
      </c>
      <c r="M9" s="201" t="s">
        <v>9</v>
      </c>
      <c r="N9" s="202" t="s">
        <v>10</v>
      </c>
      <c r="O9" s="232" t="s">
        <v>6</v>
      </c>
      <c r="P9" s="201" t="s">
        <v>7</v>
      </c>
      <c r="Q9" s="201" t="s">
        <v>8</v>
      </c>
      <c r="R9" s="201" t="s">
        <v>9</v>
      </c>
      <c r="S9" s="202" t="s">
        <v>10</v>
      </c>
      <c r="T9" s="232" t="s">
        <v>6</v>
      </c>
      <c r="U9" s="201" t="s">
        <v>7</v>
      </c>
      <c r="V9" s="201" t="s">
        <v>8</v>
      </c>
      <c r="W9" s="201" t="s">
        <v>9</v>
      </c>
      <c r="X9" s="202" t="s">
        <v>10</v>
      </c>
      <c r="Y9" s="232" t="s">
        <v>6</v>
      </c>
      <c r="Z9" s="201" t="s">
        <v>7</v>
      </c>
      <c r="AA9" s="201" t="s">
        <v>8</v>
      </c>
      <c r="AB9" s="201" t="s">
        <v>9</v>
      </c>
      <c r="AC9" s="202" t="s">
        <v>10</v>
      </c>
      <c r="AD9" s="618"/>
    </row>
    <row r="10" spans="1:30">
      <c r="A10" s="203">
        <v>1</v>
      </c>
      <c r="B10" s="203">
        <v>2</v>
      </c>
      <c r="C10" s="203">
        <v>3</v>
      </c>
      <c r="D10" s="203">
        <v>4</v>
      </c>
      <c r="E10" s="203">
        <v>5</v>
      </c>
      <c r="F10" s="203">
        <v>6</v>
      </c>
      <c r="G10" s="203">
        <v>7</v>
      </c>
      <c r="H10" s="203">
        <v>8</v>
      </c>
      <c r="I10" s="203">
        <v>9</v>
      </c>
      <c r="J10" s="203">
        <v>10</v>
      </c>
      <c r="K10" s="203">
        <v>11</v>
      </c>
      <c r="L10" s="203">
        <v>12</v>
      </c>
      <c r="M10" s="203">
        <v>13</v>
      </c>
      <c r="N10" s="203">
        <v>14</v>
      </c>
      <c r="O10" s="203">
        <v>15</v>
      </c>
      <c r="P10" s="203">
        <v>16</v>
      </c>
      <c r="Q10" s="203">
        <v>17</v>
      </c>
      <c r="R10" s="203">
        <v>18</v>
      </c>
      <c r="S10" s="203">
        <v>19</v>
      </c>
      <c r="T10" s="203">
        <v>20</v>
      </c>
      <c r="U10" s="203">
        <v>21</v>
      </c>
      <c r="V10" s="203">
        <v>22</v>
      </c>
      <c r="W10" s="203">
        <v>23</v>
      </c>
      <c r="X10" s="203">
        <v>24</v>
      </c>
      <c r="Y10" s="203">
        <v>25</v>
      </c>
      <c r="Z10" s="203">
        <v>26</v>
      </c>
      <c r="AA10" s="203">
        <v>27</v>
      </c>
      <c r="AB10" s="203">
        <v>28</v>
      </c>
      <c r="AC10" s="203">
        <v>29</v>
      </c>
      <c r="AD10" s="203">
        <v>30</v>
      </c>
    </row>
    <row r="11" spans="1:30">
      <c r="A11" s="623" t="s">
        <v>274</v>
      </c>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5"/>
    </row>
    <row r="12" spans="1:30" ht="23.25">
      <c r="A12" s="41" t="s">
        <v>221</v>
      </c>
      <c r="B12" s="600" t="s">
        <v>275</v>
      </c>
      <c r="C12" s="601"/>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4"/>
    </row>
    <row r="13" spans="1:30" ht="190.5" customHeight="1">
      <c r="A13" s="155" t="s">
        <v>12</v>
      </c>
      <c r="B13" s="173" t="s">
        <v>81</v>
      </c>
      <c r="C13" s="610" t="s">
        <v>14</v>
      </c>
      <c r="D13" s="204" t="s">
        <v>93</v>
      </c>
      <c r="E13" s="178">
        <f>SUM(F13:I13)</f>
        <v>28350</v>
      </c>
      <c r="F13" s="178">
        <f>43350-15000</f>
        <v>28350</v>
      </c>
      <c r="G13" s="178">
        <v>0</v>
      </c>
      <c r="H13" s="178">
        <v>0</v>
      </c>
      <c r="I13" s="178">
        <v>0</v>
      </c>
      <c r="J13" s="178">
        <f>K13+L13+M13+N13</f>
        <v>19722</v>
      </c>
      <c r="K13" s="178">
        <v>19722</v>
      </c>
      <c r="L13" s="178">
        <v>0</v>
      </c>
      <c r="M13" s="142">
        <v>0</v>
      </c>
      <c r="N13" s="142">
        <v>0</v>
      </c>
      <c r="O13" s="142">
        <v>0</v>
      </c>
      <c r="P13" s="142">
        <v>0</v>
      </c>
      <c r="Q13" s="142">
        <v>0</v>
      </c>
      <c r="R13" s="142">
        <v>0</v>
      </c>
      <c r="S13" s="142">
        <v>0</v>
      </c>
      <c r="T13" s="142">
        <f>U13+V13+W13+X13</f>
        <v>0</v>
      </c>
      <c r="U13" s="142">
        <v>0</v>
      </c>
      <c r="V13" s="142">
        <v>0</v>
      </c>
      <c r="W13" s="142">
        <v>0</v>
      </c>
      <c r="X13" s="142">
        <v>0</v>
      </c>
      <c r="Y13" s="142">
        <f>Z13+AA13+AB13+AC13</f>
        <v>35500</v>
      </c>
      <c r="Z13" s="142">
        <v>35500</v>
      </c>
      <c r="AA13" s="142">
        <v>0</v>
      </c>
      <c r="AB13" s="142">
        <v>0</v>
      </c>
      <c r="AC13" s="142">
        <v>0</v>
      </c>
      <c r="AD13" s="148">
        <f t="shared" ref="AD13:AD18" si="0">E13+J13+O13+T13+Y13</f>
        <v>83572</v>
      </c>
    </row>
    <row r="14" spans="1:30" ht="213" customHeight="1">
      <c r="A14" s="155" t="s">
        <v>13</v>
      </c>
      <c r="B14" s="174" t="s">
        <v>268</v>
      </c>
      <c r="C14" s="612"/>
      <c r="D14" s="204" t="s">
        <v>93</v>
      </c>
      <c r="E14" s="178">
        <f>SUM(F14:I14)</f>
        <v>7359</v>
      </c>
      <c r="F14" s="178">
        <f>12748-5387-2060</f>
        <v>5301</v>
      </c>
      <c r="G14" s="178">
        <v>0</v>
      </c>
      <c r="H14" s="178">
        <v>0</v>
      </c>
      <c r="I14" s="178">
        <f>4602-2544</f>
        <v>2058</v>
      </c>
      <c r="J14" s="178">
        <v>0</v>
      </c>
      <c r="K14" s="178">
        <v>0</v>
      </c>
      <c r="L14" s="178">
        <v>0</v>
      </c>
      <c r="M14" s="142">
        <v>0</v>
      </c>
      <c r="N14" s="142">
        <v>0</v>
      </c>
      <c r="O14" s="142">
        <v>0</v>
      </c>
      <c r="P14" s="142">
        <v>0</v>
      </c>
      <c r="Q14" s="142">
        <v>0</v>
      </c>
      <c r="R14" s="142">
        <v>0</v>
      </c>
      <c r="S14" s="142">
        <v>0</v>
      </c>
      <c r="T14" s="142">
        <f>U14+V14+W14+X14</f>
        <v>0</v>
      </c>
      <c r="U14" s="142">
        <v>0</v>
      </c>
      <c r="V14" s="142">
        <v>0</v>
      </c>
      <c r="W14" s="142">
        <v>0</v>
      </c>
      <c r="X14" s="142">
        <v>0</v>
      </c>
      <c r="Y14" s="142">
        <f>Z14+AA14+AB14+AC14</f>
        <v>0</v>
      </c>
      <c r="Z14" s="142">
        <v>0</v>
      </c>
      <c r="AA14" s="142">
        <v>0</v>
      </c>
      <c r="AB14" s="142">
        <v>0</v>
      </c>
      <c r="AC14" s="142">
        <v>0</v>
      </c>
      <c r="AD14" s="148">
        <f t="shared" si="0"/>
        <v>7359</v>
      </c>
    </row>
    <row r="15" spans="1:30" ht="149.25" customHeight="1">
      <c r="A15" s="155" t="s">
        <v>15</v>
      </c>
      <c r="B15" s="191" t="s">
        <v>117</v>
      </c>
      <c r="C15" s="234" t="s">
        <v>218</v>
      </c>
      <c r="D15" s="41" t="s">
        <v>93</v>
      </c>
      <c r="E15" s="178">
        <f>F15+G15+H15+I15</f>
        <v>8260</v>
      </c>
      <c r="F15" s="178">
        <f>8260</f>
        <v>8260</v>
      </c>
      <c r="G15" s="178">
        <v>0</v>
      </c>
      <c r="H15" s="178">
        <v>0</v>
      </c>
      <c r="I15" s="178">
        <v>0</v>
      </c>
      <c r="J15" s="178">
        <f>K15+L15+M15+N15</f>
        <v>11513</v>
      </c>
      <c r="K15" s="178">
        <v>11513</v>
      </c>
      <c r="L15" s="178">
        <v>0</v>
      </c>
      <c r="M15" s="142">
        <v>0</v>
      </c>
      <c r="N15" s="142">
        <v>0</v>
      </c>
      <c r="O15" s="142">
        <f>P15+Q15+R15+S15</f>
        <v>0</v>
      </c>
      <c r="P15" s="142">
        <v>0</v>
      </c>
      <c r="Q15" s="142">
        <v>0</v>
      </c>
      <c r="R15" s="142">
        <v>0</v>
      </c>
      <c r="S15" s="142">
        <v>0</v>
      </c>
      <c r="T15" s="142">
        <f>U15+V15+W15+X15</f>
        <v>0</v>
      </c>
      <c r="U15" s="142">
        <v>0</v>
      </c>
      <c r="V15" s="142">
        <v>0</v>
      </c>
      <c r="W15" s="142">
        <v>0</v>
      </c>
      <c r="X15" s="142">
        <v>0</v>
      </c>
      <c r="Y15" s="142">
        <v>12655.3</v>
      </c>
      <c r="Z15" s="142">
        <v>12655.3</v>
      </c>
      <c r="AA15" s="142">
        <v>0</v>
      </c>
      <c r="AB15" s="142">
        <v>0</v>
      </c>
      <c r="AC15" s="142">
        <v>0</v>
      </c>
      <c r="AD15" s="148">
        <f t="shared" si="0"/>
        <v>32428.3</v>
      </c>
    </row>
    <row r="16" spans="1:30" ht="115.5" customHeight="1">
      <c r="A16" s="155" t="s">
        <v>16</v>
      </c>
      <c r="B16" s="175" t="s">
        <v>270</v>
      </c>
      <c r="C16" s="205" t="s">
        <v>14</v>
      </c>
      <c r="D16" s="41" t="s">
        <v>93</v>
      </c>
      <c r="E16" s="178">
        <f>F16+G16+H16+I16</f>
        <v>586.36999999999978</v>
      </c>
      <c r="F16" s="178">
        <f>3300-2825.3</f>
        <v>474.69999999999982</v>
      </c>
      <c r="G16" s="178">
        <v>0</v>
      </c>
      <c r="H16" s="178">
        <v>0</v>
      </c>
      <c r="I16" s="178">
        <f>775-663.33</f>
        <v>111.66999999999996</v>
      </c>
      <c r="J16" s="178">
        <v>0</v>
      </c>
      <c r="K16" s="178">
        <v>0</v>
      </c>
      <c r="L16" s="178">
        <v>0</v>
      </c>
      <c r="M16" s="142">
        <v>0</v>
      </c>
      <c r="N16" s="142">
        <v>0</v>
      </c>
      <c r="O16" s="142">
        <v>0</v>
      </c>
      <c r="P16" s="142">
        <v>0</v>
      </c>
      <c r="Q16" s="142">
        <v>0</v>
      </c>
      <c r="R16" s="142">
        <v>0</v>
      </c>
      <c r="S16" s="142">
        <v>0</v>
      </c>
      <c r="T16" s="142">
        <v>0</v>
      </c>
      <c r="U16" s="142">
        <v>0</v>
      </c>
      <c r="V16" s="142">
        <v>0</v>
      </c>
      <c r="W16" s="142">
        <v>0</v>
      </c>
      <c r="X16" s="142">
        <v>0</v>
      </c>
      <c r="Y16" s="142">
        <v>0</v>
      </c>
      <c r="Z16" s="142">
        <v>0</v>
      </c>
      <c r="AA16" s="142">
        <v>0</v>
      </c>
      <c r="AB16" s="142">
        <v>0</v>
      </c>
      <c r="AC16" s="142">
        <v>0</v>
      </c>
      <c r="AD16" s="148">
        <f t="shared" si="0"/>
        <v>586.36999999999978</v>
      </c>
    </row>
    <row r="17" spans="1:31" ht="75">
      <c r="A17" s="155" t="s">
        <v>17</v>
      </c>
      <c r="B17" s="175" t="s">
        <v>210</v>
      </c>
      <c r="C17" s="234" t="s">
        <v>94</v>
      </c>
      <c r="D17" s="141">
        <v>2020</v>
      </c>
      <c r="E17" s="178">
        <f t="shared" ref="E17:E22" si="1">F17+G17+H17+I17</f>
        <v>1192</v>
      </c>
      <c r="F17" s="178">
        <v>1192</v>
      </c>
      <c r="G17" s="178">
        <v>0</v>
      </c>
      <c r="H17" s="178">
        <v>0</v>
      </c>
      <c r="I17" s="178">
        <v>0</v>
      </c>
      <c r="J17" s="178">
        <f t="shared" ref="J17:J22" si="2">K17+L17+M17+N17</f>
        <v>0</v>
      </c>
      <c r="K17" s="178">
        <v>0</v>
      </c>
      <c r="L17" s="178">
        <v>0</v>
      </c>
      <c r="M17" s="142">
        <v>0</v>
      </c>
      <c r="N17" s="142">
        <v>0</v>
      </c>
      <c r="O17" s="142">
        <f>P17+Q17+R17+S17</f>
        <v>0</v>
      </c>
      <c r="P17" s="142">
        <v>0</v>
      </c>
      <c r="Q17" s="142">
        <v>0</v>
      </c>
      <c r="R17" s="142">
        <v>0</v>
      </c>
      <c r="S17" s="142">
        <v>0</v>
      </c>
      <c r="T17" s="142">
        <f>U17+V17+W17+X17</f>
        <v>0</v>
      </c>
      <c r="U17" s="142">
        <v>0</v>
      </c>
      <c r="V17" s="142">
        <v>0</v>
      </c>
      <c r="W17" s="142">
        <v>0</v>
      </c>
      <c r="X17" s="142">
        <v>0</v>
      </c>
      <c r="Y17" s="142">
        <f>Z17+AA17+AB17+AC17</f>
        <v>0</v>
      </c>
      <c r="Z17" s="142">
        <v>0</v>
      </c>
      <c r="AA17" s="142">
        <v>0</v>
      </c>
      <c r="AB17" s="142">
        <v>0</v>
      </c>
      <c r="AC17" s="142">
        <v>0</v>
      </c>
      <c r="AD17" s="142">
        <f t="shared" si="0"/>
        <v>1192</v>
      </c>
    </row>
    <row r="18" spans="1:31" ht="75">
      <c r="A18" s="155" t="s">
        <v>163</v>
      </c>
      <c r="B18" s="175" t="s">
        <v>121</v>
      </c>
      <c r="C18" s="234" t="s">
        <v>94</v>
      </c>
      <c r="D18" s="141" t="s">
        <v>164</v>
      </c>
      <c r="E18" s="178">
        <f t="shared" si="1"/>
        <v>6060</v>
      </c>
      <c r="F18" s="178">
        <f>6183-123</f>
        <v>6060</v>
      </c>
      <c r="G18" s="178">
        <v>0</v>
      </c>
      <c r="H18" s="178">
        <v>0</v>
      </c>
      <c r="I18" s="178">
        <v>0</v>
      </c>
      <c r="J18" s="178">
        <f t="shared" si="2"/>
        <v>5832</v>
      </c>
      <c r="K18" s="178">
        <v>5832</v>
      </c>
      <c r="L18" s="178">
        <v>0</v>
      </c>
      <c r="M18" s="142">
        <v>0</v>
      </c>
      <c r="N18" s="142">
        <v>0</v>
      </c>
      <c r="O18" s="142">
        <f>P18+Q18+R18+S18</f>
        <v>0</v>
      </c>
      <c r="P18" s="142">
        <v>0</v>
      </c>
      <c r="Q18" s="142">
        <v>0</v>
      </c>
      <c r="R18" s="142">
        <v>0</v>
      </c>
      <c r="S18" s="142">
        <v>0</v>
      </c>
      <c r="T18" s="142">
        <f>U18+V18+W18+X18</f>
        <v>0</v>
      </c>
      <c r="U18" s="142">
        <v>0</v>
      </c>
      <c r="V18" s="142">
        <v>0</v>
      </c>
      <c r="W18" s="142">
        <v>0</v>
      </c>
      <c r="X18" s="142">
        <v>0</v>
      </c>
      <c r="Y18" s="142">
        <v>6150</v>
      </c>
      <c r="Z18" s="142">
        <v>6150</v>
      </c>
      <c r="AA18" s="142">
        <v>0</v>
      </c>
      <c r="AB18" s="142">
        <v>0</v>
      </c>
      <c r="AC18" s="142">
        <v>0</v>
      </c>
      <c r="AD18" s="142">
        <f t="shared" si="0"/>
        <v>18042</v>
      </c>
    </row>
    <row r="19" spans="1:31" ht="75">
      <c r="A19" s="155" t="s">
        <v>182</v>
      </c>
      <c r="B19" s="170" t="s">
        <v>124</v>
      </c>
      <c r="C19" s="234" t="s">
        <v>94</v>
      </c>
      <c r="D19" s="141" t="s">
        <v>282</v>
      </c>
      <c r="E19" s="178">
        <f t="shared" si="1"/>
        <v>785</v>
      </c>
      <c r="F19" s="178">
        <v>785</v>
      </c>
      <c r="G19" s="178">
        <v>0</v>
      </c>
      <c r="H19" s="178">
        <v>0</v>
      </c>
      <c r="I19" s="178">
        <v>0</v>
      </c>
      <c r="J19" s="178">
        <f t="shared" si="2"/>
        <v>90</v>
      </c>
      <c r="K19" s="178">
        <v>90</v>
      </c>
      <c r="L19" s="178">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f>E19+J19+O19+T19+Y19</f>
        <v>875</v>
      </c>
    </row>
    <row r="20" spans="1:31" ht="75">
      <c r="A20" s="155" t="s">
        <v>208</v>
      </c>
      <c r="B20" s="170" t="s">
        <v>126</v>
      </c>
      <c r="C20" s="234" t="s">
        <v>94</v>
      </c>
      <c r="D20" s="141">
        <v>2020</v>
      </c>
      <c r="E20" s="178">
        <f t="shared" si="1"/>
        <v>110</v>
      </c>
      <c r="F20" s="178">
        <v>110</v>
      </c>
      <c r="G20" s="178">
        <v>0</v>
      </c>
      <c r="H20" s="178">
        <v>0</v>
      </c>
      <c r="I20" s="178">
        <v>0</v>
      </c>
      <c r="J20" s="178">
        <f t="shared" si="2"/>
        <v>0</v>
      </c>
      <c r="K20" s="178">
        <v>0</v>
      </c>
      <c r="L20" s="178">
        <v>0</v>
      </c>
      <c r="M20" s="142">
        <v>0</v>
      </c>
      <c r="N20" s="142">
        <v>0</v>
      </c>
      <c r="O20" s="142">
        <f t="shared" ref="O20:O26" si="3">P20+Q20+R20+S20</f>
        <v>0</v>
      </c>
      <c r="P20" s="142">
        <v>0</v>
      </c>
      <c r="Q20" s="142">
        <v>0</v>
      </c>
      <c r="R20" s="142">
        <v>0</v>
      </c>
      <c r="S20" s="142">
        <v>0</v>
      </c>
      <c r="T20" s="142">
        <f>U20+V20+W20+X20</f>
        <v>0</v>
      </c>
      <c r="U20" s="142">
        <v>0</v>
      </c>
      <c r="V20" s="142">
        <v>0</v>
      </c>
      <c r="W20" s="142">
        <v>0</v>
      </c>
      <c r="X20" s="142">
        <v>0</v>
      </c>
      <c r="Y20" s="142">
        <f>Z20+AA20+AB20+AC20</f>
        <v>0</v>
      </c>
      <c r="Z20" s="142">
        <v>0</v>
      </c>
      <c r="AA20" s="142">
        <v>0</v>
      </c>
      <c r="AB20" s="142">
        <v>0</v>
      </c>
      <c r="AC20" s="142">
        <v>0</v>
      </c>
      <c r="AD20" s="142">
        <f t="shared" ref="AD20:AD26" si="4">E20+J20+O20+T20+Y20</f>
        <v>110</v>
      </c>
    </row>
    <row r="21" spans="1:31" ht="123" customHeight="1">
      <c r="A21" s="155" t="s">
        <v>211</v>
      </c>
      <c r="B21" s="170" t="s">
        <v>122</v>
      </c>
      <c r="C21" s="234" t="s">
        <v>94</v>
      </c>
      <c r="D21" s="141">
        <v>2020</v>
      </c>
      <c r="E21" s="178">
        <f t="shared" si="1"/>
        <v>53</v>
      </c>
      <c r="F21" s="178">
        <v>53</v>
      </c>
      <c r="G21" s="178">
        <v>0</v>
      </c>
      <c r="H21" s="178">
        <v>0</v>
      </c>
      <c r="I21" s="178">
        <v>0</v>
      </c>
      <c r="J21" s="178">
        <f t="shared" si="2"/>
        <v>0</v>
      </c>
      <c r="K21" s="178">
        <v>0</v>
      </c>
      <c r="L21" s="178">
        <v>0</v>
      </c>
      <c r="M21" s="142">
        <v>0</v>
      </c>
      <c r="N21" s="142">
        <v>0</v>
      </c>
      <c r="O21" s="142">
        <f t="shared" si="3"/>
        <v>0</v>
      </c>
      <c r="P21" s="142">
        <v>0</v>
      </c>
      <c r="Q21" s="142">
        <v>0</v>
      </c>
      <c r="R21" s="142">
        <v>0</v>
      </c>
      <c r="S21" s="142">
        <v>0</v>
      </c>
      <c r="T21" s="142">
        <f>U21+V21+W21+X21</f>
        <v>0</v>
      </c>
      <c r="U21" s="142">
        <v>0</v>
      </c>
      <c r="V21" s="142">
        <v>0</v>
      </c>
      <c r="W21" s="142">
        <v>0</v>
      </c>
      <c r="X21" s="142">
        <v>0</v>
      </c>
      <c r="Y21" s="142">
        <f>Z21+AA21+AB21+AC21</f>
        <v>0</v>
      </c>
      <c r="Z21" s="142">
        <v>0</v>
      </c>
      <c r="AA21" s="142">
        <v>0</v>
      </c>
      <c r="AB21" s="142">
        <v>0</v>
      </c>
      <c r="AC21" s="142">
        <v>0</v>
      </c>
      <c r="AD21" s="142">
        <f t="shared" si="4"/>
        <v>53</v>
      </c>
    </row>
    <row r="22" spans="1:31" ht="126" customHeight="1">
      <c r="A22" s="155" t="s">
        <v>212</v>
      </c>
      <c r="B22" s="170" t="s">
        <v>123</v>
      </c>
      <c r="C22" s="234" t="s">
        <v>94</v>
      </c>
      <c r="D22" s="141">
        <v>2020</v>
      </c>
      <c r="E22" s="178">
        <f t="shared" si="1"/>
        <v>130</v>
      </c>
      <c r="F22" s="178">
        <f>112+18</f>
        <v>130</v>
      </c>
      <c r="G22" s="178">
        <v>0</v>
      </c>
      <c r="H22" s="178">
        <v>0</v>
      </c>
      <c r="I22" s="178">
        <v>0</v>
      </c>
      <c r="J22" s="178">
        <f t="shared" si="2"/>
        <v>0</v>
      </c>
      <c r="K22" s="178">
        <v>0</v>
      </c>
      <c r="L22" s="178">
        <v>0</v>
      </c>
      <c r="M22" s="142">
        <v>0</v>
      </c>
      <c r="N22" s="142">
        <v>0</v>
      </c>
      <c r="O22" s="142">
        <f t="shared" si="3"/>
        <v>0</v>
      </c>
      <c r="P22" s="142">
        <v>0</v>
      </c>
      <c r="Q22" s="142">
        <v>0</v>
      </c>
      <c r="R22" s="142">
        <v>0</v>
      </c>
      <c r="S22" s="142">
        <v>0</v>
      </c>
      <c r="T22" s="142">
        <f>U22+V22+W22+X22</f>
        <v>0</v>
      </c>
      <c r="U22" s="142">
        <v>0</v>
      </c>
      <c r="V22" s="142">
        <v>0</v>
      </c>
      <c r="W22" s="142">
        <v>0</v>
      </c>
      <c r="X22" s="142">
        <v>0</v>
      </c>
      <c r="Y22" s="142">
        <f>Z22+AA22+AB22+AC22</f>
        <v>0</v>
      </c>
      <c r="Z22" s="142">
        <v>0</v>
      </c>
      <c r="AA22" s="142">
        <v>0</v>
      </c>
      <c r="AB22" s="142">
        <v>0</v>
      </c>
      <c r="AC22" s="142">
        <v>0</v>
      </c>
      <c r="AD22" s="142">
        <f t="shared" si="4"/>
        <v>130</v>
      </c>
    </row>
    <row r="23" spans="1:31" ht="120" customHeight="1">
      <c r="A23" s="155" t="s">
        <v>213</v>
      </c>
      <c r="B23" s="170" t="s">
        <v>125</v>
      </c>
      <c r="C23" s="234" t="s">
        <v>94</v>
      </c>
      <c r="D23" s="141" t="s">
        <v>164</v>
      </c>
      <c r="E23" s="178">
        <v>120</v>
      </c>
      <c r="F23" s="178">
        <v>120</v>
      </c>
      <c r="G23" s="178">
        <v>0</v>
      </c>
      <c r="H23" s="178">
        <v>0</v>
      </c>
      <c r="I23" s="178">
        <v>0</v>
      </c>
      <c r="J23" s="178">
        <f>K23+L23+M23+N23</f>
        <v>60</v>
      </c>
      <c r="K23" s="178">
        <v>60</v>
      </c>
      <c r="L23" s="178">
        <v>0</v>
      </c>
      <c r="M23" s="142">
        <v>0</v>
      </c>
      <c r="N23" s="142">
        <v>0</v>
      </c>
      <c r="O23" s="142">
        <f t="shared" si="3"/>
        <v>0</v>
      </c>
      <c r="P23" s="142">
        <v>0</v>
      </c>
      <c r="Q23" s="142">
        <v>0</v>
      </c>
      <c r="R23" s="142">
        <v>0</v>
      </c>
      <c r="S23" s="142">
        <v>0</v>
      </c>
      <c r="T23" s="142">
        <f>U23+V23+W23+X23</f>
        <v>0</v>
      </c>
      <c r="U23" s="142">
        <v>0</v>
      </c>
      <c r="V23" s="142">
        <v>0</v>
      </c>
      <c r="W23" s="142">
        <v>0</v>
      </c>
      <c r="X23" s="142">
        <v>0</v>
      </c>
      <c r="Y23" s="142">
        <v>90</v>
      </c>
      <c r="Z23" s="142">
        <v>90</v>
      </c>
      <c r="AA23" s="142">
        <v>0</v>
      </c>
      <c r="AB23" s="142">
        <v>0</v>
      </c>
      <c r="AC23" s="142">
        <v>0</v>
      </c>
      <c r="AD23" s="142">
        <f t="shared" si="4"/>
        <v>270</v>
      </c>
    </row>
    <row r="24" spans="1:31" ht="59.25" customHeight="1">
      <c r="A24" s="155" t="s">
        <v>214</v>
      </c>
      <c r="B24" s="170" t="s">
        <v>205</v>
      </c>
      <c r="C24" s="234" t="s">
        <v>52</v>
      </c>
      <c r="D24" s="141" t="s">
        <v>287</v>
      </c>
      <c r="E24" s="178">
        <v>23068</v>
      </c>
      <c r="F24" s="178">
        <v>0</v>
      </c>
      <c r="G24" s="178">
        <v>23068</v>
      </c>
      <c r="H24" s="178">
        <v>0</v>
      </c>
      <c r="I24" s="178">
        <v>0</v>
      </c>
      <c r="J24" s="178">
        <f>K24+L24+M24+N24</f>
        <v>23742</v>
      </c>
      <c r="K24" s="178">
        <v>0</v>
      </c>
      <c r="L24" s="178">
        <v>23742</v>
      </c>
      <c r="M24" s="142">
        <v>0</v>
      </c>
      <c r="N24" s="142">
        <v>0</v>
      </c>
      <c r="O24" s="142">
        <f t="shared" si="3"/>
        <v>0</v>
      </c>
      <c r="P24" s="142">
        <v>0</v>
      </c>
      <c r="Q24" s="142">
        <v>0</v>
      </c>
      <c r="R24" s="142">
        <v>0</v>
      </c>
      <c r="S24" s="142">
        <v>0</v>
      </c>
      <c r="T24" s="142">
        <v>0</v>
      </c>
      <c r="U24" s="142">
        <v>0</v>
      </c>
      <c r="V24" s="142">
        <v>0</v>
      </c>
      <c r="W24" s="142">
        <v>0</v>
      </c>
      <c r="X24" s="142">
        <v>0</v>
      </c>
      <c r="Y24" s="142">
        <v>0</v>
      </c>
      <c r="Z24" s="142">
        <v>0</v>
      </c>
      <c r="AA24" s="142">
        <v>0</v>
      </c>
      <c r="AB24" s="142">
        <v>0</v>
      </c>
      <c r="AC24" s="142">
        <v>0</v>
      </c>
      <c r="AD24" s="142">
        <f t="shared" si="4"/>
        <v>46810</v>
      </c>
    </row>
    <row r="25" spans="1:31" ht="95.25" customHeight="1">
      <c r="A25" s="155" t="s">
        <v>215</v>
      </c>
      <c r="B25" s="170" t="s">
        <v>198</v>
      </c>
      <c r="C25" s="234" t="s">
        <v>52</v>
      </c>
      <c r="D25" s="141" t="s">
        <v>287</v>
      </c>
      <c r="E25" s="178">
        <v>238</v>
      </c>
      <c r="F25" s="179">
        <v>0</v>
      </c>
      <c r="G25" s="178">
        <v>238</v>
      </c>
      <c r="H25" s="178">
        <v>0</v>
      </c>
      <c r="I25" s="178">
        <v>0</v>
      </c>
      <c r="J25" s="178">
        <f>K25+L25+M25+N25</f>
        <v>476</v>
      </c>
      <c r="K25" s="178">
        <v>0</v>
      </c>
      <c r="L25" s="178">
        <v>476</v>
      </c>
      <c r="M25" s="142">
        <v>0</v>
      </c>
      <c r="N25" s="142">
        <v>0</v>
      </c>
      <c r="O25" s="142">
        <f t="shared" si="3"/>
        <v>0</v>
      </c>
      <c r="P25" s="142">
        <v>0</v>
      </c>
      <c r="Q25" s="142">
        <v>0</v>
      </c>
      <c r="R25" s="142">
        <v>0</v>
      </c>
      <c r="S25" s="142">
        <v>0</v>
      </c>
      <c r="T25" s="142">
        <v>0</v>
      </c>
      <c r="U25" s="142">
        <v>0</v>
      </c>
      <c r="V25" s="142">
        <v>0</v>
      </c>
      <c r="W25" s="142">
        <v>0</v>
      </c>
      <c r="X25" s="142">
        <v>0</v>
      </c>
      <c r="Y25" s="142">
        <v>0</v>
      </c>
      <c r="Z25" s="142">
        <v>0</v>
      </c>
      <c r="AA25" s="142">
        <v>0</v>
      </c>
      <c r="AB25" s="142">
        <v>0</v>
      </c>
      <c r="AC25" s="142">
        <v>0</v>
      </c>
      <c r="AD25" s="142">
        <f t="shared" si="4"/>
        <v>714</v>
      </c>
    </row>
    <row r="26" spans="1:31" ht="97.5" customHeight="1">
      <c r="A26" s="155" t="s">
        <v>216</v>
      </c>
      <c r="B26" s="175" t="s">
        <v>217</v>
      </c>
      <c r="C26" s="234" t="s">
        <v>94</v>
      </c>
      <c r="D26" s="141">
        <v>2020</v>
      </c>
      <c r="E26" s="178">
        <f>F26+G26+H26+I26</f>
        <v>120</v>
      </c>
      <c r="F26" s="178">
        <f>300-180</f>
        <v>120</v>
      </c>
      <c r="G26" s="178">
        <v>0</v>
      </c>
      <c r="H26" s="178">
        <v>0</v>
      </c>
      <c r="I26" s="178">
        <v>0</v>
      </c>
      <c r="J26" s="178">
        <f>K26+L26+M26+N26</f>
        <v>0</v>
      </c>
      <c r="K26" s="178">
        <v>0</v>
      </c>
      <c r="L26" s="178">
        <v>0</v>
      </c>
      <c r="M26" s="142">
        <v>0</v>
      </c>
      <c r="N26" s="142">
        <v>0</v>
      </c>
      <c r="O26" s="142">
        <f t="shared" si="3"/>
        <v>0</v>
      </c>
      <c r="P26" s="142">
        <v>0</v>
      </c>
      <c r="Q26" s="142">
        <v>0</v>
      </c>
      <c r="R26" s="142">
        <v>0</v>
      </c>
      <c r="S26" s="142">
        <v>0</v>
      </c>
      <c r="T26" s="142">
        <f>U26+V26+W26+X26</f>
        <v>0</v>
      </c>
      <c r="U26" s="142">
        <v>0</v>
      </c>
      <c r="V26" s="142">
        <v>0</v>
      </c>
      <c r="W26" s="142">
        <v>0</v>
      </c>
      <c r="X26" s="142">
        <v>0</v>
      </c>
      <c r="Y26" s="142">
        <f>Z26+AA26+AB26+AC26</f>
        <v>0</v>
      </c>
      <c r="Z26" s="142">
        <v>0</v>
      </c>
      <c r="AA26" s="142">
        <v>0</v>
      </c>
      <c r="AB26" s="142">
        <v>0</v>
      </c>
      <c r="AC26" s="142">
        <v>0</v>
      </c>
      <c r="AD26" s="142">
        <f t="shared" si="4"/>
        <v>120</v>
      </c>
    </row>
    <row r="27" spans="1:31" ht="23.25">
      <c r="A27" s="575" t="s">
        <v>19</v>
      </c>
      <c r="B27" s="575"/>
      <c r="C27" s="575"/>
      <c r="D27" s="206"/>
      <c r="E27" s="148">
        <f>E28+E29+E30</f>
        <v>76431.37</v>
      </c>
      <c r="F27" s="148">
        <f>SUM(F13:F26)</f>
        <v>50955.7</v>
      </c>
      <c r="G27" s="148">
        <f>G28+G29+G30</f>
        <v>23306</v>
      </c>
      <c r="H27" s="148">
        <f>SUM(H13:H17)</f>
        <v>0</v>
      </c>
      <c r="I27" s="148">
        <f>SUM(I13:I17)</f>
        <v>2169.67</v>
      </c>
      <c r="J27" s="148">
        <f>J28+J29</f>
        <v>37217</v>
      </c>
      <c r="K27" s="148">
        <f>K28+K29</f>
        <v>37217</v>
      </c>
      <c r="L27" s="148">
        <f>L13+L14+L15+L16+L17+L18+L19+L20+L21+L22+L23+L24+L25+L26</f>
        <v>24218</v>
      </c>
      <c r="M27" s="148">
        <f>SUM(M13:M17)</f>
        <v>0</v>
      </c>
      <c r="N27" s="148">
        <f>SUM(N13:N17)</f>
        <v>0</v>
      </c>
      <c r="O27" s="148">
        <f>O28+O29</f>
        <v>0</v>
      </c>
      <c r="P27" s="148">
        <f>P28+P29</f>
        <v>0</v>
      </c>
      <c r="Q27" s="148">
        <f>SUM(Q13:Q17)</f>
        <v>0</v>
      </c>
      <c r="R27" s="148">
        <f>SUM(R13:R17)</f>
        <v>0</v>
      </c>
      <c r="S27" s="148">
        <f>SUM(S13:S17)</f>
        <v>0</v>
      </c>
      <c r="T27" s="148">
        <f>SUM(T13:T26)</f>
        <v>0</v>
      </c>
      <c r="U27" s="148">
        <f>SUM(U13:U26)</f>
        <v>0</v>
      </c>
      <c r="V27" s="148">
        <f>SUM(V13:V17)</f>
        <v>0</v>
      </c>
      <c r="W27" s="148">
        <f>SUM(W13:W16)</f>
        <v>0</v>
      </c>
      <c r="X27" s="148">
        <f>SUM(X13:X16)</f>
        <v>0</v>
      </c>
      <c r="Y27" s="148">
        <f>Y28+Y29</f>
        <v>54395.3</v>
      </c>
      <c r="Z27" s="148">
        <f>Z28+Z29+Z30</f>
        <v>54395.3</v>
      </c>
      <c r="AA27" s="148">
        <f>SUM(AA13:AA17)</f>
        <v>0</v>
      </c>
      <c r="AB27" s="148">
        <f>SUM(AB13:AB17)</f>
        <v>0</v>
      </c>
      <c r="AC27" s="148">
        <f>SUM(AC13:AC17)</f>
        <v>0</v>
      </c>
      <c r="AD27" s="148">
        <f>SUM(AD13:AD26)</f>
        <v>192261.66999999998</v>
      </c>
    </row>
    <row r="28" spans="1:31" ht="23.25">
      <c r="A28" s="225" t="s">
        <v>14</v>
      </c>
      <c r="B28" s="227"/>
      <c r="C28" s="228"/>
      <c r="D28" s="157"/>
      <c r="E28" s="142">
        <f>F28+G28+H28+I28</f>
        <v>36295.369999999995</v>
      </c>
      <c r="F28" s="142">
        <f>F13+F14+F16</f>
        <v>34125.699999999997</v>
      </c>
      <c r="G28" s="142">
        <f>G13+G14+G16</f>
        <v>0</v>
      </c>
      <c r="H28" s="142">
        <f>G13+G14+G16</f>
        <v>0</v>
      </c>
      <c r="I28" s="142">
        <f>I14+I16</f>
        <v>2169.67</v>
      </c>
      <c r="J28" s="142">
        <f t="shared" ref="J28:V28" si="5">J13+J14+J16</f>
        <v>19722</v>
      </c>
      <c r="K28" s="142">
        <f t="shared" si="5"/>
        <v>19722</v>
      </c>
      <c r="L28" s="142">
        <f t="shared" si="5"/>
        <v>0</v>
      </c>
      <c r="M28" s="142">
        <f t="shared" si="5"/>
        <v>0</v>
      </c>
      <c r="N28" s="142">
        <f t="shared" si="5"/>
        <v>0</v>
      </c>
      <c r="O28" s="142">
        <f t="shared" si="5"/>
        <v>0</v>
      </c>
      <c r="P28" s="142">
        <f t="shared" si="5"/>
        <v>0</v>
      </c>
      <c r="Q28" s="142">
        <f t="shared" si="5"/>
        <v>0</v>
      </c>
      <c r="R28" s="142">
        <f t="shared" si="5"/>
        <v>0</v>
      </c>
      <c r="S28" s="142">
        <f t="shared" si="5"/>
        <v>0</v>
      </c>
      <c r="T28" s="142">
        <f t="shared" si="5"/>
        <v>0</v>
      </c>
      <c r="U28" s="142">
        <f t="shared" si="5"/>
        <v>0</v>
      </c>
      <c r="V28" s="142">
        <f t="shared" si="5"/>
        <v>0</v>
      </c>
      <c r="W28" s="142">
        <f>V13+V14+V27</f>
        <v>0</v>
      </c>
      <c r="X28" s="142">
        <f t="shared" ref="X28:AC28" si="6">X13+X14+X16</f>
        <v>0</v>
      </c>
      <c r="Y28" s="142">
        <f t="shared" si="6"/>
        <v>35500</v>
      </c>
      <c r="Z28" s="142">
        <f>Z13+Z14+Z16</f>
        <v>35500</v>
      </c>
      <c r="AA28" s="142">
        <f t="shared" si="6"/>
        <v>0</v>
      </c>
      <c r="AB28" s="142">
        <f t="shared" si="6"/>
        <v>0</v>
      </c>
      <c r="AC28" s="142">
        <f t="shared" si="6"/>
        <v>0</v>
      </c>
      <c r="AD28" s="142">
        <f>E28+J28+O28+T28+Y28</f>
        <v>91517.37</v>
      </c>
    </row>
    <row r="29" spans="1:31" ht="23.25">
      <c r="A29" s="225" t="s">
        <v>135</v>
      </c>
      <c r="B29" s="207"/>
      <c r="C29" s="208"/>
      <c r="D29" s="157"/>
      <c r="E29" s="142">
        <f>E15+E17+E18+E19+E20+E21+E22+E23+E26</f>
        <v>16830</v>
      </c>
      <c r="F29" s="142">
        <f>F15+F17+F18+F19+F20+F21+F22+F23+F26</f>
        <v>16830</v>
      </c>
      <c r="G29" s="142">
        <f>G15+G16</f>
        <v>0</v>
      </c>
      <c r="H29" s="142">
        <f>H15+H17+H18+H19+H20+H21+H22+H23+H26</f>
        <v>0</v>
      </c>
      <c r="I29" s="142">
        <f>I15+I17+I17+I18+I19+I20+I21+I22+I23+I26</f>
        <v>0</v>
      </c>
      <c r="J29" s="142">
        <f>J15+J17+J18+J19+J20+J21+J22+J23+J26</f>
        <v>17495</v>
      </c>
      <c r="K29" s="142">
        <f>K15+K17+K18+K19+K20+K21+K22+K23+K26</f>
        <v>17495</v>
      </c>
      <c r="L29" s="142">
        <f>L15+L17+L18+L19+L20+L21+L22+L23+L26</f>
        <v>0</v>
      </c>
      <c r="M29" s="142">
        <f>M24+M25</f>
        <v>0</v>
      </c>
      <c r="N29" s="142">
        <f>N24+N25</f>
        <v>0</v>
      </c>
      <c r="O29" s="142">
        <f>O26+O23+O13+O22+O21+O20+O19+O18+O17+O16+O15</f>
        <v>0</v>
      </c>
      <c r="P29" s="142">
        <f t="shared" ref="P29:AC29" si="7">P15+P17+P18+P19+P20+P21+P22+P23+P26</f>
        <v>0</v>
      </c>
      <c r="Q29" s="142">
        <f t="shared" si="7"/>
        <v>0</v>
      </c>
      <c r="R29" s="142">
        <f t="shared" si="7"/>
        <v>0</v>
      </c>
      <c r="S29" s="142">
        <f t="shared" si="7"/>
        <v>0</v>
      </c>
      <c r="T29" s="142">
        <f t="shared" si="7"/>
        <v>0</v>
      </c>
      <c r="U29" s="142">
        <f>U15+U17+U18+U19+U20+U21+U22+U23+U26</f>
        <v>0</v>
      </c>
      <c r="V29" s="142">
        <f t="shared" si="7"/>
        <v>0</v>
      </c>
      <c r="W29" s="142">
        <f t="shared" si="7"/>
        <v>0</v>
      </c>
      <c r="X29" s="142">
        <f t="shared" si="7"/>
        <v>0</v>
      </c>
      <c r="Y29" s="142">
        <f t="shared" si="7"/>
        <v>18895.3</v>
      </c>
      <c r="Z29" s="142">
        <f>Z15+Z17+Z18+Z19+Z20+Z21+Z22+Z23+Z26</f>
        <v>18895.3</v>
      </c>
      <c r="AA29" s="142">
        <f t="shared" si="7"/>
        <v>0</v>
      </c>
      <c r="AB29" s="142">
        <f t="shared" si="7"/>
        <v>0</v>
      </c>
      <c r="AC29" s="142">
        <f t="shared" si="7"/>
        <v>0</v>
      </c>
      <c r="AD29" s="142">
        <f>E29+J29+O29+T29+Y29</f>
        <v>53220.3</v>
      </c>
      <c r="AE29" s="209"/>
    </row>
    <row r="30" spans="1:31" ht="23.25">
      <c r="A30" s="227" t="s">
        <v>73</v>
      </c>
      <c r="B30" s="228"/>
      <c r="C30" s="228"/>
      <c r="D30" s="210"/>
      <c r="E30" s="142">
        <f t="shared" ref="E30:T30" si="8">E24+E25</f>
        <v>23306</v>
      </c>
      <c r="F30" s="142">
        <f t="shared" si="8"/>
        <v>0</v>
      </c>
      <c r="G30" s="142">
        <f t="shared" si="8"/>
        <v>23306</v>
      </c>
      <c r="H30" s="142">
        <f t="shared" si="8"/>
        <v>0</v>
      </c>
      <c r="I30" s="142">
        <f t="shared" si="8"/>
        <v>0</v>
      </c>
      <c r="J30" s="142">
        <f t="shared" si="8"/>
        <v>24218</v>
      </c>
      <c r="K30" s="142">
        <f t="shared" si="8"/>
        <v>0</v>
      </c>
      <c r="L30" s="142">
        <f t="shared" si="8"/>
        <v>24218</v>
      </c>
      <c r="M30" s="142">
        <f t="shared" si="8"/>
        <v>0</v>
      </c>
      <c r="N30" s="142">
        <f t="shared" si="8"/>
        <v>0</v>
      </c>
      <c r="O30" s="142">
        <f t="shared" si="8"/>
        <v>0</v>
      </c>
      <c r="P30" s="142">
        <f t="shared" si="8"/>
        <v>0</v>
      </c>
      <c r="Q30" s="142">
        <f t="shared" si="8"/>
        <v>0</v>
      </c>
      <c r="R30" s="142">
        <f t="shared" si="8"/>
        <v>0</v>
      </c>
      <c r="S30" s="142">
        <f t="shared" si="8"/>
        <v>0</v>
      </c>
      <c r="T30" s="142">
        <f t="shared" si="8"/>
        <v>0</v>
      </c>
      <c r="U30" s="142">
        <f>U25+U24</f>
        <v>0</v>
      </c>
      <c r="V30" s="142">
        <f>U24+U25</f>
        <v>0</v>
      </c>
      <c r="W30" s="142">
        <f t="shared" ref="W30:AC30" si="9">W24+W25</f>
        <v>0</v>
      </c>
      <c r="X30" s="142">
        <f t="shared" si="9"/>
        <v>0</v>
      </c>
      <c r="Y30" s="142">
        <f t="shared" si="9"/>
        <v>0</v>
      </c>
      <c r="Z30" s="142">
        <f t="shared" si="9"/>
        <v>0</v>
      </c>
      <c r="AA30" s="142">
        <f t="shared" si="9"/>
        <v>0</v>
      </c>
      <c r="AB30" s="142">
        <f t="shared" si="9"/>
        <v>0</v>
      </c>
      <c r="AC30" s="142">
        <f t="shared" si="9"/>
        <v>0</v>
      </c>
      <c r="AD30" s="142">
        <f>E30+J30+O30+T30+Y30</f>
        <v>47524</v>
      </c>
      <c r="AE30" s="209"/>
    </row>
    <row r="31" spans="1:31" ht="23.25">
      <c r="A31" s="41" t="s">
        <v>222</v>
      </c>
      <c r="B31" s="628" t="s">
        <v>276</v>
      </c>
      <c r="C31" s="629"/>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4"/>
    </row>
    <row r="32" spans="1:31" ht="139.5">
      <c r="A32" s="155" t="s">
        <v>21</v>
      </c>
      <c r="B32" s="185" t="s">
        <v>192</v>
      </c>
      <c r="C32" s="41" t="s">
        <v>94</v>
      </c>
      <c r="D32" s="41" t="s">
        <v>93</v>
      </c>
      <c r="E32" s="142">
        <f>F32+G32+H32+I32</f>
        <v>1892</v>
      </c>
      <c r="F32" s="142">
        <f>2664-772</f>
        <v>1892</v>
      </c>
      <c r="G32" s="142">
        <v>0</v>
      </c>
      <c r="H32" s="142">
        <v>0</v>
      </c>
      <c r="I32" s="142">
        <v>0</v>
      </c>
      <c r="J32" s="142">
        <f>K32+L32+M32+N32</f>
        <v>1892</v>
      </c>
      <c r="K32" s="142">
        <v>1892</v>
      </c>
      <c r="L32" s="142">
        <v>0</v>
      </c>
      <c r="M32" s="142">
        <v>0</v>
      </c>
      <c r="N32" s="142">
        <v>0</v>
      </c>
      <c r="O32" s="142">
        <f>P32+Q32+R32+S32</f>
        <v>0</v>
      </c>
      <c r="P32" s="142">
        <v>0</v>
      </c>
      <c r="Q32" s="142">
        <v>0</v>
      </c>
      <c r="R32" s="142">
        <v>0</v>
      </c>
      <c r="S32" s="142">
        <v>0</v>
      </c>
      <c r="T32" s="142">
        <f>U32+V32+W32+X32</f>
        <v>0</v>
      </c>
      <c r="U32" s="142">
        <v>0</v>
      </c>
      <c r="V32" s="142">
        <v>0</v>
      </c>
      <c r="W32" s="142">
        <v>0</v>
      </c>
      <c r="X32" s="142">
        <v>0</v>
      </c>
      <c r="Y32" s="142">
        <f>Z32+AA32+AB32+AC32</f>
        <v>2664</v>
      </c>
      <c r="Z32" s="142">
        <v>2664</v>
      </c>
      <c r="AA32" s="142">
        <v>0</v>
      </c>
      <c r="AB32" s="142">
        <v>0</v>
      </c>
      <c r="AC32" s="142">
        <v>0</v>
      </c>
      <c r="AD32" s="142">
        <f>E32+J32+O32+T32+Y32</f>
        <v>6448</v>
      </c>
    </row>
    <row r="33" spans="1:31" ht="20.25">
      <c r="A33" s="602" t="s">
        <v>22</v>
      </c>
      <c r="B33" s="603"/>
      <c r="C33" s="604"/>
      <c r="D33" s="226"/>
      <c r="E33" s="148">
        <f>E32</f>
        <v>1892</v>
      </c>
      <c r="F33" s="148">
        <f>SUM(F32)</f>
        <v>1892</v>
      </c>
      <c r="G33" s="148">
        <f t="shared" ref="G33:AD33" si="10">SUM(G32:G32)</f>
        <v>0</v>
      </c>
      <c r="H33" s="148">
        <f t="shared" si="10"/>
        <v>0</v>
      </c>
      <c r="I33" s="148">
        <f t="shared" si="10"/>
        <v>0</v>
      </c>
      <c r="J33" s="148">
        <f>J32</f>
        <v>1892</v>
      </c>
      <c r="K33" s="148">
        <f t="shared" si="10"/>
        <v>1892</v>
      </c>
      <c r="L33" s="148">
        <f t="shared" si="10"/>
        <v>0</v>
      </c>
      <c r="M33" s="148">
        <f t="shared" si="10"/>
        <v>0</v>
      </c>
      <c r="N33" s="148">
        <f t="shared" si="10"/>
        <v>0</v>
      </c>
      <c r="O33" s="148">
        <f t="shared" si="10"/>
        <v>0</v>
      </c>
      <c r="P33" s="148">
        <f t="shared" si="10"/>
        <v>0</v>
      </c>
      <c r="Q33" s="148">
        <f t="shared" si="10"/>
        <v>0</v>
      </c>
      <c r="R33" s="148">
        <f t="shared" si="10"/>
        <v>0</v>
      </c>
      <c r="S33" s="148">
        <f t="shared" si="10"/>
        <v>0</v>
      </c>
      <c r="T33" s="148">
        <f t="shared" si="10"/>
        <v>0</v>
      </c>
      <c r="U33" s="148">
        <f t="shared" si="10"/>
        <v>0</v>
      </c>
      <c r="V33" s="148">
        <f t="shared" si="10"/>
        <v>0</v>
      </c>
      <c r="W33" s="148">
        <f t="shared" si="10"/>
        <v>0</v>
      </c>
      <c r="X33" s="148">
        <f t="shared" si="10"/>
        <v>0</v>
      </c>
      <c r="Y33" s="148">
        <f t="shared" si="10"/>
        <v>2664</v>
      </c>
      <c r="Z33" s="148">
        <f t="shared" si="10"/>
        <v>2664</v>
      </c>
      <c r="AA33" s="148">
        <f t="shared" si="10"/>
        <v>0</v>
      </c>
      <c r="AB33" s="148">
        <f t="shared" si="10"/>
        <v>0</v>
      </c>
      <c r="AC33" s="148">
        <f t="shared" si="10"/>
        <v>0</v>
      </c>
      <c r="AD33" s="148">
        <f t="shared" si="10"/>
        <v>6448</v>
      </c>
    </row>
    <row r="34" spans="1:31" ht="20.25">
      <c r="A34" s="41" t="s">
        <v>229</v>
      </c>
      <c r="B34" s="605" t="s">
        <v>277</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7"/>
    </row>
    <row r="35" spans="1:31" ht="117" customHeight="1">
      <c r="A35" s="155" t="s">
        <v>24</v>
      </c>
      <c r="B35" s="185" t="s">
        <v>288</v>
      </c>
      <c r="C35" s="205" t="s">
        <v>94</v>
      </c>
      <c r="D35" s="41" t="s">
        <v>93</v>
      </c>
      <c r="E35" s="142">
        <f>F35+G35+H35+I35</f>
        <v>2949</v>
      </c>
      <c r="F35" s="142">
        <v>2949</v>
      </c>
      <c r="G35" s="142">
        <v>0</v>
      </c>
      <c r="H35" s="142">
        <v>0</v>
      </c>
      <c r="I35" s="142">
        <v>0</v>
      </c>
      <c r="J35" s="142">
        <f>1775+0+0+0+0</f>
        <v>1775</v>
      </c>
      <c r="K35" s="142">
        <v>1775</v>
      </c>
      <c r="L35" s="142">
        <v>0</v>
      </c>
      <c r="M35" s="142">
        <v>0</v>
      </c>
      <c r="N35" s="142">
        <v>0</v>
      </c>
      <c r="O35" s="142">
        <f xml:space="preserve"> SUM(P35:S35)</f>
        <v>0</v>
      </c>
      <c r="P35" s="142">
        <v>0</v>
      </c>
      <c r="Q35" s="142">
        <f>SUM(Q36,Q37,Q38,Q39)</f>
        <v>0</v>
      </c>
      <c r="R35" s="142">
        <f>SUM(R36,R37,R38,R39)</f>
        <v>0</v>
      </c>
      <c r="S35" s="142">
        <f>SUM(S36,S37,S38,S39)</f>
        <v>0</v>
      </c>
      <c r="T35" s="142">
        <f xml:space="preserve"> SUM(U35:X35)</f>
        <v>0</v>
      </c>
      <c r="U35" s="142">
        <v>0</v>
      </c>
      <c r="V35" s="142">
        <f>SUM(V36,V37,V38,V39)</f>
        <v>0</v>
      </c>
      <c r="W35" s="142">
        <f>SUM(W36,W37,W38,W39)</f>
        <v>0</v>
      </c>
      <c r="X35" s="142">
        <f>SUM(X36,X37,X38,X39)</f>
        <v>0</v>
      </c>
      <c r="Y35" s="142">
        <f xml:space="preserve"> SUM(Z35:AC35)</f>
        <v>3306</v>
      </c>
      <c r="Z35" s="142">
        <v>3306</v>
      </c>
      <c r="AA35" s="142">
        <f>SUM(AA36,AA37,AA38,AA39)</f>
        <v>0</v>
      </c>
      <c r="AB35" s="142">
        <f>SUM(AB36,AB37,AB38,AB39)</f>
        <v>0</v>
      </c>
      <c r="AC35" s="142">
        <f>SUM(AC36,AC37,AC38,AC39)</f>
        <v>0</v>
      </c>
      <c r="AD35" s="142">
        <f>E35+J35+O35+T35+Y35</f>
        <v>8030</v>
      </c>
    </row>
    <row r="36" spans="1:31" ht="275.25" customHeight="1">
      <c r="A36" s="155" t="s">
        <v>151</v>
      </c>
      <c r="B36" s="175" t="s">
        <v>76</v>
      </c>
      <c r="C36" s="205" t="s">
        <v>94</v>
      </c>
      <c r="D36" s="41" t="s">
        <v>93</v>
      </c>
      <c r="E36" s="142">
        <f t="shared" ref="E36:E46" si="11">F36+G36+H36+I36</f>
        <v>9</v>
      </c>
      <c r="F36" s="142">
        <v>9</v>
      </c>
      <c r="G36" s="142">
        <v>0</v>
      </c>
      <c r="H36" s="142">
        <v>0</v>
      </c>
      <c r="I36" s="142">
        <v>0</v>
      </c>
      <c r="J36" s="142">
        <f t="shared" ref="J36:J46" si="12">K36+L36+M36+N36</f>
        <v>9</v>
      </c>
      <c r="K36" s="142">
        <v>9</v>
      </c>
      <c r="L36" s="142">
        <v>0</v>
      </c>
      <c r="M36" s="142">
        <v>0</v>
      </c>
      <c r="N36" s="142">
        <v>0</v>
      </c>
      <c r="O36" s="142">
        <f t="shared" ref="O36:O46" si="13">P36+Q36+R36+S36</f>
        <v>0</v>
      </c>
      <c r="P36" s="142">
        <v>0</v>
      </c>
      <c r="Q36" s="142">
        <v>0</v>
      </c>
      <c r="R36" s="142">
        <v>0</v>
      </c>
      <c r="S36" s="142">
        <v>0</v>
      </c>
      <c r="T36" s="142">
        <f t="shared" ref="T36:T46" si="14">U36+V36+W36+X36</f>
        <v>0</v>
      </c>
      <c r="U36" s="142">
        <v>0</v>
      </c>
      <c r="V36" s="142">
        <v>0</v>
      </c>
      <c r="W36" s="142">
        <v>0</v>
      </c>
      <c r="X36" s="142">
        <v>0</v>
      </c>
      <c r="Y36" s="142">
        <f t="shared" ref="Y36:Y46" si="15">Z36+AA36+AB36+AC36</f>
        <v>9</v>
      </c>
      <c r="Z36" s="142">
        <v>9</v>
      </c>
      <c r="AA36" s="142">
        <v>0</v>
      </c>
      <c r="AB36" s="142">
        <v>0</v>
      </c>
      <c r="AC36" s="142">
        <v>0</v>
      </c>
      <c r="AD36" s="142">
        <f t="shared" ref="AD36:AD48" si="16">E36+J36+O36+T36+Y36</f>
        <v>27</v>
      </c>
    </row>
    <row r="37" spans="1:31" ht="75">
      <c r="A37" s="155" t="s">
        <v>235</v>
      </c>
      <c r="B37" s="175" t="s">
        <v>71</v>
      </c>
      <c r="C37" s="41" t="s">
        <v>94</v>
      </c>
      <c r="D37" s="41" t="s">
        <v>168</v>
      </c>
      <c r="E37" s="142">
        <f t="shared" si="11"/>
        <v>426</v>
      </c>
      <c r="F37" s="142">
        <v>426</v>
      </c>
      <c r="G37" s="142">
        <v>0</v>
      </c>
      <c r="H37" s="142">
        <v>0</v>
      </c>
      <c r="I37" s="142">
        <v>0</v>
      </c>
      <c r="J37" s="142">
        <f t="shared" si="12"/>
        <v>0</v>
      </c>
      <c r="K37" s="142">
        <v>0</v>
      </c>
      <c r="L37" s="142">
        <v>0</v>
      </c>
      <c r="M37" s="142">
        <v>0</v>
      </c>
      <c r="N37" s="142">
        <v>0</v>
      </c>
      <c r="O37" s="142">
        <f t="shared" si="13"/>
        <v>0</v>
      </c>
      <c r="P37" s="142">
        <v>0</v>
      </c>
      <c r="Q37" s="142">
        <v>0</v>
      </c>
      <c r="R37" s="142">
        <v>0</v>
      </c>
      <c r="S37" s="142">
        <v>0</v>
      </c>
      <c r="T37" s="142">
        <f t="shared" si="14"/>
        <v>0</v>
      </c>
      <c r="U37" s="142">
        <v>0</v>
      </c>
      <c r="V37" s="142">
        <v>0</v>
      </c>
      <c r="W37" s="142">
        <v>0</v>
      </c>
      <c r="X37" s="142">
        <v>0</v>
      </c>
      <c r="Y37" s="142">
        <f t="shared" si="15"/>
        <v>0</v>
      </c>
      <c r="Z37" s="142">
        <v>0</v>
      </c>
      <c r="AA37" s="142">
        <v>0</v>
      </c>
      <c r="AB37" s="142">
        <v>0</v>
      </c>
      <c r="AC37" s="142">
        <v>0</v>
      </c>
      <c r="AD37" s="142">
        <f>E37+J37+O37+T37+Y37</f>
        <v>426</v>
      </c>
    </row>
    <row r="38" spans="1:31" ht="46.5">
      <c r="A38" s="155" t="s">
        <v>236</v>
      </c>
      <c r="B38" s="175" t="s">
        <v>110</v>
      </c>
      <c r="C38" s="608" t="s">
        <v>105</v>
      </c>
      <c r="D38" s="41" t="s">
        <v>93</v>
      </c>
      <c r="E38" s="142">
        <f t="shared" si="11"/>
        <v>3304</v>
      </c>
      <c r="F38" s="142">
        <v>3304</v>
      </c>
      <c r="G38" s="142">
        <v>0</v>
      </c>
      <c r="H38" s="142">
        <v>0</v>
      </c>
      <c r="I38" s="142">
        <v>0</v>
      </c>
      <c r="J38" s="142">
        <f t="shared" si="12"/>
        <v>3304</v>
      </c>
      <c r="K38" s="142">
        <v>3304</v>
      </c>
      <c r="L38" s="142">
        <v>0</v>
      </c>
      <c r="M38" s="142">
        <v>0</v>
      </c>
      <c r="N38" s="142">
        <v>0</v>
      </c>
      <c r="O38" s="142">
        <f t="shared" si="13"/>
        <v>0</v>
      </c>
      <c r="P38" s="142">
        <v>0</v>
      </c>
      <c r="Q38" s="142">
        <v>0</v>
      </c>
      <c r="R38" s="142">
        <v>0</v>
      </c>
      <c r="S38" s="142">
        <v>0</v>
      </c>
      <c r="T38" s="142">
        <f t="shared" si="14"/>
        <v>0</v>
      </c>
      <c r="U38" s="142">
        <v>0</v>
      </c>
      <c r="V38" s="142">
        <v>0</v>
      </c>
      <c r="W38" s="142">
        <v>0</v>
      </c>
      <c r="X38" s="142">
        <v>0</v>
      </c>
      <c r="Y38" s="142">
        <f t="shared" si="15"/>
        <v>3304</v>
      </c>
      <c r="Z38" s="142">
        <v>3304</v>
      </c>
      <c r="AA38" s="142">
        <v>0</v>
      </c>
      <c r="AB38" s="142">
        <v>0</v>
      </c>
      <c r="AC38" s="142">
        <v>0</v>
      </c>
      <c r="AD38" s="142">
        <f>E38+J38+O38+T38+Y38</f>
        <v>9912</v>
      </c>
    </row>
    <row r="39" spans="1:31" ht="128.25" customHeight="1">
      <c r="A39" s="155" t="s">
        <v>237</v>
      </c>
      <c r="B39" s="175" t="s">
        <v>191</v>
      </c>
      <c r="C39" s="609"/>
      <c r="D39" s="41" t="s">
        <v>283</v>
      </c>
      <c r="E39" s="142">
        <f t="shared" si="11"/>
        <v>378</v>
      </c>
      <c r="F39" s="142">
        <v>378</v>
      </c>
      <c r="G39" s="142">
        <v>0</v>
      </c>
      <c r="H39" s="142">
        <v>0</v>
      </c>
      <c r="I39" s="142">
        <v>0</v>
      </c>
      <c r="J39" s="142">
        <f t="shared" si="12"/>
        <v>324</v>
      </c>
      <c r="K39" s="142">
        <v>324</v>
      </c>
      <c r="L39" s="142">
        <v>0</v>
      </c>
      <c r="M39" s="142">
        <v>0</v>
      </c>
      <c r="N39" s="142">
        <v>0</v>
      </c>
      <c r="O39" s="142">
        <f t="shared" si="13"/>
        <v>0</v>
      </c>
      <c r="P39" s="142">
        <v>0</v>
      </c>
      <c r="Q39" s="142">
        <v>0</v>
      </c>
      <c r="R39" s="142">
        <v>0</v>
      </c>
      <c r="S39" s="142">
        <v>0</v>
      </c>
      <c r="T39" s="142">
        <f t="shared" si="14"/>
        <v>0</v>
      </c>
      <c r="U39" s="142">
        <v>0</v>
      </c>
      <c r="V39" s="142">
        <v>0</v>
      </c>
      <c r="W39" s="142">
        <v>0</v>
      </c>
      <c r="X39" s="142">
        <v>0</v>
      </c>
      <c r="Y39" s="142">
        <f t="shared" si="15"/>
        <v>378</v>
      </c>
      <c r="Z39" s="142">
        <v>378</v>
      </c>
      <c r="AA39" s="142">
        <v>0</v>
      </c>
      <c r="AB39" s="142">
        <v>0</v>
      </c>
      <c r="AC39" s="142">
        <v>0</v>
      </c>
      <c r="AD39" s="142">
        <f>E39+J39+O39+T39+Y39</f>
        <v>1080</v>
      </c>
    </row>
    <row r="40" spans="1:31" ht="165.75" customHeight="1">
      <c r="A40" s="155" t="s">
        <v>238</v>
      </c>
      <c r="B40" s="175" t="s">
        <v>77</v>
      </c>
      <c r="C40" s="205" t="s">
        <v>94</v>
      </c>
      <c r="D40" s="41" t="s">
        <v>93</v>
      </c>
      <c r="E40" s="142">
        <f t="shared" si="11"/>
        <v>12</v>
      </c>
      <c r="F40" s="142">
        <v>12</v>
      </c>
      <c r="G40" s="142">
        <v>0</v>
      </c>
      <c r="H40" s="142">
        <v>0</v>
      </c>
      <c r="I40" s="142">
        <v>0</v>
      </c>
      <c r="J40" s="142">
        <f t="shared" si="12"/>
        <v>12</v>
      </c>
      <c r="K40" s="142">
        <v>12</v>
      </c>
      <c r="L40" s="142">
        <v>0</v>
      </c>
      <c r="M40" s="142">
        <v>0</v>
      </c>
      <c r="N40" s="142">
        <v>0</v>
      </c>
      <c r="O40" s="142">
        <f t="shared" si="13"/>
        <v>0</v>
      </c>
      <c r="P40" s="142">
        <v>0</v>
      </c>
      <c r="Q40" s="142">
        <v>0</v>
      </c>
      <c r="R40" s="142">
        <v>0</v>
      </c>
      <c r="S40" s="142">
        <v>0</v>
      </c>
      <c r="T40" s="142">
        <f t="shared" si="14"/>
        <v>0</v>
      </c>
      <c r="U40" s="142">
        <v>0</v>
      </c>
      <c r="V40" s="142">
        <v>0</v>
      </c>
      <c r="W40" s="142">
        <v>0</v>
      </c>
      <c r="X40" s="142">
        <v>0</v>
      </c>
      <c r="Y40" s="142">
        <f t="shared" si="15"/>
        <v>12</v>
      </c>
      <c r="Z40" s="142">
        <v>12</v>
      </c>
      <c r="AA40" s="142">
        <v>0</v>
      </c>
      <c r="AB40" s="142">
        <v>0</v>
      </c>
      <c r="AC40" s="142">
        <v>0</v>
      </c>
      <c r="AD40" s="142">
        <f t="shared" si="16"/>
        <v>36</v>
      </c>
    </row>
    <row r="41" spans="1:31" ht="176.25" customHeight="1">
      <c r="A41" s="155" t="s">
        <v>239</v>
      </c>
      <c r="B41" s="175" t="s">
        <v>265</v>
      </c>
      <c r="C41" s="610" t="s">
        <v>105</v>
      </c>
      <c r="D41" s="41" t="s">
        <v>168</v>
      </c>
      <c r="E41" s="142">
        <f t="shared" si="11"/>
        <v>50</v>
      </c>
      <c r="F41" s="142">
        <v>50</v>
      </c>
      <c r="G41" s="142">
        <v>0</v>
      </c>
      <c r="H41" s="142">
        <v>0</v>
      </c>
      <c r="I41" s="142">
        <v>0</v>
      </c>
      <c r="J41" s="142">
        <f t="shared" si="12"/>
        <v>0</v>
      </c>
      <c r="K41" s="142">
        <v>0</v>
      </c>
      <c r="L41" s="142">
        <v>0</v>
      </c>
      <c r="M41" s="142">
        <v>0</v>
      </c>
      <c r="N41" s="142">
        <v>0</v>
      </c>
      <c r="O41" s="142">
        <f t="shared" si="13"/>
        <v>0</v>
      </c>
      <c r="P41" s="142">
        <v>0</v>
      </c>
      <c r="Q41" s="142">
        <v>0</v>
      </c>
      <c r="R41" s="142">
        <v>0</v>
      </c>
      <c r="S41" s="142">
        <v>0</v>
      </c>
      <c r="T41" s="142">
        <f t="shared" si="14"/>
        <v>0</v>
      </c>
      <c r="U41" s="142">
        <v>0</v>
      </c>
      <c r="V41" s="142">
        <v>0</v>
      </c>
      <c r="W41" s="142">
        <v>0</v>
      </c>
      <c r="X41" s="142">
        <v>0</v>
      </c>
      <c r="Y41" s="142">
        <f t="shared" si="15"/>
        <v>0</v>
      </c>
      <c r="Z41" s="142">
        <v>0</v>
      </c>
      <c r="AA41" s="142">
        <v>0</v>
      </c>
      <c r="AB41" s="142">
        <v>0</v>
      </c>
      <c r="AC41" s="142">
        <v>0</v>
      </c>
      <c r="AD41" s="142">
        <f t="shared" si="16"/>
        <v>50</v>
      </c>
    </row>
    <row r="42" spans="1:31" ht="141" customHeight="1">
      <c r="A42" s="155" t="s">
        <v>240</v>
      </c>
      <c r="B42" s="175" t="s">
        <v>111</v>
      </c>
      <c r="C42" s="611"/>
      <c r="D42" s="41" t="s">
        <v>168</v>
      </c>
      <c r="E42" s="142">
        <f t="shared" si="11"/>
        <v>50</v>
      </c>
      <c r="F42" s="142">
        <v>50</v>
      </c>
      <c r="G42" s="142">
        <v>0</v>
      </c>
      <c r="H42" s="142">
        <v>0</v>
      </c>
      <c r="I42" s="142">
        <v>0</v>
      </c>
      <c r="J42" s="142">
        <f t="shared" si="12"/>
        <v>0</v>
      </c>
      <c r="K42" s="142">
        <v>0</v>
      </c>
      <c r="L42" s="142">
        <v>0</v>
      </c>
      <c r="M42" s="142">
        <v>0</v>
      </c>
      <c r="N42" s="142">
        <v>0</v>
      </c>
      <c r="O42" s="142">
        <f t="shared" si="13"/>
        <v>0</v>
      </c>
      <c r="P42" s="142">
        <v>0</v>
      </c>
      <c r="Q42" s="142">
        <v>0</v>
      </c>
      <c r="R42" s="142">
        <v>0</v>
      </c>
      <c r="S42" s="142">
        <v>0</v>
      </c>
      <c r="T42" s="142">
        <f t="shared" si="14"/>
        <v>0</v>
      </c>
      <c r="U42" s="142">
        <v>0</v>
      </c>
      <c r="V42" s="142">
        <v>0</v>
      </c>
      <c r="W42" s="142">
        <v>0</v>
      </c>
      <c r="X42" s="142">
        <v>0</v>
      </c>
      <c r="Y42" s="142">
        <f t="shared" si="15"/>
        <v>0</v>
      </c>
      <c r="Z42" s="142">
        <v>0</v>
      </c>
      <c r="AA42" s="142">
        <v>0</v>
      </c>
      <c r="AB42" s="142">
        <v>0</v>
      </c>
      <c r="AC42" s="142">
        <v>0</v>
      </c>
      <c r="AD42" s="142">
        <f t="shared" si="16"/>
        <v>50</v>
      </c>
    </row>
    <row r="43" spans="1:31" ht="184.5" customHeight="1">
      <c r="A43" s="155" t="s">
        <v>241</v>
      </c>
      <c r="B43" s="175" t="s">
        <v>112</v>
      </c>
      <c r="C43" s="611"/>
      <c r="D43" s="41" t="s">
        <v>93</v>
      </c>
      <c r="E43" s="142">
        <f t="shared" si="11"/>
        <v>810</v>
      </c>
      <c r="F43" s="142">
        <f>480+330</f>
        <v>810</v>
      </c>
      <c r="G43" s="142">
        <v>0</v>
      </c>
      <c r="H43" s="142">
        <v>0</v>
      </c>
      <c r="I43" s="142">
        <v>0</v>
      </c>
      <c r="J43" s="142">
        <f t="shared" si="12"/>
        <v>720</v>
      </c>
      <c r="K43" s="142">
        <v>720</v>
      </c>
      <c r="L43" s="142">
        <v>0</v>
      </c>
      <c r="M43" s="142">
        <v>0</v>
      </c>
      <c r="N43" s="142">
        <v>0</v>
      </c>
      <c r="O43" s="142">
        <f t="shared" si="13"/>
        <v>0</v>
      </c>
      <c r="P43" s="142">
        <v>0</v>
      </c>
      <c r="Q43" s="142">
        <v>0</v>
      </c>
      <c r="R43" s="142">
        <v>0</v>
      </c>
      <c r="S43" s="142">
        <v>0</v>
      </c>
      <c r="T43" s="142">
        <f t="shared" si="14"/>
        <v>0</v>
      </c>
      <c r="U43" s="142">
        <v>0</v>
      </c>
      <c r="V43" s="142">
        <v>0</v>
      </c>
      <c r="W43" s="142">
        <v>0</v>
      </c>
      <c r="X43" s="142">
        <v>0</v>
      </c>
      <c r="Y43" s="142">
        <f t="shared" si="15"/>
        <v>480</v>
      </c>
      <c r="Z43" s="142">
        <v>480</v>
      </c>
      <c r="AA43" s="142">
        <v>0</v>
      </c>
      <c r="AB43" s="142">
        <v>0</v>
      </c>
      <c r="AC43" s="142">
        <v>0</v>
      </c>
      <c r="AD43" s="142">
        <f>E43+J43+O43+T43+Y43</f>
        <v>2010</v>
      </c>
    </row>
    <row r="44" spans="1:31" ht="206.25" customHeight="1">
      <c r="A44" s="211" t="s">
        <v>242</v>
      </c>
      <c r="B44" s="175" t="s">
        <v>113</v>
      </c>
      <c r="C44" s="611"/>
      <c r="D44" s="41" t="s">
        <v>168</v>
      </c>
      <c r="E44" s="142">
        <f t="shared" si="11"/>
        <v>30</v>
      </c>
      <c r="F44" s="142">
        <v>30</v>
      </c>
      <c r="G44" s="142">
        <v>0</v>
      </c>
      <c r="H44" s="142">
        <v>0</v>
      </c>
      <c r="I44" s="142">
        <v>0</v>
      </c>
      <c r="J44" s="142">
        <f t="shared" si="12"/>
        <v>0</v>
      </c>
      <c r="K44" s="142">
        <v>0</v>
      </c>
      <c r="L44" s="142">
        <v>0</v>
      </c>
      <c r="M44" s="142">
        <v>0</v>
      </c>
      <c r="N44" s="142">
        <v>0</v>
      </c>
      <c r="O44" s="142">
        <f t="shared" si="13"/>
        <v>0</v>
      </c>
      <c r="P44" s="142">
        <v>0</v>
      </c>
      <c r="Q44" s="142">
        <v>0</v>
      </c>
      <c r="R44" s="142">
        <v>0</v>
      </c>
      <c r="S44" s="142">
        <v>0</v>
      </c>
      <c r="T44" s="142">
        <f t="shared" si="14"/>
        <v>0</v>
      </c>
      <c r="U44" s="142">
        <v>0</v>
      </c>
      <c r="V44" s="142">
        <v>0</v>
      </c>
      <c r="W44" s="142">
        <v>0</v>
      </c>
      <c r="X44" s="142">
        <v>0</v>
      </c>
      <c r="Y44" s="142">
        <f t="shared" si="15"/>
        <v>0</v>
      </c>
      <c r="Z44" s="142">
        <v>0</v>
      </c>
      <c r="AA44" s="142">
        <v>0</v>
      </c>
      <c r="AB44" s="142">
        <v>0</v>
      </c>
      <c r="AC44" s="142">
        <v>0</v>
      </c>
      <c r="AD44" s="142">
        <f t="shared" si="16"/>
        <v>30</v>
      </c>
    </row>
    <row r="45" spans="1:31" ht="147" customHeight="1">
      <c r="A45" s="155" t="s">
        <v>243</v>
      </c>
      <c r="B45" s="175" t="s">
        <v>114</v>
      </c>
      <c r="C45" s="612"/>
      <c r="D45" s="41" t="s">
        <v>168</v>
      </c>
      <c r="E45" s="142">
        <f t="shared" si="11"/>
        <v>50</v>
      </c>
      <c r="F45" s="142">
        <v>50</v>
      </c>
      <c r="G45" s="142">
        <v>0</v>
      </c>
      <c r="H45" s="142">
        <v>0</v>
      </c>
      <c r="I45" s="142">
        <v>0</v>
      </c>
      <c r="J45" s="142">
        <f t="shared" si="12"/>
        <v>0</v>
      </c>
      <c r="K45" s="142">
        <v>0</v>
      </c>
      <c r="L45" s="142">
        <v>0</v>
      </c>
      <c r="M45" s="142">
        <v>0</v>
      </c>
      <c r="N45" s="142">
        <v>0</v>
      </c>
      <c r="O45" s="142">
        <f t="shared" si="13"/>
        <v>0</v>
      </c>
      <c r="P45" s="142">
        <v>0</v>
      </c>
      <c r="Q45" s="142">
        <v>0</v>
      </c>
      <c r="R45" s="142">
        <v>0</v>
      </c>
      <c r="S45" s="142">
        <v>0</v>
      </c>
      <c r="T45" s="142">
        <f t="shared" si="14"/>
        <v>0</v>
      </c>
      <c r="U45" s="142">
        <v>0</v>
      </c>
      <c r="V45" s="142">
        <v>0</v>
      </c>
      <c r="W45" s="142">
        <v>0</v>
      </c>
      <c r="X45" s="142">
        <v>0</v>
      </c>
      <c r="Y45" s="142">
        <f t="shared" si="15"/>
        <v>0</v>
      </c>
      <c r="Z45" s="142">
        <v>0</v>
      </c>
      <c r="AA45" s="142">
        <v>0</v>
      </c>
      <c r="AB45" s="142">
        <v>0</v>
      </c>
      <c r="AC45" s="142">
        <v>0</v>
      </c>
      <c r="AD45" s="142">
        <f t="shared" si="16"/>
        <v>50</v>
      </c>
    </row>
    <row r="46" spans="1:31" ht="126" customHeight="1">
      <c r="A46" s="155" t="s">
        <v>244</v>
      </c>
      <c r="B46" s="175" t="s">
        <v>78</v>
      </c>
      <c r="C46" s="41" t="s">
        <v>18</v>
      </c>
      <c r="D46" s="41" t="s">
        <v>93</v>
      </c>
      <c r="E46" s="142">
        <f t="shared" si="11"/>
        <v>96</v>
      </c>
      <c r="F46" s="142">
        <f>96</f>
        <v>96</v>
      </c>
      <c r="G46" s="142">
        <v>0</v>
      </c>
      <c r="H46" s="142">
        <v>0</v>
      </c>
      <c r="I46" s="142">
        <v>0</v>
      </c>
      <c r="J46" s="142">
        <f t="shared" si="12"/>
        <v>68</v>
      </c>
      <c r="K46" s="142">
        <v>68</v>
      </c>
      <c r="L46" s="142">
        <v>0</v>
      </c>
      <c r="M46" s="142">
        <v>0</v>
      </c>
      <c r="N46" s="142">
        <v>0</v>
      </c>
      <c r="O46" s="142">
        <f t="shared" si="13"/>
        <v>0</v>
      </c>
      <c r="P46" s="142">
        <v>0</v>
      </c>
      <c r="Q46" s="142">
        <v>0</v>
      </c>
      <c r="R46" s="142">
        <v>0</v>
      </c>
      <c r="S46" s="142">
        <v>0</v>
      </c>
      <c r="T46" s="142">
        <f t="shared" si="14"/>
        <v>0</v>
      </c>
      <c r="U46" s="142">
        <v>0</v>
      </c>
      <c r="V46" s="142">
        <v>0</v>
      </c>
      <c r="W46" s="142">
        <v>0</v>
      </c>
      <c r="X46" s="142">
        <v>0</v>
      </c>
      <c r="Y46" s="142">
        <f t="shared" si="15"/>
        <v>96</v>
      </c>
      <c r="Z46" s="142">
        <v>96</v>
      </c>
      <c r="AA46" s="142">
        <v>0</v>
      </c>
      <c r="AB46" s="142">
        <v>0</v>
      </c>
      <c r="AC46" s="142">
        <v>0</v>
      </c>
      <c r="AD46" s="142">
        <f t="shared" si="16"/>
        <v>260</v>
      </c>
    </row>
    <row r="47" spans="1:31" ht="204" customHeight="1">
      <c r="A47" s="155" t="s">
        <v>245</v>
      </c>
      <c r="B47" s="175" t="s">
        <v>145</v>
      </c>
      <c r="C47" s="41" t="s">
        <v>94</v>
      </c>
      <c r="D47" s="41" t="s">
        <v>93</v>
      </c>
      <c r="E47" s="142">
        <f>F47+G47+H47+I47</f>
        <v>28325</v>
      </c>
      <c r="F47" s="142">
        <f>6567-902</f>
        <v>5665</v>
      </c>
      <c r="G47" s="142">
        <f>26268-3608</f>
        <v>22660</v>
      </c>
      <c r="H47" s="142">
        <v>0</v>
      </c>
      <c r="I47" s="142">
        <v>0</v>
      </c>
      <c r="J47" s="142">
        <f>K47+L47+M47+N47</f>
        <v>550</v>
      </c>
      <c r="K47" s="142">
        <v>550</v>
      </c>
      <c r="L47" s="142">
        <v>0</v>
      </c>
      <c r="M47" s="142">
        <v>0</v>
      </c>
      <c r="N47" s="142">
        <v>0</v>
      </c>
      <c r="O47" s="142">
        <f>P47+Q47+R47+S47</f>
        <v>0</v>
      </c>
      <c r="P47" s="142">
        <v>0</v>
      </c>
      <c r="Q47" s="142">
        <v>0</v>
      </c>
      <c r="R47" s="142">
        <v>0</v>
      </c>
      <c r="S47" s="142">
        <v>0</v>
      </c>
      <c r="T47" s="142">
        <f>U47+V47+W47+X47</f>
        <v>0</v>
      </c>
      <c r="U47" s="142">
        <v>0</v>
      </c>
      <c r="V47" s="142">
        <v>0</v>
      </c>
      <c r="W47" s="142">
        <v>0</v>
      </c>
      <c r="X47" s="142">
        <v>0</v>
      </c>
      <c r="Y47" s="142">
        <v>2321</v>
      </c>
      <c r="Z47" s="142">
        <v>2321</v>
      </c>
      <c r="AA47" s="142">
        <v>0</v>
      </c>
      <c r="AB47" s="142">
        <v>0</v>
      </c>
      <c r="AC47" s="142">
        <v>0</v>
      </c>
      <c r="AD47" s="142">
        <f>E47+J47+O47+T47+Y47</f>
        <v>31196</v>
      </c>
      <c r="AE47" s="212"/>
    </row>
    <row r="48" spans="1:31" ht="89.25" customHeight="1">
      <c r="A48" s="213" t="s">
        <v>246</v>
      </c>
      <c r="B48" s="187" t="s">
        <v>87</v>
      </c>
      <c r="C48" s="233" t="s">
        <v>52</v>
      </c>
      <c r="D48" s="41" t="s">
        <v>93</v>
      </c>
      <c r="E48" s="142">
        <f>F48+G48+H48+I48</f>
        <v>384.8</v>
      </c>
      <c r="F48" s="142">
        <f>387-2.2</f>
        <v>384.8</v>
      </c>
      <c r="G48" s="142">
        <v>0</v>
      </c>
      <c r="H48" s="142">
        <v>0</v>
      </c>
      <c r="I48" s="142">
        <v>0</v>
      </c>
      <c r="J48" s="142">
        <v>387</v>
      </c>
      <c r="K48" s="142">
        <v>387</v>
      </c>
      <c r="L48" s="142">
        <v>0</v>
      </c>
      <c r="M48" s="142">
        <v>0</v>
      </c>
      <c r="N48" s="142">
        <v>0</v>
      </c>
      <c r="O48" s="142">
        <v>387</v>
      </c>
      <c r="P48" s="142">
        <v>387</v>
      </c>
      <c r="Q48" s="142">
        <v>0</v>
      </c>
      <c r="R48" s="142">
        <v>0</v>
      </c>
      <c r="S48" s="142">
        <v>0</v>
      </c>
      <c r="T48" s="142">
        <f>U48+V48+W48+X48</f>
        <v>387</v>
      </c>
      <c r="U48" s="142">
        <v>387</v>
      </c>
      <c r="V48" s="142">
        <v>0</v>
      </c>
      <c r="W48" s="142">
        <v>0</v>
      </c>
      <c r="X48" s="142">
        <v>0</v>
      </c>
      <c r="Y48" s="142">
        <v>386</v>
      </c>
      <c r="Z48" s="142">
        <v>386</v>
      </c>
      <c r="AA48" s="142">
        <v>0</v>
      </c>
      <c r="AB48" s="142">
        <v>0</v>
      </c>
      <c r="AC48" s="142">
        <v>0</v>
      </c>
      <c r="AD48" s="142">
        <f t="shared" si="16"/>
        <v>1931.8</v>
      </c>
    </row>
    <row r="49" spans="1:32" ht="131.25">
      <c r="A49" s="213" t="s">
        <v>247</v>
      </c>
      <c r="B49" s="187" t="s">
        <v>132</v>
      </c>
      <c r="C49" s="233" t="s">
        <v>147</v>
      </c>
      <c r="D49" s="204">
        <v>2020</v>
      </c>
      <c r="E49" s="142">
        <f>F49+G49+H49+I49</f>
        <v>1248</v>
      </c>
      <c r="F49" s="142">
        <f>1248</f>
        <v>1248</v>
      </c>
      <c r="G49" s="142">
        <v>0</v>
      </c>
      <c r="H49" s="142">
        <v>0</v>
      </c>
      <c r="I49" s="142">
        <v>0</v>
      </c>
      <c r="J49" s="142">
        <f>K49+L49+M49+N49</f>
        <v>0</v>
      </c>
      <c r="K49" s="142">
        <v>0</v>
      </c>
      <c r="L49" s="142">
        <v>0</v>
      </c>
      <c r="M49" s="142">
        <v>0</v>
      </c>
      <c r="N49" s="142">
        <v>0</v>
      </c>
      <c r="O49" s="142">
        <f>P49+Q49+R49+S49</f>
        <v>0</v>
      </c>
      <c r="P49" s="142">
        <v>0</v>
      </c>
      <c r="Q49" s="142">
        <v>0</v>
      </c>
      <c r="R49" s="142">
        <v>0</v>
      </c>
      <c r="S49" s="142">
        <v>0</v>
      </c>
      <c r="T49" s="142">
        <f>U49+V49+W49+X49</f>
        <v>0</v>
      </c>
      <c r="U49" s="142">
        <v>0</v>
      </c>
      <c r="V49" s="142">
        <v>0</v>
      </c>
      <c r="W49" s="142">
        <v>0</v>
      </c>
      <c r="X49" s="142">
        <v>0</v>
      </c>
      <c r="Y49" s="142">
        <f>Z49+AA49+AB49+AC49</f>
        <v>0</v>
      </c>
      <c r="Z49" s="142">
        <v>0</v>
      </c>
      <c r="AA49" s="142">
        <v>0</v>
      </c>
      <c r="AB49" s="142">
        <v>0</v>
      </c>
      <c r="AC49" s="142">
        <v>0</v>
      </c>
      <c r="AD49" s="142">
        <f>E49+J49+O49+T49+Y49</f>
        <v>1248</v>
      </c>
    </row>
    <row r="50" spans="1:32" ht="23.25">
      <c r="A50" s="575" t="s">
        <v>25</v>
      </c>
      <c r="B50" s="575"/>
      <c r="C50" s="575"/>
      <c r="D50" s="226"/>
      <c r="E50" s="148">
        <f t="shared" ref="E50:K50" si="17">E51+E52</f>
        <v>38121.800000000003</v>
      </c>
      <c r="F50" s="148">
        <f t="shared" si="17"/>
        <v>15461.8</v>
      </c>
      <c r="G50" s="148">
        <f t="shared" si="17"/>
        <v>22660</v>
      </c>
      <c r="H50" s="148">
        <f t="shared" si="17"/>
        <v>0</v>
      </c>
      <c r="I50" s="148">
        <f t="shared" si="17"/>
        <v>0</v>
      </c>
      <c r="J50" s="148">
        <f>J52+J51</f>
        <v>7149</v>
      </c>
      <c r="K50" s="148">
        <f t="shared" si="17"/>
        <v>7149</v>
      </c>
      <c r="L50" s="148">
        <f>SUM(L35,L36:L48)</f>
        <v>0</v>
      </c>
      <c r="M50" s="148">
        <f>SUM(M35,M36:M48)</f>
        <v>0</v>
      </c>
      <c r="N50" s="148">
        <f>SUM(N35,N36:N48)</f>
        <v>0</v>
      </c>
      <c r="O50" s="148">
        <f>O51+O52</f>
        <v>387</v>
      </c>
      <c r="P50" s="148">
        <f>P51+P52</f>
        <v>387</v>
      </c>
      <c r="Q50" s="148">
        <f>SUM(Q35,Q36:Q48)</f>
        <v>0</v>
      </c>
      <c r="R50" s="148">
        <f>SUM(R35,R36:R48)</f>
        <v>0</v>
      </c>
      <c r="S50" s="148">
        <f>SUM(S35,S36:S48)</f>
        <v>0</v>
      </c>
      <c r="T50" s="148">
        <f>T51+T52</f>
        <v>387</v>
      </c>
      <c r="U50" s="148">
        <f>U51+U52</f>
        <v>387</v>
      </c>
      <c r="V50" s="148">
        <f>SUM(V35,V36:V48)</f>
        <v>0</v>
      </c>
      <c r="W50" s="148">
        <f>SUM(W35,W36:W48)</f>
        <v>0</v>
      </c>
      <c r="X50" s="148">
        <f>SUM(X35,X36:X48)</f>
        <v>0</v>
      </c>
      <c r="Y50" s="148">
        <f>Y51+Y52</f>
        <v>10292</v>
      </c>
      <c r="Z50" s="148">
        <f>Z51+Z52</f>
        <v>10292</v>
      </c>
      <c r="AA50" s="148">
        <f>SUM(AA35,AA36:AA48)</f>
        <v>0</v>
      </c>
      <c r="AB50" s="148">
        <f>SUM(AB35,AB36:AB48)</f>
        <v>0</v>
      </c>
      <c r="AC50" s="148">
        <f>SUM(AC35,AC36:AC48)</f>
        <v>0</v>
      </c>
      <c r="AD50" s="148">
        <f>E50+J50+O50+T50+Y50</f>
        <v>56336.800000000003</v>
      </c>
    </row>
    <row r="51" spans="1:32" ht="23.25">
      <c r="A51" s="225" t="s">
        <v>73</v>
      </c>
      <c r="B51" s="225"/>
      <c r="C51" s="228"/>
      <c r="D51" s="157"/>
      <c r="E51" s="152">
        <f t="shared" ref="E51:AC51" si="18">E48</f>
        <v>384.8</v>
      </c>
      <c r="F51" s="152">
        <f t="shared" si="18"/>
        <v>384.8</v>
      </c>
      <c r="G51" s="152">
        <f>G47</f>
        <v>22660</v>
      </c>
      <c r="H51" s="152">
        <f t="shared" si="18"/>
        <v>0</v>
      </c>
      <c r="I51" s="152">
        <f t="shared" si="18"/>
        <v>0</v>
      </c>
      <c r="J51" s="152">
        <f t="shared" si="18"/>
        <v>387</v>
      </c>
      <c r="K51" s="152">
        <f t="shared" si="18"/>
        <v>387</v>
      </c>
      <c r="L51" s="152">
        <f t="shared" si="18"/>
        <v>0</v>
      </c>
      <c r="M51" s="152">
        <f t="shared" si="18"/>
        <v>0</v>
      </c>
      <c r="N51" s="152">
        <f t="shared" si="18"/>
        <v>0</v>
      </c>
      <c r="O51" s="152">
        <f t="shared" si="18"/>
        <v>387</v>
      </c>
      <c r="P51" s="152">
        <f t="shared" si="18"/>
        <v>387</v>
      </c>
      <c r="Q51" s="152">
        <f t="shared" si="18"/>
        <v>0</v>
      </c>
      <c r="R51" s="152">
        <f t="shared" si="18"/>
        <v>0</v>
      </c>
      <c r="S51" s="152">
        <f t="shared" si="18"/>
        <v>0</v>
      </c>
      <c r="T51" s="152">
        <f t="shared" si="18"/>
        <v>387</v>
      </c>
      <c r="U51" s="152">
        <f t="shared" si="18"/>
        <v>387</v>
      </c>
      <c r="V51" s="152">
        <f t="shared" si="18"/>
        <v>0</v>
      </c>
      <c r="W51" s="152">
        <f t="shared" si="18"/>
        <v>0</v>
      </c>
      <c r="X51" s="152">
        <f t="shared" si="18"/>
        <v>0</v>
      </c>
      <c r="Y51" s="152">
        <f t="shared" si="18"/>
        <v>386</v>
      </c>
      <c r="Z51" s="152">
        <f t="shared" si="18"/>
        <v>386</v>
      </c>
      <c r="AA51" s="152">
        <f t="shared" si="18"/>
        <v>0</v>
      </c>
      <c r="AB51" s="152">
        <f t="shared" si="18"/>
        <v>0</v>
      </c>
      <c r="AC51" s="152">
        <f t="shared" si="18"/>
        <v>0</v>
      </c>
      <c r="AD51" s="158">
        <f>E51+J51+O51+T51+Y51</f>
        <v>1931.8</v>
      </c>
    </row>
    <row r="52" spans="1:32" ht="23.25">
      <c r="A52" s="225" t="s">
        <v>135</v>
      </c>
      <c r="B52" s="225"/>
      <c r="C52" s="228"/>
      <c r="D52" s="157"/>
      <c r="E52" s="142">
        <f>E35+E36+E37+E38+E39+E40+E41+E42+E43+E44+E45+E46+E47+E49</f>
        <v>37737</v>
      </c>
      <c r="F52" s="142">
        <f>F35+F36+F37+F38+F39+F40+F41+F42+F43+F44+F45+F46+F47+F49</f>
        <v>15077</v>
      </c>
      <c r="G52" s="142">
        <f>G35+G36+G37+G38+G39+G40+G41+G42+G43+G44+G45+G46+G49</f>
        <v>0</v>
      </c>
      <c r="H52" s="142">
        <f>0</f>
        <v>0</v>
      </c>
      <c r="I52" s="142">
        <v>0</v>
      </c>
      <c r="J52" s="142">
        <f>J35+J36+J37+J38+J39+J40+J41+J42+J43+J44+J45+J46+J47+J49</f>
        <v>6762</v>
      </c>
      <c r="K52" s="142">
        <f>K35+K36+K37+K38+K39+K40+K41+K42+K43+K44+K45+K46+K47+K49</f>
        <v>6762</v>
      </c>
      <c r="L52" s="142">
        <v>0</v>
      </c>
      <c r="M52" s="142">
        <v>0</v>
      </c>
      <c r="N52" s="142">
        <v>0</v>
      </c>
      <c r="O52" s="142">
        <f>O35+O36+O37+O38+O39+O40+O42+O41+O43+O44+O45+O46+O47+O49</f>
        <v>0</v>
      </c>
      <c r="P52" s="142">
        <f>P35+P36+P37+P38+P39+P40+P41+P42+P43+P44+P45+P46+P47+P49</f>
        <v>0</v>
      </c>
      <c r="Q52" s="142">
        <v>0</v>
      </c>
      <c r="R52" s="142">
        <v>0</v>
      </c>
      <c r="S52" s="142">
        <v>0</v>
      </c>
      <c r="T52" s="142">
        <f>T35+T36+T37+T38+T39+T40+T41+T42+T43+T44+T45+T46+T47+T49</f>
        <v>0</v>
      </c>
      <c r="U52" s="142">
        <f>U35+U36+U37+U38+U39+U40+U41+U42+U43+U44+U45+U46+U47+U49</f>
        <v>0</v>
      </c>
      <c r="V52" s="142">
        <v>0</v>
      </c>
      <c r="W52" s="142">
        <v>0</v>
      </c>
      <c r="X52" s="142">
        <v>0</v>
      </c>
      <c r="Y52" s="142">
        <f>Y35+Y36+Y37+Y38+Y39+Y40+Y41+Y42+Y43+Y44+Y45+Y46+Y47+Y49</f>
        <v>9906</v>
      </c>
      <c r="Z52" s="142">
        <f>Z35+Z36+Z37+Z38+Z39+Z40+Z41+Z42+Z43+Z44+Z45+Z46+Z47+Z49</f>
        <v>9906</v>
      </c>
      <c r="AA52" s="142">
        <v>0</v>
      </c>
      <c r="AB52" s="142">
        <v>0</v>
      </c>
      <c r="AC52" s="142">
        <v>0</v>
      </c>
      <c r="AD52" s="142">
        <f>E52+J52+O52+T52+Y52</f>
        <v>54405</v>
      </c>
    </row>
    <row r="53" spans="1:32" ht="23.25">
      <c r="A53" s="41" t="s">
        <v>223</v>
      </c>
      <c r="B53" s="572" t="s">
        <v>248</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4"/>
    </row>
    <row r="54" spans="1:32" ht="75">
      <c r="A54" s="155" t="s">
        <v>27</v>
      </c>
      <c r="B54" s="175" t="s">
        <v>120</v>
      </c>
      <c r="C54" s="41" t="s">
        <v>94</v>
      </c>
      <c r="D54" s="41" t="s">
        <v>93</v>
      </c>
      <c r="E54" s="142">
        <f>F54+G54+H54+I54</f>
        <v>700</v>
      </c>
      <c r="F54" s="142">
        <f>700</f>
        <v>700</v>
      </c>
      <c r="G54" s="142">
        <v>0</v>
      </c>
      <c r="H54" s="142">
        <v>0</v>
      </c>
      <c r="I54" s="142">
        <v>0</v>
      </c>
      <c r="J54" s="142">
        <f>K54+L54+M54+N54</f>
        <v>600</v>
      </c>
      <c r="K54" s="142">
        <v>600</v>
      </c>
      <c r="L54" s="142">
        <v>0</v>
      </c>
      <c r="M54" s="142">
        <v>0</v>
      </c>
      <c r="N54" s="142">
        <v>0</v>
      </c>
      <c r="O54" s="142">
        <f>P54+Q54+R54+S54</f>
        <v>0</v>
      </c>
      <c r="P54" s="142">
        <v>0</v>
      </c>
      <c r="Q54" s="142">
        <v>0</v>
      </c>
      <c r="R54" s="142">
        <v>0</v>
      </c>
      <c r="S54" s="142">
        <v>0</v>
      </c>
      <c r="T54" s="142">
        <f>U54+V54+W54+X54</f>
        <v>0</v>
      </c>
      <c r="U54" s="142">
        <v>0</v>
      </c>
      <c r="V54" s="142">
        <v>0</v>
      </c>
      <c r="W54" s="142">
        <v>0</v>
      </c>
      <c r="X54" s="142">
        <v>0</v>
      </c>
      <c r="Y54" s="142">
        <f>Z54+AA54+AB54+AC54</f>
        <v>700</v>
      </c>
      <c r="Z54" s="142">
        <v>700</v>
      </c>
      <c r="AA54" s="142">
        <v>0</v>
      </c>
      <c r="AB54" s="142">
        <v>0</v>
      </c>
      <c r="AC54" s="142">
        <v>0</v>
      </c>
      <c r="AD54" s="142">
        <f>E54+J54+O54+T54+Y54</f>
        <v>2000</v>
      </c>
    </row>
    <row r="55" spans="1:32" ht="23.25">
      <c r="A55" s="575" t="s">
        <v>44</v>
      </c>
      <c r="B55" s="575"/>
      <c r="C55" s="575"/>
      <c r="D55" s="226"/>
      <c r="E55" s="148">
        <f t="shared" ref="E55:AD55" si="19">SUM(E54:E54)</f>
        <v>700</v>
      </c>
      <c r="F55" s="148">
        <f>SUM(F54)</f>
        <v>700</v>
      </c>
      <c r="G55" s="148">
        <f t="shared" si="19"/>
        <v>0</v>
      </c>
      <c r="H55" s="148">
        <f t="shared" si="19"/>
        <v>0</v>
      </c>
      <c r="I55" s="148">
        <f t="shared" si="19"/>
        <v>0</v>
      </c>
      <c r="J55" s="148">
        <f>J54</f>
        <v>600</v>
      </c>
      <c r="K55" s="148">
        <f t="shared" si="19"/>
        <v>600</v>
      </c>
      <c r="L55" s="148">
        <f t="shared" si="19"/>
        <v>0</v>
      </c>
      <c r="M55" s="148">
        <f t="shared" si="19"/>
        <v>0</v>
      </c>
      <c r="N55" s="148">
        <f t="shared" si="19"/>
        <v>0</v>
      </c>
      <c r="O55" s="148">
        <f t="shared" si="19"/>
        <v>0</v>
      </c>
      <c r="P55" s="148">
        <f t="shared" si="19"/>
        <v>0</v>
      </c>
      <c r="Q55" s="148">
        <f t="shared" si="19"/>
        <v>0</v>
      </c>
      <c r="R55" s="148">
        <f t="shared" si="19"/>
        <v>0</v>
      </c>
      <c r="S55" s="148">
        <f t="shared" si="19"/>
        <v>0</v>
      </c>
      <c r="T55" s="148">
        <f t="shared" si="19"/>
        <v>0</v>
      </c>
      <c r="U55" s="148">
        <f t="shared" si="19"/>
        <v>0</v>
      </c>
      <c r="V55" s="148">
        <f t="shared" si="19"/>
        <v>0</v>
      </c>
      <c r="W55" s="148">
        <f t="shared" si="19"/>
        <v>0</v>
      </c>
      <c r="X55" s="148">
        <f t="shared" si="19"/>
        <v>0</v>
      </c>
      <c r="Y55" s="148">
        <f t="shared" si="19"/>
        <v>700</v>
      </c>
      <c r="Z55" s="148">
        <f t="shared" si="19"/>
        <v>700</v>
      </c>
      <c r="AA55" s="148">
        <f t="shared" si="19"/>
        <v>0</v>
      </c>
      <c r="AB55" s="148">
        <f t="shared" si="19"/>
        <v>0</v>
      </c>
      <c r="AC55" s="148">
        <f t="shared" si="19"/>
        <v>0</v>
      </c>
      <c r="AD55" s="148">
        <f t="shared" si="19"/>
        <v>2000</v>
      </c>
    </row>
    <row r="56" spans="1:32" ht="23.25">
      <c r="A56" s="41" t="s">
        <v>249</v>
      </c>
      <c r="B56" s="572" t="s">
        <v>250</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4"/>
    </row>
    <row r="57" spans="1:32" ht="111" customHeight="1">
      <c r="A57" s="626" t="s">
        <v>46</v>
      </c>
      <c r="B57" s="613" t="s">
        <v>109</v>
      </c>
      <c r="C57" s="41" t="s">
        <v>285</v>
      </c>
      <c r="D57" s="224">
        <v>2020</v>
      </c>
      <c r="E57" s="142">
        <f>F57+G57+H57+I57</f>
        <v>1449</v>
      </c>
      <c r="F57" s="142">
        <f>1656-207</f>
        <v>1449</v>
      </c>
      <c r="G57" s="142">
        <v>0</v>
      </c>
      <c r="H57" s="142">
        <v>0</v>
      </c>
      <c r="I57" s="142">
        <v>0</v>
      </c>
      <c r="J57" s="142">
        <f>K57+L57+M57+N57</f>
        <v>0</v>
      </c>
      <c r="K57" s="142">
        <v>0</v>
      </c>
      <c r="L57" s="142">
        <v>0</v>
      </c>
      <c r="M57" s="142">
        <v>0</v>
      </c>
      <c r="N57" s="142">
        <v>0</v>
      </c>
      <c r="O57" s="142">
        <f>P57+Q57+R57+S57</f>
        <v>0</v>
      </c>
      <c r="P57" s="142">
        <v>0</v>
      </c>
      <c r="Q57" s="142">
        <v>0</v>
      </c>
      <c r="R57" s="142">
        <v>0</v>
      </c>
      <c r="S57" s="142">
        <v>0</v>
      </c>
      <c r="T57" s="142">
        <f>U57+V57+W57+X57</f>
        <v>0</v>
      </c>
      <c r="U57" s="142">
        <v>0</v>
      </c>
      <c r="V57" s="142">
        <v>0</v>
      </c>
      <c r="W57" s="142">
        <v>0</v>
      </c>
      <c r="X57" s="142">
        <v>0</v>
      </c>
      <c r="Y57" s="142">
        <f>Z57+AA57+AB57+AC57</f>
        <v>0</v>
      </c>
      <c r="Z57" s="142">
        <v>0</v>
      </c>
      <c r="AA57" s="142">
        <v>0</v>
      </c>
      <c r="AB57" s="142">
        <v>0</v>
      </c>
      <c r="AC57" s="142">
        <v>0</v>
      </c>
      <c r="AD57" s="142">
        <f>E57+I57+O57+T57+0</f>
        <v>1449</v>
      </c>
    </row>
    <row r="58" spans="1:32" ht="76.5" customHeight="1">
      <c r="A58" s="627"/>
      <c r="B58" s="614"/>
      <c r="C58" s="41" t="s">
        <v>286</v>
      </c>
      <c r="D58" s="224" t="s">
        <v>284</v>
      </c>
      <c r="E58" s="142">
        <f>F58+G58+H58+I58</f>
        <v>0</v>
      </c>
      <c r="F58" s="142">
        <v>0</v>
      </c>
      <c r="G58" s="142">
        <v>0</v>
      </c>
      <c r="H58" s="142">
        <v>0</v>
      </c>
      <c r="I58" s="142">
        <v>0</v>
      </c>
      <c r="J58" s="142">
        <f>K58+L58+M58+N58</f>
        <v>1437</v>
      </c>
      <c r="K58" s="142">
        <v>1437</v>
      </c>
      <c r="L58" s="142">
        <v>0</v>
      </c>
      <c r="M58" s="142">
        <v>0</v>
      </c>
      <c r="N58" s="142">
        <v>0</v>
      </c>
      <c r="O58" s="142">
        <f>P58+Q58+R58+S58</f>
        <v>1437</v>
      </c>
      <c r="P58" s="142">
        <v>1437</v>
      </c>
      <c r="Q58" s="142">
        <v>0</v>
      </c>
      <c r="R58" s="142">
        <v>0</v>
      </c>
      <c r="S58" s="142">
        <v>0</v>
      </c>
      <c r="T58" s="142">
        <f>U58+V58+W58+X58</f>
        <v>1437</v>
      </c>
      <c r="U58" s="142">
        <v>1437</v>
      </c>
      <c r="V58" s="142">
        <v>0</v>
      </c>
      <c r="W58" s="142">
        <v>0</v>
      </c>
      <c r="X58" s="142">
        <v>0</v>
      </c>
      <c r="Y58" s="142">
        <f>Z58+AA58+AB58+AC58</f>
        <v>1656</v>
      </c>
      <c r="Z58" s="142">
        <v>1656</v>
      </c>
      <c r="AA58" s="142">
        <v>0</v>
      </c>
      <c r="AB58" s="142">
        <v>0</v>
      </c>
      <c r="AC58" s="142">
        <v>0</v>
      </c>
      <c r="AD58" s="142">
        <f>E58+J58+O58+T58+Y58</f>
        <v>5967</v>
      </c>
    </row>
    <row r="59" spans="1:32" ht="56.25">
      <c r="A59" s="155" t="s">
        <v>251</v>
      </c>
      <c r="B59" s="175" t="s">
        <v>267</v>
      </c>
      <c r="C59" s="41" t="s">
        <v>52</v>
      </c>
      <c r="D59" s="41" t="s">
        <v>93</v>
      </c>
      <c r="E59" s="142">
        <f>F59+G59+H59+I59</f>
        <v>55</v>
      </c>
      <c r="F59" s="142">
        <f>86-31</f>
        <v>55</v>
      </c>
      <c r="G59" s="142">
        <v>0</v>
      </c>
      <c r="H59" s="142">
        <v>0</v>
      </c>
      <c r="I59" s="142">
        <v>0</v>
      </c>
      <c r="J59" s="142">
        <f>K59+L59+M59+N59</f>
        <v>70</v>
      </c>
      <c r="K59" s="142">
        <v>70</v>
      </c>
      <c r="L59" s="142">
        <v>0</v>
      </c>
      <c r="M59" s="142">
        <v>0</v>
      </c>
      <c r="N59" s="142">
        <v>0</v>
      </c>
      <c r="O59" s="142">
        <f>P59+Q59+R59+S59</f>
        <v>70</v>
      </c>
      <c r="P59" s="142">
        <v>70</v>
      </c>
      <c r="Q59" s="142">
        <v>0</v>
      </c>
      <c r="R59" s="142">
        <v>0</v>
      </c>
      <c r="S59" s="142">
        <v>0</v>
      </c>
      <c r="T59" s="142">
        <f>U59+V59+W59+X59</f>
        <v>70</v>
      </c>
      <c r="U59" s="142">
        <v>70</v>
      </c>
      <c r="V59" s="142">
        <v>0</v>
      </c>
      <c r="W59" s="142">
        <v>0</v>
      </c>
      <c r="X59" s="142">
        <v>0</v>
      </c>
      <c r="Y59" s="142">
        <f>Z59+AA59+AB59+AC59</f>
        <v>86</v>
      </c>
      <c r="Z59" s="142">
        <v>86</v>
      </c>
      <c r="AA59" s="142">
        <v>0</v>
      </c>
      <c r="AB59" s="142">
        <v>0</v>
      </c>
      <c r="AC59" s="142">
        <v>0</v>
      </c>
      <c r="AD59" s="142">
        <f>E59+J59+O59+T59+Y59</f>
        <v>351</v>
      </c>
    </row>
    <row r="60" spans="1:32" ht="23.25">
      <c r="A60" s="575" t="s">
        <v>47</v>
      </c>
      <c r="B60" s="575"/>
      <c r="C60" s="575"/>
      <c r="D60" s="226"/>
      <c r="E60" s="148">
        <f>E61+E62</f>
        <v>1504</v>
      </c>
      <c r="F60" s="148">
        <f>F61+F62</f>
        <v>1504</v>
      </c>
      <c r="G60" s="148">
        <f t="shared" ref="G60:AC60" si="20">SUM(G58:G59)</f>
        <v>0</v>
      </c>
      <c r="H60" s="148">
        <f t="shared" si="20"/>
        <v>0</v>
      </c>
      <c r="I60" s="148">
        <f t="shared" si="20"/>
        <v>0</v>
      </c>
      <c r="J60" s="148">
        <f t="shared" si="20"/>
        <v>1507</v>
      </c>
      <c r="K60" s="148">
        <f t="shared" si="20"/>
        <v>1507</v>
      </c>
      <c r="L60" s="148">
        <f t="shared" si="20"/>
        <v>0</v>
      </c>
      <c r="M60" s="148">
        <f t="shared" si="20"/>
        <v>0</v>
      </c>
      <c r="N60" s="148">
        <f t="shared" si="20"/>
        <v>0</v>
      </c>
      <c r="O60" s="148">
        <f t="shared" si="20"/>
        <v>1507</v>
      </c>
      <c r="P60" s="148">
        <f t="shared" si="20"/>
        <v>1507</v>
      </c>
      <c r="Q60" s="148">
        <f t="shared" si="20"/>
        <v>0</v>
      </c>
      <c r="R60" s="148">
        <f t="shared" si="20"/>
        <v>0</v>
      </c>
      <c r="S60" s="148">
        <f t="shared" si="20"/>
        <v>0</v>
      </c>
      <c r="T60" s="148">
        <f t="shared" si="20"/>
        <v>1507</v>
      </c>
      <c r="U60" s="148">
        <f t="shared" si="20"/>
        <v>1507</v>
      </c>
      <c r="V60" s="148">
        <f t="shared" si="20"/>
        <v>0</v>
      </c>
      <c r="W60" s="148">
        <f t="shared" si="20"/>
        <v>0</v>
      </c>
      <c r="X60" s="148">
        <f t="shared" si="20"/>
        <v>0</v>
      </c>
      <c r="Y60" s="148">
        <f t="shared" si="20"/>
        <v>1742</v>
      </c>
      <c r="Z60" s="148">
        <f t="shared" si="20"/>
        <v>1742</v>
      </c>
      <c r="AA60" s="148">
        <f t="shared" si="20"/>
        <v>0</v>
      </c>
      <c r="AB60" s="148">
        <f t="shared" si="20"/>
        <v>0</v>
      </c>
      <c r="AC60" s="148">
        <f t="shared" si="20"/>
        <v>0</v>
      </c>
      <c r="AD60" s="148">
        <f>AD61+AD62</f>
        <v>7767</v>
      </c>
    </row>
    <row r="61" spans="1:32" ht="23.25">
      <c r="A61" s="225" t="s">
        <v>73</v>
      </c>
      <c r="B61" s="225"/>
      <c r="C61" s="228"/>
      <c r="D61" s="157"/>
      <c r="E61" s="152">
        <f>E59</f>
        <v>55</v>
      </c>
      <c r="F61" s="152">
        <f>F59</f>
        <v>55</v>
      </c>
      <c r="G61" s="152">
        <v>0</v>
      </c>
      <c r="H61" s="152">
        <v>0</v>
      </c>
      <c r="I61" s="152">
        <v>0</v>
      </c>
      <c r="J61" s="152">
        <f>K61+L61+M61+N61</f>
        <v>1507</v>
      </c>
      <c r="K61" s="152">
        <f>K58+K59</f>
        <v>1507</v>
      </c>
      <c r="L61" s="152">
        <v>0</v>
      </c>
      <c r="M61" s="152">
        <v>0</v>
      </c>
      <c r="N61" s="152">
        <v>0</v>
      </c>
      <c r="O61" s="152">
        <f>O58+O59</f>
        <v>1507</v>
      </c>
      <c r="P61" s="152">
        <f>P58+P59</f>
        <v>1507</v>
      </c>
      <c r="Q61" s="152">
        <v>0</v>
      </c>
      <c r="R61" s="152">
        <v>0</v>
      </c>
      <c r="S61" s="152">
        <v>0</v>
      </c>
      <c r="T61" s="152">
        <f>T58+T59</f>
        <v>1507</v>
      </c>
      <c r="U61" s="152">
        <f>U58+U59</f>
        <v>1507</v>
      </c>
      <c r="V61" s="152">
        <v>0</v>
      </c>
      <c r="W61" s="152">
        <v>0</v>
      </c>
      <c r="X61" s="152">
        <v>0</v>
      </c>
      <c r="Y61" s="152">
        <f>Y58+Y59</f>
        <v>1742</v>
      </c>
      <c r="Z61" s="152">
        <f>Z58+Z59</f>
        <v>1742</v>
      </c>
      <c r="AA61" s="152">
        <v>0</v>
      </c>
      <c r="AB61" s="152">
        <v>0</v>
      </c>
      <c r="AC61" s="152">
        <v>0</v>
      </c>
      <c r="AD61" s="158">
        <f>AD58+AD59</f>
        <v>6318</v>
      </c>
    </row>
    <row r="62" spans="1:32" ht="23.25">
      <c r="A62" s="225" t="s">
        <v>135</v>
      </c>
      <c r="B62" s="225"/>
      <c r="C62" s="228"/>
      <c r="D62" s="157"/>
      <c r="E62" s="152">
        <f>F62+G62+H62+I62</f>
        <v>1449</v>
      </c>
      <c r="F62" s="152">
        <f>F57</f>
        <v>1449</v>
      </c>
      <c r="G62" s="152">
        <v>0</v>
      </c>
      <c r="H62" s="152">
        <v>0</v>
      </c>
      <c r="I62" s="152">
        <v>0</v>
      </c>
      <c r="J62" s="152">
        <v>0</v>
      </c>
      <c r="K62" s="152">
        <v>0</v>
      </c>
      <c r="L62" s="152">
        <v>0</v>
      </c>
      <c r="M62" s="152">
        <v>0</v>
      </c>
      <c r="N62" s="152">
        <v>0</v>
      </c>
      <c r="O62" s="152">
        <v>0</v>
      </c>
      <c r="P62" s="152">
        <v>0</v>
      </c>
      <c r="Q62" s="152">
        <v>0</v>
      </c>
      <c r="R62" s="152">
        <v>0</v>
      </c>
      <c r="S62" s="152">
        <v>0</v>
      </c>
      <c r="T62" s="152">
        <v>0</v>
      </c>
      <c r="U62" s="152">
        <v>0</v>
      </c>
      <c r="V62" s="152">
        <v>0</v>
      </c>
      <c r="W62" s="152">
        <v>0</v>
      </c>
      <c r="X62" s="152">
        <v>0</v>
      </c>
      <c r="Y62" s="152">
        <v>0</v>
      </c>
      <c r="Z62" s="152">
        <v>0</v>
      </c>
      <c r="AA62" s="152">
        <v>0</v>
      </c>
      <c r="AB62" s="152">
        <v>0</v>
      </c>
      <c r="AC62" s="152">
        <v>0</v>
      </c>
      <c r="AD62" s="158">
        <f>AD57</f>
        <v>1449</v>
      </c>
    </row>
    <row r="63" spans="1:32" ht="23.25">
      <c r="A63" s="41" t="s">
        <v>224</v>
      </c>
      <c r="B63" s="572" t="s">
        <v>278</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4"/>
    </row>
    <row r="64" spans="1:32" ht="144" customHeight="1">
      <c r="A64" s="155" t="s">
        <v>48</v>
      </c>
      <c r="B64" s="170" t="s">
        <v>108</v>
      </c>
      <c r="C64" s="41" t="s">
        <v>94</v>
      </c>
      <c r="D64" s="41" t="s">
        <v>93</v>
      </c>
      <c r="E64" s="142">
        <f>F64+G64+H64+I64</f>
        <v>766</v>
      </c>
      <c r="F64" s="142">
        <f>409+357</f>
        <v>766</v>
      </c>
      <c r="G64" s="142">
        <v>0</v>
      </c>
      <c r="H64" s="142">
        <v>0</v>
      </c>
      <c r="I64" s="142">
        <v>0</v>
      </c>
      <c r="J64" s="142">
        <f>K64+L64+M64+N64</f>
        <v>655</v>
      </c>
      <c r="K64" s="142">
        <v>655</v>
      </c>
      <c r="L64" s="142">
        <v>0</v>
      </c>
      <c r="M64" s="142">
        <v>0</v>
      </c>
      <c r="N64" s="142">
        <v>0</v>
      </c>
      <c r="O64" s="142">
        <f>P64+Q64+R64+S64</f>
        <v>0</v>
      </c>
      <c r="P64" s="142">
        <v>0</v>
      </c>
      <c r="Q64" s="142">
        <v>0</v>
      </c>
      <c r="R64" s="142">
        <v>0</v>
      </c>
      <c r="S64" s="142">
        <v>0</v>
      </c>
      <c r="T64" s="142">
        <v>0</v>
      </c>
      <c r="U64" s="142">
        <v>0</v>
      </c>
      <c r="V64" s="142">
        <v>0</v>
      </c>
      <c r="W64" s="142">
        <v>0</v>
      </c>
      <c r="X64" s="142">
        <v>0</v>
      </c>
      <c r="Y64" s="142">
        <v>510</v>
      </c>
      <c r="Z64" s="142">
        <v>510</v>
      </c>
      <c r="AA64" s="142">
        <v>0</v>
      </c>
      <c r="AB64" s="142">
        <v>0</v>
      </c>
      <c r="AC64" s="142">
        <v>0</v>
      </c>
      <c r="AD64" s="142">
        <f>E64+J64+O64+T64+Y64</f>
        <v>1931</v>
      </c>
      <c r="AF64" s="200" t="s">
        <v>131</v>
      </c>
    </row>
    <row r="65" spans="1:30">
      <c r="A65" s="631" t="s">
        <v>49</v>
      </c>
      <c r="B65" s="631"/>
      <c r="C65" s="631"/>
      <c r="D65" s="226"/>
      <c r="E65" s="148">
        <f t="shared" ref="E65:AD65" si="21">SUM(E64:E64)</f>
        <v>766</v>
      </c>
      <c r="F65" s="148">
        <f>SUM(F64)</f>
        <v>766</v>
      </c>
      <c r="G65" s="148">
        <f t="shared" si="21"/>
        <v>0</v>
      </c>
      <c r="H65" s="148">
        <f t="shared" si="21"/>
        <v>0</v>
      </c>
      <c r="I65" s="148">
        <f t="shared" si="21"/>
        <v>0</v>
      </c>
      <c r="J65" s="148">
        <f>J64</f>
        <v>655</v>
      </c>
      <c r="K65" s="148">
        <f t="shared" si="21"/>
        <v>655</v>
      </c>
      <c r="L65" s="148">
        <f t="shared" si="21"/>
        <v>0</v>
      </c>
      <c r="M65" s="148">
        <f t="shared" si="21"/>
        <v>0</v>
      </c>
      <c r="N65" s="148">
        <f t="shared" si="21"/>
        <v>0</v>
      </c>
      <c r="O65" s="148">
        <f t="shared" si="21"/>
        <v>0</v>
      </c>
      <c r="P65" s="148">
        <f t="shared" si="21"/>
        <v>0</v>
      </c>
      <c r="Q65" s="148">
        <f t="shared" si="21"/>
        <v>0</v>
      </c>
      <c r="R65" s="148">
        <f t="shared" si="21"/>
        <v>0</v>
      </c>
      <c r="S65" s="148">
        <f t="shared" si="21"/>
        <v>0</v>
      </c>
      <c r="T65" s="148">
        <f t="shared" si="21"/>
        <v>0</v>
      </c>
      <c r="U65" s="148">
        <f t="shared" si="21"/>
        <v>0</v>
      </c>
      <c r="V65" s="148">
        <f t="shared" si="21"/>
        <v>0</v>
      </c>
      <c r="W65" s="148">
        <f t="shared" si="21"/>
        <v>0</v>
      </c>
      <c r="X65" s="148">
        <f t="shared" si="21"/>
        <v>0</v>
      </c>
      <c r="Y65" s="148">
        <f t="shared" si="21"/>
        <v>510</v>
      </c>
      <c r="Z65" s="148">
        <f t="shared" si="21"/>
        <v>510</v>
      </c>
      <c r="AA65" s="148">
        <f t="shared" si="21"/>
        <v>0</v>
      </c>
      <c r="AB65" s="148">
        <f t="shared" si="21"/>
        <v>0</v>
      </c>
      <c r="AC65" s="148">
        <f t="shared" si="21"/>
        <v>0</v>
      </c>
      <c r="AD65" s="148">
        <f t="shared" si="21"/>
        <v>1931</v>
      </c>
    </row>
    <row r="66" spans="1:30" ht="27.75" customHeight="1">
      <c r="A66" s="226" t="s">
        <v>252</v>
      </c>
      <c r="B66" s="572" t="s">
        <v>279</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4"/>
    </row>
    <row r="67" spans="1:30" ht="192" customHeight="1">
      <c r="A67" s="226" t="s">
        <v>50</v>
      </c>
      <c r="B67" s="170" t="s">
        <v>115</v>
      </c>
      <c r="C67" s="41" t="s">
        <v>106</v>
      </c>
      <c r="D67" s="41" t="s">
        <v>93</v>
      </c>
      <c r="E67" s="142">
        <f>F67+G67+H67+I67</f>
        <v>25286</v>
      </c>
      <c r="F67" s="142">
        <f>27786-2500</f>
        <v>25286</v>
      </c>
      <c r="G67" s="142">
        <v>0</v>
      </c>
      <c r="H67" s="142">
        <v>0</v>
      </c>
      <c r="I67" s="142">
        <v>0</v>
      </c>
      <c r="J67" s="142">
        <f>K67+L67+M67+N67</f>
        <v>40120</v>
      </c>
      <c r="K67" s="142">
        <v>40120</v>
      </c>
      <c r="L67" s="142">
        <v>0</v>
      </c>
      <c r="M67" s="142">
        <v>0</v>
      </c>
      <c r="N67" s="142">
        <v>0</v>
      </c>
      <c r="O67" s="142">
        <f>P67+Q67+R67+S67</f>
        <v>0</v>
      </c>
      <c r="P67" s="142">
        <v>0</v>
      </c>
      <c r="Q67" s="142">
        <v>0</v>
      </c>
      <c r="R67" s="142">
        <v>0</v>
      </c>
      <c r="S67" s="142">
        <v>0</v>
      </c>
      <c r="T67" s="142">
        <f>U67+V67+W67+X67</f>
        <v>0</v>
      </c>
      <c r="U67" s="142">
        <v>0</v>
      </c>
      <c r="V67" s="142">
        <v>0</v>
      </c>
      <c r="W67" s="142">
        <v>0</v>
      </c>
      <c r="X67" s="142">
        <v>0</v>
      </c>
      <c r="Y67" s="142">
        <v>40120</v>
      </c>
      <c r="Z67" s="142">
        <v>40120</v>
      </c>
      <c r="AA67" s="142">
        <v>0</v>
      </c>
      <c r="AB67" s="142">
        <v>0</v>
      </c>
      <c r="AC67" s="142">
        <v>0</v>
      </c>
      <c r="AD67" s="142">
        <f>E67+J67+O67+T67+Y67</f>
        <v>105526</v>
      </c>
    </row>
    <row r="68" spans="1:30" ht="23.25">
      <c r="A68" s="632" t="s">
        <v>53</v>
      </c>
      <c r="B68" s="633"/>
      <c r="C68" s="634"/>
      <c r="D68" s="226"/>
      <c r="E68" s="148">
        <f t="shared" ref="E68:AD68" si="22">SUM(E67:E67)</f>
        <v>25286</v>
      </c>
      <c r="F68" s="148">
        <f>SUM(F67)</f>
        <v>25286</v>
      </c>
      <c r="G68" s="148">
        <f t="shared" si="22"/>
        <v>0</v>
      </c>
      <c r="H68" s="148">
        <f t="shared" si="22"/>
        <v>0</v>
      </c>
      <c r="I68" s="148">
        <f t="shared" si="22"/>
        <v>0</v>
      </c>
      <c r="J68" s="148">
        <f>J67</f>
        <v>40120</v>
      </c>
      <c r="K68" s="148">
        <f t="shared" si="22"/>
        <v>40120</v>
      </c>
      <c r="L68" s="148">
        <f t="shared" si="22"/>
        <v>0</v>
      </c>
      <c r="M68" s="148">
        <f t="shared" si="22"/>
        <v>0</v>
      </c>
      <c r="N68" s="148">
        <f t="shared" si="22"/>
        <v>0</v>
      </c>
      <c r="O68" s="148">
        <f t="shared" si="22"/>
        <v>0</v>
      </c>
      <c r="P68" s="148">
        <f t="shared" si="22"/>
        <v>0</v>
      </c>
      <c r="Q68" s="148">
        <f t="shared" si="22"/>
        <v>0</v>
      </c>
      <c r="R68" s="148">
        <f t="shared" si="22"/>
        <v>0</v>
      </c>
      <c r="S68" s="148">
        <f t="shared" si="22"/>
        <v>0</v>
      </c>
      <c r="T68" s="148">
        <f t="shared" si="22"/>
        <v>0</v>
      </c>
      <c r="U68" s="148">
        <f t="shared" si="22"/>
        <v>0</v>
      </c>
      <c r="V68" s="148">
        <f t="shared" si="22"/>
        <v>0</v>
      </c>
      <c r="W68" s="148">
        <f t="shared" si="22"/>
        <v>0</v>
      </c>
      <c r="X68" s="148">
        <f t="shared" si="22"/>
        <v>0</v>
      </c>
      <c r="Y68" s="148">
        <f t="shared" si="22"/>
        <v>40120</v>
      </c>
      <c r="Z68" s="148">
        <f t="shared" si="22"/>
        <v>40120</v>
      </c>
      <c r="AA68" s="148">
        <f t="shared" si="22"/>
        <v>0</v>
      </c>
      <c r="AB68" s="148">
        <f t="shared" si="22"/>
        <v>0</v>
      </c>
      <c r="AC68" s="148">
        <f t="shared" si="22"/>
        <v>0</v>
      </c>
      <c r="AD68" s="148">
        <f t="shared" si="22"/>
        <v>105526</v>
      </c>
    </row>
    <row r="69" spans="1:30" ht="39" customHeight="1">
      <c r="A69" s="226" t="s">
        <v>254</v>
      </c>
      <c r="B69" s="572" t="s">
        <v>280</v>
      </c>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4"/>
    </row>
    <row r="70" spans="1:30" ht="98.25" customHeight="1">
      <c r="A70" s="226" t="s">
        <v>55</v>
      </c>
      <c r="B70" s="191" t="s">
        <v>96</v>
      </c>
      <c r="C70" s="41" t="s">
        <v>94</v>
      </c>
      <c r="D70" s="41" t="s">
        <v>93</v>
      </c>
      <c r="E70" s="142">
        <f>F70+G70+H70+I70</f>
        <v>7420</v>
      </c>
      <c r="F70" s="142">
        <f>6486+934</f>
        <v>7420</v>
      </c>
      <c r="G70" s="142">
        <v>0</v>
      </c>
      <c r="H70" s="142">
        <v>0</v>
      </c>
      <c r="I70" s="142">
        <v>0</v>
      </c>
      <c r="J70" s="142">
        <f>K70+L70+M70+N70</f>
        <v>7350</v>
      </c>
      <c r="K70" s="142">
        <v>7350</v>
      </c>
      <c r="L70" s="142">
        <v>0</v>
      </c>
      <c r="M70" s="142">
        <v>0</v>
      </c>
      <c r="N70" s="142">
        <v>0</v>
      </c>
      <c r="O70" s="142">
        <f>P70+Q70+R70+S70</f>
        <v>0</v>
      </c>
      <c r="P70" s="142">
        <v>0</v>
      </c>
      <c r="Q70" s="142">
        <v>0</v>
      </c>
      <c r="R70" s="142">
        <v>0</v>
      </c>
      <c r="S70" s="142">
        <v>0</v>
      </c>
      <c r="T70" s="142">
        <f>U70+V70+W70+X70</f>
        <v>0</v>
      </c>
      <c r="U70" s="142">
        <v>0</v>
      </c>
      <c r="V70" s="142">
        <v>0</v>
      </c>
      <c r="W70" s="142">
        <v>0</v>
      </c>
      <c r="X70" s="142">
        <v>0</v>
      </c>
      <c r="Y70" s="142">
        <f>Z70+AA70+AB70+AC70</f>
        <v>6486</v>
      </c>
      <c r="Z70" s="142">
        <v>6486</v>
      </c>
      <c r="AA70" s="142">
        <v>0</v>
      </c>
      <c r="AB70" s="142">
        <v>0</v>
      </c>
      <c r="AC70" s="142">
        <v>0</v>
      </c>
      <c r="AD70" s="142">
        <f>E70+J70+O70+T70+Y70</f>
        <v>21256</v>
      </c>
    </row>
    <row r="71" spans="1:30" ht="117.75" customHeight="1">
      <c r="A71" s="226" t="s">
        <v>256</v>
      </c>
      <c r="B71" s="170" t="s">
        <v>209</v>
      </c>
      <c r="C71" s="41" t="s">
        <v>94</v>
      </c>
      <c r="D71" s="41" t="s">
        <v>93</v>
      </c>
      <c r="E71" s="142">
        <f>SUM(F71:I71)</f>
        <v>681</v>
      </c>
      <c r="F71" s="142">
        <v>681</v>
      </c>
      <c r="G71" s="142">
        <v>0</v>
      </c>
      <c r="H71" s="142">
        <v>0</v>
      </c>
      <c r="I71" s="142">
        <v>0</v>
      </c>
      <c r="J71" s="142">
        <f>K71+L71+M71+N71</f>
        <v>684</v>
      </c>
      <c r="K71" s="142">
        <v>684</v>
      </c>
      <c r="L71" s="142">
        <v>0</v>
      </c>
      <c r="M71" s="142">
        <v>0</v>
      </c>
      <c r="N71" s="142">
        <v>0</v>
      </c>
      <c r="O71" s="142">
        <f>P71+Q71+R71+S71</f>
        <v>0</v>
      </c>
      <c r="P71" s="142">
        <v>0</v>
      </c>
      <c r="Q71" s="142">
        <v>0</v>
      </c>
      <c r="R71" s="142">
        <v>0</v>
      </c>
      <c r="S71" s="142">
        <v>0</v>
      </c>
      <c r="T71" s="142">
        <f>U71+V71+W71+X71</f>
        <v>0</v>
      </c>
      <c r="U71" s="142">
        <v>0</v>
      </c>
      <c r="V71" s="142">
        <v>0</v>
      </c>
      <c r="W71" s="142">
        <v>0</v>
      </c>
      <c r="X71" s="142">
        <v>0</v>
      </c>
      <c r="Y71" s="142">
        <f>Z71+AA71+AB71+AC71</f>
        <v>660</v>
      </c>
      <c r="Z71" s="142">
        <v>660</v>
      </c>
      <c r="AA71" s="142">
        <v>0</v>
      </c>
      <c r="AB71" s="142">
        <v>0</v>
      </c>
      <c r="AC71" s="142">
        <v>0</v>
      </c>
      <c r="AD71" s="142">
        <f>E71+J71+O71+T71+Y71</f>
        <v>2025</v>
      </c>
    </row>
    <row r="72" spans="1:30" ht="135.75" customHeight="1">
      <c r="A72" s="226" t="s">
        <v>257</v>
      </c>
      <c r="B72" s="170" t="s">
        <v>271</v>
      </c>
      <c r="C72" s="41" t="s">
        <v>266</v>
      </c>
      <c r="D72" s="41">
        <v>2020</v>
      </c>
      <c r="E72" s="142">
        <f>F72+G72+H72+I72</f>
        <v>774</v>
      </c>
      <c r="F72" s="142">
        <v>774</v>
      </c>
      <c r="G72" s="142">
        <v>0</v>
      </c>
      <c r="H72" s="142">
        <v>0</v>
      </c>
      <c r="I72" s="142">
        <v>0</v>
      </c>
      <c r="J72" s="142">
        <f>K72+L72+M72+N72</f>
        <v>350</v>
      </c>
      <c r="K72" s="142">
        <v>350</v>
      </c>
      <c r="L72" s="142">
        <v>0</v>
      </c>
      <c r="M72" s="142">
        <v>0</v>
      </c>
      <c r="N72" s="142">
        <v>0</v>
      </c>
      <c r="O72" s="142">
        <f>P72+Q72+R72+S72</f>
        <v>0</v>
      </c>
      <c r="P72" s="142">
        <v>0</v>
      </c>
      <c r="Q72" s="142">
        <v>0</v>
      </c>
      <c r="R72" s="142">
        <v>0</v>
      </c>
      <c r="S72" s="142">
        <v>0</v>
      </c>
      <c r="T72" s="142">
        <f>U72+V72+W72+X72</f>
        <v>0</v>
      </c>
      <c r="U72" s="142">
        <v>0</v>
      </c>
      <c r="V72" s="142">
        <v>0</v>
      </c>
      <c r="W72" s="142">
        <v>0</v>
      </c>
      <c r="X72" s="142">
        <v>0</v>
      </c>
      <c r="Y72" s="142">
        <f>Z72+AA72+AB72+AC72</f>
        <v>774</v>
      </c>
      <c r="Z72" s="142">
        <v>774</v>
      </c>
      <c r="AA72" s="142">
        <v>0</v>
      </c>
      <c r="AB72" s="142">
        <v>0</v>
      </c>
      <c r="AC72" s="142">
        <v>0</v>
      </c>
      <c r="AD72" s="148">
        <f>E72+J72+O72+T72+Y72</f>
        <v>1898</v>
      </c>
    </row>
    <row r="73" spans="1:30" ht="23.25">
      <c r="A73" s="632" t="s">
        <v>56</v>
      </c>
      <c r="B73" s="633"/>
      <c r="C73" s="634"/>
      <c r="D73" s="226"/>
      <c r="E73" s="148">
        <f>E70+E71+E72</f>
        <v>8875</v>
      </c>
      <c r="F73" s="148">
        <f>F70+F71+F72</f>
        <v>8875</v>
      </c>
      <c r="G73" s="148">
        <f>SUM(G70:G70)</f>
        <v>0</v>
      </c>
      <c r="H73" s="148">
        <f>SUM(H70:H70)</f>
        <v>0</v>
      </c>
      <c r="I73" s="148">
        <f>SUM(I70:I70)</f>
        <v>0</v>
      </c>
      <c r="J73" s="148">
        <f>J70+J71+J72</f>
        <v>8384</v>
      </c>
      <c r="K73" s="148">
        <f>K70+K71+K72</f>
        <v>8384</v>
      </c>
      <c r="L73" s="148">
        <f>SUM(L70:L70)</f>
        <v>0</v>
      </c>
      <c r="M73" s="148">
        <f>SUM(M70:M70)</f>
        <v>0</v>
      </c>
      <c r="N73" s="148">
        <f>SUM(N70:N70)</f>
        <v>0</v>
      </c>
      <c r="O73" s="148">
        <f>O70+O71+O72</f>
        <v>0</v>
      </c>
      <c r="P73" s="148">
        <f>P70+P71+P72</f>
        <v>0</v>
      </c>
      <c r="Q73" s="148">
        <f>SUM(Q70:Q70)</f>
        <v>0</v>
      </c>
      <c r="R73" s="148">
        <f>SUM(R70:R70)</f>
        <v>0</v>
      </c>
      <c r="S73" s="148">
        <f>SUM(S70:S70)</f>
        <v>0</v>
      </c>
      <c r="T73" s="148">
        <f>T70+T71+T72</f>
        <v>0</v>
      </c>
      <c r="U73" s="148">
        <f>U70+U71+U72</f>
        <v>0</v>
      </c>
      <c r="V73" s="148">
        <f>SUM(V70:V70)</f>
        <v>0</v>
      </c>
      <c r="W73" s="148">
        <f>SUM(W70:W70)</f>
        <v>0</v>
      </c>
      <c r="X73" s="148">
        <f>SUM(X70:X70)</f>
        <v>0</v>
      </c>
      <c r="Y73" s="148">
        <f>Y70+Y71+Y72</f>
        <v>7920</v>
      </c>
      <c r="Z73" s="148">
        <f>Z70+Z71+Z72</f>
        <v>7920</v>
      </c>
      <c r="AA73" s="148">
        <f>SUM(AA70:AA70)</f>
        <v>0</v>
      </c>
      <c r="AB73" s="148">
        <f>SUM(AB70:AB70)</f>
        <v>0</v>
      </c>
      <c r="AC73" s="148">
        <f>SUM(AC70:AC70)</f>
        <v>0</v>
      </c>
      <c r="AD73" s="148">
        <f>SUM(AD70:AD72)</f>
        <v>25179</v>
      </c>
    </row>
    <row r="74" spans="1:30" ht="23.25">
      <c r="A74" s="225" t="s">
        <v>135</v>
      </c>
      <c r="B74" s="225"/>
      <c r="C74" s="228"/>
      <c r="D74" s="157"/>
      <c r="E74" s="152">
        <f>E70+E71+E72</f>
        <v>8875</v>
      </c>
      <c r="F74" s="152">
        <f>F70+F71+F72</f>
        <v>8875</v>
      </c>
      <c r="G74" s="152">
        <v>0</v>
      </c>
      <c r="H74" s="152">
        <v>0</v>
      </c>
      <c r="I74" s="152">
        <v>0</v>
      </c>
      <c r="J74" s="152">
        <f>J70+J71+J72</f>
        <v>8384</v>
      </c>
      <c r="K74" s="152">
        <f>K70+K71+K72</f>
        <v>8384</v>
      </c>
      <c r="L74" s="152">
        <v>0</v>
      </c>
      <c r="M74" s="152">
        <v>0</v>
      </c>
      <c r="N74" s="152">
        <v>0</v>
      </c>
      <c r="O74" s="152">
        <f>O73</f>
        <v>0</v>
      </c>
      <c r="P74" s="152">
        <f>P73</f>
        <v>0</v>
      </c>
      <c r="Q74" s="152">
        <v>0</v>
      </c>
      <c r="R74" s="152">
        <v>0</v>
      </c>
      <c r="S74" s="152">
        <v>0</v>
      </c>
      <c r="T74" s="152">
        <f>T70+T71+T72</f>
        <v>0</v>
      </c>
      <c r="U74" s="152">
        <f>U70+U71+U72</f>
        <v>0</v>
      </c>
      <c r="V74" s="152">
        <v>0</v>
      </c>
      <c r="W74" s="152">
        <v>0</v>
      </c>
      <c r="X74" s="152">
        <v>0</v>
      </c>
      <c r="Y74" s="152">
        <f>Y70+Y71+Y72</f>
        <v>7920</v>
      </c>
      <c r="Z74" s="152">
        <f>Z70+Z71+Z72</f>
        <v>7920</v>
      </c>
      <c r="AA74" s="152">
        <v>0</v>
      </c>
      <c r="AB74" s="152">
        <v>0</v>
      </c>
      <c r="AC74" s="152">
        <v>0</v>
      </c>
      <c r="AD74" s="158">
        <f>AD70+AD71</f>
        <v>23281</v>
      </c>
    </row>
    <row r="75" spans="1:30" ht="54.75" customHeight="1">
      <c r="A75" s="226" t="s">
        <v>97</v>
      </c>
      <c r="B75" s="572" t="s">
        <v>281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4"/>
    </row>
    <row r="76" spans="1:30" ht="193.5" customHeight="1">
      <c r="A76" s="214" t="s">
        <v>57</v>
      </c>
      <c r="B76" s="191" t="s">
        <v>264</v>
      </c>
      <c r="C76" s="41" t="s">
        <v>73</v>
      </c>
      <c r="D76" s="41" t="s">
        <v>93</v>
      </c>
      <c r="E76" s="142">
        <f xml:space="preserve"> SUM(F76:I76)</f>
        <v>136.19999999999999</v>
      </c>
      <c r="F76" s="142">
        <f>74.6+61.6</f>
        <v>136.19999999999999</v>
      </c>
      <c r="G76" s="142">
        <v>0</v>
      </c>
      <c r="H76" s="142">
        <v>0</v>
      </c>
      <c r="I76" s="142">
        <v>0</v>
      </c>
      <c r="J76" s="142">
        <f xml:space="preserve"> SUM(K76:N76)</f>
        <v>142</v>
      </c>
      <c r="K76" s="142">
        <v>142</v>
      </c>
      <c r="L76" s="142">
        <v>0</v>
      </c>
      <c r="M76" s="142">
        <v>0</v>
      </c>
      <c r="N76" s="142">
        <v>0</v>
      </c>
      <c r="O76" s="142">
        <f xml:space="preserve"> SUM(P76:S76)</f>
        <v>142</v>
      </c>
      <c r="P76" s="142">
        <v>142</v>
      </c>
      <c r="Q76" s="142">
        <v>0</v>
      </c>
      <c r="R76" s="142">
        <v>0</v>
      </c>
      <c r="S76" s="142">
        <v>0</v>
      </c>
      <c r="T76" s="142">
        <f xml:space="preserve"> SUM(U76:X76)</f>
        <v>142</v>
      </c>
      <c r="U76" s="142">
        <v>142</v>
      </c>
      <c r="V76" s="142">
        <v>0</v>
      </c>
      <c r="W76" s="142">
        <v>0</v>
      </c>
      <c r="X76" s="142">
        <v>0</v>
      </c>
      <c r="Y76" s="142">
        <f xml:space="preserve"> SUM(Z76:AC76)</f>
        <v>145</v>
      </c>
      <c r="Z76" s="142">
        <v>145</v>
      </c>
      <c r="AA76" s="142">
        <v>0</v>
      </c>
      <c r="AB76" s="142">
        <v>0</v>
      </c>
      <c r="AC76" s="142">
        <v>0</v>
      </c>
      <c r="AD76" s="142">
        <f>E76+J76+O76+T76+Y76</f>
        <v>707.2</v>
      </c>
    </row>
    <row r="77" spans="1:30" ht="23.25">
      <c r="A77" s="575" t="s">
        <v>58</v>
      </c>
      <c r="B77" s="575"/>
      <c r="C77" s="575"/>
      <c r="D77" s="226"/>
      <c r="E77" s="148">
        <f>E76</f>
        <v>136.19999999999999</v>
      </c>
      <c r="F77" s="148">
        <f>F76</f>
        <v>136.19999999999999</v>
      </c>
      <c r="G77" s="148">
        <v>0</v>
      </c>
      <c r="H77" s="148">
        <v>0</v>
      </c>
      <c r="I77" s="148">
        <v>0</v>
      </c>
      <c r="J77" s="148">
        <f t="shared" ref="J77:AC77" si="23">J76</f>
        <v>142</v>
      </c>
      <c r="K77" s="148">
        <f t="shared" si="23"/>
        <v>142</v>
      </c>
      <c r="L77" s="148">
        <f t="shared" si="23"/>
        <v>0</v>
      </c>
      <c r="M77" s="148">
        <f t="shared" si="23"/>
        <v>0</v>
      </c>
      <c r="N77" s="148">
        <f t="shared" si="23"/>
        <v>0</v>
      </c>
      <c r="O77" s="148">
        <f t="shared" si="23"/>
        <v>142</v>
      </c>
      <c r="P77" s="148">
        <f t="shared" si="23"/>
        <v>142</v>
      </c>
      <c r="Q77" s="148">
        <f t="shared" si="23"/>
        <v>0</v>
      </c>
      <c r="R77" s="148">
        <f t="shared" si="23"/>
        <v>0</v>
      </c>
      <c r="S77" s="148">
        <f t="shared" si="23"/>
        <v>0</v>
      </c>
      <c r="T77" s="148">
        <f t="shared" si="23"/>
        <v>142</v>
      </c>
      <c r="U77" s="148">
        <f t="shared" si="23"/>
        <v>142</v>
      </c>
      <c r="V77" s="148">
        <f t="shared" si="23"/>
        <v>0</v>
      </c>
      <c r="W77" s="148">
        <f t="shared" si="23"/>
        <v>0</v>
      </c>
      <c r="X77" s="148">
        <f t="shared" si="23"/>
        <v>0</v>
      </c>
      <c r="Y77" s="148">
        <f t="shared" si="23"/>
        <v>145</v>
      </c>
      <c r="Z77" s="148">
        <f t="shared" si="23"/>
        <v>145</v>
      </c>
      <c r="AA77" s="148">
        <f t="shared" si="23"/>
        <v>0</v>
      </c>
      <c r="AB77" s="148">
        <f t="shared" si="23"/>
        <v>0</v>
      </c>
      <c r="AC77" s="148">
        <f t="shared" si="23"/>
        <v>0</v>
      </c>
      <c r="AD77" s="148">
        <f>E77+J77+O77+T77+Y77</f>
        <v>707.2</v>
      </c>
    </row>
    <row r="78" spans="1:30" ht="23.25">
      <c r="A78" s="206">
        <v>10</v>
      </c>
      <c r="B78" s="562" t="s">
        <v>259</v>
      </c>
      <c r="C78" s="563"/>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4"/>
    </row>
    <row r="79" spans="1:30" ht="169.5" customHeight="1">
      <c r="A79" s="215" t="s">
        <v>59</v>
      </c>
      <c r="B79" s="191" t="s">
        <v>186</v>
      </c>
      <c r="C79" s="230" t="s">
        <v>107</v>
      </c>
      <c r="D79" s="41" t="s">
        <v>93</v>
      </c>
      <c r="E79" s="216">
        <v>500</v>
      </c>
      <c r="F79" s="216">
        <v>500</v>
      </c>
      <c r="G79" s="216">
        <v>0</v>
      </c>
      <c r="H79" s="216">
        <v>0</v>
      </c>
      <c r="I79" s="216">
        <v>0</v>
      </c>
      <c r="J79" s="216">
        <f>K79+L79+M79+N79</f>
        <v>24</v>
      </c>
      <c r="K79" s="216">
        <v>24</v>
      </c>
      <c r="L79" s="216">
        <v>0</v>
      </c>
      <c r="M79" s="216">
        <v>0</v>
      </c>
      <c r="N79" s="216">
        <v>0</v>
      </c>
      <c r="O79" s="216">
        <v>0</v>
      </c>
      <c r="P79" s="216">
        <v>0</v>
      </c>
      <c r="Q79" s="216">
        <v>0</v>
      </c>
      <c r="R79" s="216">
        <v>0</v>
      </c>
      <c r="S79" s="216">
        <v>0</v>
      </c>
      <c r="T79" s="216">
        <f>U79+V79+W79+X79</f>
        <v>0</v>
      </c>
      <c r="U79" s="216">
        <v>0</v>
      </c>
      <c r="V79" s="216">
        <v>0</v>
      </c>
      <c r="W79" s="216">
        <v>0</v>
      </c>
      <c r="X79" s="216">
        <v>0</v>
      </c>
      <c r="Y79" s="216">
        <v>6480</v>
      </c>
      <c r="Z79" s="216">
        <v>6480</v>
      </c>
      <c r="AA79" s="216">
        <v>0</v>
      </c>
      <c r="AB79" s="216">
        <v>0</v>
      </c>
      <c r="AC79" s="216">
        <v>0</v>
      </c>
      <c r="AD79" s="107">
        <f>E79+J79+O79+T79+Y79</f>
        <v>7004</v>
      </c>
    </row>
    <row r="80" spans="1:30" ht="131.25">
      <c r="A80" s="215" t="s">
        <v>98</v>
      </c>
      <c r="B80" s="170" t="s">
        <v>159</v>
      </c>
      <c r="C80" s="163" t="s">
        <v>107</v>
      </c>
      <c r="D80" s="41" t="s">
        <v>93</v>
      </c>
      <c r="E80" s="216">
        <v>2880</v>
      </c>
      <c r="F80" s="216">
        <v>2880</v>
      </c>
      <c r="G80" s="216">
        <v>0</v>
      </c>
      <c r="H80" s="216">
        <v>0</v>
      </c>
      <c r="I80" s="216">
        <v>0</v>
      </c>
      <c r="J80" s="216">
        <f>K80+L80+M80+N80</f>
        <v>2880</v>
      </c>
      <c r="K80" s="216">
        <v>2880</v>
      </c>
      <c r="L80" s="216">
        <v>0</v>
      </c>
      <c r="M80" s="216">
        <v>0</v>
      </c>
      <c r="N80" s="216">
        <v>0</v>
      </c>
      <c r="O80" s="216">
        <v>0</v>
      </c>
      <c r="P80" s="216">
        <v>0</v>
      </c>
      <c r="Q80" s="216">
        <v>0</v>
      </c>
      <c r="R80" s="216">
        <v>0</v>
      </c>
      <c r="S80" s="216">
        <v>0</v>
      </c>
      <c r="T80" s="216">
        <f>U80+V80+W80+X80</f>
        <v>0</v>
      </c>
      <c r="U80" s="216">
        <v>0</v>
      </c>
      <c r="V80" s="216">
        <v>0</v>
      </c>
      <c r="W80" s="216">
        <v>0</v>
      </c>
      <c r="X80" s="216">
        <v>0</v>
      </c>
      <c r="Y80" s="216">
        <v>5760</v>
      </c>
      <c r="Z80" s="216">
        <v>5760</v>
      </c>
      <c r="AA80" s="216">
        <v>0</v>
      </c>
      <c r="AB80" s="216">
        <v>0</v>
      </c>
      <c r="AC80" s="216">
        <v>0</v>
      </c>
      <c r="AD80" s="107">
        <f>E80+J80+O80+T80+Y80</f>
        <v>11520</v>
      </c>
    </row>
    <row r="81" spans="1:30" ht="23.25">
      <c r="A81" s="632" t="s">
        <v>60</v>
      </c>
      <c r="B81" s="633"/>
      <c r="C81" s="634"/>
      <c r="D81" s="215"/>
      <c r="E81" s="107">
        <f>E79+E80</f>
        <v>3380</v>
      </c>
      <c r="F81" s="107">
        <f>SUM(F79:F80)</f>
        <v>3380</v>
      </c>
      <c r="G81" s="107">
        <f>G79</f>
        <v>0</v>
      </c>
      <c r="H81" s="107">
        <f>I79</f>
        <v>0</v>
      </c>
      <c r="I81" s="107">
        <f t="shared" ref="I81:V81" si="24">I79</f>
        <v>0</v>
      </c>
      <c r="J81" s="107">
        <f>K81+L81+M81+N81</f>
        <v>2904</v>
      </c>
      <c r="K81" s="107">
        <f>K79+K80</f>
        <v>2904</v>
      </c>
      <c r="L81" s="107">
        <f t="shared" si="24"/>
        <v>0</v>
      </c>
      <c r="M81" s="107">
        <f t="shared" si="24"/>
        <v>0</v>
      </c>
      <c r="N81" s="107">
        <f t="shared" si="24"/>
        <v>0</v>
      </c>
      <c r="O81" s="107">
        <f>P81+Q81+R81+S81</f>
        <v>0</v>
      </c>
      <c r="P81" s="107">
        <f>P79+P80</f>
        <v>0</v>
      </c>
      <c r="Q81" s="107">
        <f t="shared" si="24"/>
        <v>0</v>
      </c>
      <c r="R81" s="107">
        <f t="shared" si="24"/>
        <v>0</v>
      </c>
      <c r="S81" s="107">
        <f t="shared" si="24"/>
        <v>0</v>
      </c>
      <c r="T81" s="107">
        <f>U81+V81+W81+X81</f>
        <v>0</v>
      </c>
      <c r="U81" s="107">
        <f>T79+T80</f>
        <v>0</v>
      </c>
      <c r="V81" s="107">
        <f t="shared" si="24"/>
        <v>0</v>
      </c>
      <c r="W81" s="107">
        <f>V79</f>
        <v>0</v>
      </c>
      <c r="X81" s="107">
        <f t="shared" ref="X81:AC81" si="25">X79</f>
        <v>0</v>
      </c>
      <c r="Y81" s="107">
        <f>Z81+AA81+AB81+AC81</f>
        <v>12240</v>
      </c>
      <c r="Z81" s="107">
        <f>Z79+Z80</f>
        <v>12240</v>
      </c>
      <c r="AA81" s="107">
        <f t="shared" si="25"/>
        <v>0</v>
      </c>
      <c r="AB81" s="107">
        <f t="shared" si="25"/>
        <v>0</v>
      </c>
      <c r="AC81" s="107">
        <f t="shared" si="25"/>
        <v>0</v>
      </c>
      <c r="AD81" s="107">
        <f>E81+J81+O81+T81+Y81</f>
        <v>18524</v>
      </c>
    </row>
    <row r="82" spans="1:30" ht="23.25">
      <c r="A82" s="630" t="s">
        <v>67</v>
      </c>
      <c r="B82" s="630"/>
      <c r="C82" s="630"/>
      <c r="D82" s="215"/>
      <c r="E82" s="107">
        <f>E27+E33+E50+E55+E60+E65+E68+E73+E77+E81</f>
        <v>157092.37</v>
      </c>
      <c r="F82" s="107">
        <f>F27+F33+F50+F55+F60+F65+F68+F73+F77+F81</f>
        <v>108956.7</v>
      </c>
      <c r="G82" s="107">
        <f t="shared" ref="G82:N82" si="26">G27+G33+G50+G55+G60+G65+G68+G73+G77+G81</f>
        <v>45966</v>
      </c>
      <c r="H82" s="107">
        <f t="shared" si="26"/>
        <v>0</v>
      </c>
      <c r="I82" s="107">
        <f t="shared" si="26"/>
        <v>2169.67</v>
      </c>
      <c r="J82" s="107">
        <f>K82+L82+M82+N82</f>
        <v>124788</v>
      </c>
      <c r="K82" s="107">
        <f t="shared" si="26"/>
        <v>100570</v>
      </c>
      <c r="L82" s="107">
        <f t="shared" si="26"/>
        <v>24218</v>
      </c>
      <c r="M82" s="107">
        <f t="shared" si="26"/>
        <v>0</v>
      </c>
      <c r="N82" s="107">
        <f t="shared" si="26"/>
        <v>0</v>
      </c>
      <c r="O82" s="107">
        <f>P82+Q82+R82+S82</f>
        <v>2036</v>
      </c>
      <c r="P82" s="107">
        <f>P27+P33+P50+P55+P60+P65+P68+P73+P77+P81</f>
        <v>2036</v>
      </c>
      <c r="Q82" s="107">
        <f>Q27+Q33+Q50+Q55+Q60+Q65+Q68+Q73+Q77+Q81</f>
        <v>0</v>
      </c>
      <c r="R82" s="107">
        <f>R27+R33+R50+R55+R60+R65+R68+R73+R77+R81</f>
        <v>0</v>
      </c>
      <c r="S82" s="107">
        <f>S27+S33+S50+S55+S60+S65+S68+S73+S77+S81</f>
        <v>0</v>
      </c>
      <c r="T82" s="107">
        <f>U82+V82+W82+X82</f>
        <v>2036</v>
      </c>
      <c r="U82" s="107">
        <f>U27+U33+U50+U60+U65+U68+U73+U77+U81</f>
        <v>2036</v>
      </c>
      <c r="V82" s="107">
        <f>V27+V33+V50+V55+V60+V65+V68+V73+V77+V81</f>
        <v>0</v>
      </c>
      <c r="W82" s="107">
        <f>W27+W33+W50+W55+W60+W65+W68+W73+W77+W81</f>
        <v>0</v>
      </c>
      <c r="X82" s="107">
        <f>X27+X33+X50+X55+X60+X65+X68+X73+X77+X81</f>
        <v>0</v>
      </c>
      <c r="Y82" s="107">
        <f>Z82+AA82+AB82+AC82</f>
        <v>130728.3</v>
      </c>
      <c r="Z82" s="107">
        <f>Z27+Z33+Z50+Z55+Z60+Z65+Z68+Z73+Z77+Z81</f>
        <v>130728.3</v>
      </c>
      <c r="AA82" s="107">
        <f>AA27+AA33+AA50+AA55+AA60+AA65+AA68+AA73+AA77+AA81</f>
        <v>0</v>
      </c>
      <c r="AB82" s="107">
        <f>AB27+AB33+AB50+AB55+AB60+AB65+AB68+AB73+AB77+AB81</f>
        <v>0</v>
      </c>
      <c r="AC82" s="107">
        <f>AC27+AC33+AC50+AC55+AC60+AC65+AC68+AC73+AC77+AC81</f>
        <v>0</v>
      </c>
      <c r="AD82" s="107">
        <f>E82+J82+O82+T82+Y82</f>
        <v>416680.67</v>
      </c>
    </row>
    <row r="83" spans="1:30">
      <c r="E83" s="217"/>
      <c r="F83" s="217"/>
      <c r="G83" s="217"/>
      <c r="H83" s="217"/>
      <c r="I83" s="217"/>
      <c r="J83" s="217"/>
    </row>
    <row r="84" spans="1:30">
      <c r="A84" s="231" t="s">
        <v>202</v>
      </c>
      <c r="K84" s="223"/>
      <c r="L84" s="230"/>
      <c r="M84" s="230"/>
      <c r="N84" s="230"/>
      <c r="O84" s="230"/>
      <c r="P84" s="230"/>
      <c r="Q84" s="230"/>
      <c r="R84" s="230"/>
      <c r="S84" s="230"/>
      <c r="T84" s="230"/>
      <c r="U84" s="230"/>
      <c r="V84" s="230"/>
      <c r="W84" s="230"/>
    </row>
    <row r="85" spans="1:30">
      <c r="C85" s="199">
        <v>2020</v>
      </c>
      <c r="E85" s="218"/>
      <c r="J85" s="199">
        <v>2021</v>
      </c>
      <c r="O85" s="199">
        <v>2022</v>
      </c>
      <c r="T85" s="199">
        <v>2023</v>
      </c>
      <c r="Y85" s="199">
        <v>2024</v>
      </c>
    </row>
    <row r="86" spans="1:30" ht="225">
      <c r="A86" s="222" t="s">
        <v>201</v>
      </c>
      <c r="B86" s="219" t="s">
        <v>134</v>
      </c>
      <c r="C86" s="218">
        <f>E29+E33+E52+E55+E62+E65+E68+E74+E81</f>
        <v>96915</v>
      </c>
      <c r="F86" s="218"/>
      <c r="I86" s="199" t="s">
        <v>134</v>
      </c>
      <c r="J86" s="218">
        <f>J29+J33+J52+J55+J65+J68+J74+J81</f>
        <v>78812</v>
      </c>
      <c r="N86" s="199" t="s">
        <v>134</v>
      </c>
      <c r="O86" s="218">
        <f>O29+O33+O52+O55+O65+O68+O74+O81</f>
        <v>0</v>
      </c>
      <c r="S86" s="199" t="s">
        <v>134</v>
      </c>
      <c r="T86" s="218">
        <f>T29+T33+T52+T55+T62+T65+T68+T74+T81</f>
        <v>0</v>
      </c>
      <c r="X86" s="199" t="s">
        <v>134</v>
      </c>
      <c r="Y86" s="218">
        <f>Y29+Y33+Y52+Y55+Y62+Y65+Y68+Y74+Y81</f>
        <v>92955.3</v>
      </c>
      <c r="AC86" s="218">
        <f>C86+J86+O86+T86+Y86</f>
        <v>268682.3</v>
      </c>
    </row>
    <row r="87" spans="1:30">
      <c r="B87" s="219" t="s">
        <v>137</v>
      </c>
      <c r="C87" s="218">
        <f>E30+E51+E61+E77</f>
        <v>23882</v>
      </c>
      <c r="I87" s="199" t="s">
        <v>137</v>
      </c>
      <c r="J87" s="218">
        <f>J30+J51+J60+J77</f>
        <v>26254</v>
      </c>
      <c r="N87" s="199" t="s">
        <v>137</v>
      </c>
      <c r="O87" s="218">
        <f>P30+P51+P60+P77</f>
        <v>2036</v>
      </c>
      <c r="S87" s="199" t="s">
        <v>137</v>
      </c>
      <c r="T87" s="218">
        <f>T30+T51+T61+T77</f>
        <v>2036</v>
      </c>
      <c r="X87" s="199" t="s">
        <v>137</v>
      </c>
      <c r="Y87" s="218">
        <f>Y30+Y51+Y61+Y77</f>
        <v>2273</v>
      </c>
      <c r="AC87" s="218">
        <f>C87+J87+O87+T87+Y87</f>
        <v>56481</v>
      </c>
    </row>
    <row r="88" spans="1:30">
      <c r="B88" s="219" t="s">
        <v>138</v>
      </c>
      <c r="C88" s="218">
        <f>E28</f>
        <v>36295.369999999995</v>
      </c>
      <c r="I88" s="199" t="s">
        <v>140</v>
      </c>
      <c r="J88" s="218">
        <f>K28</f>
        <v>19722</v>
      </c>
      <c r="N88" s="199" t="s">
        <v>140</v>
      </c>
      <c r="O88" s="218">
        <f>P28</f>
        <v>0</v>
      </c>
      <c r="S88" s="199" t="s">
        <v>140</v>
      </c>
      <c r="T88" s="218" t="e">
        <f>T28+#REF!</f>
        <v>#REF!</v>
      </c>
      <c r="X88" s="199" t="s">
        <v>140</v>
      </c>
      <c r="Y88" s="218" t="e">
        <f>Y28+#REF!</f>
        <v>#REF!</v>
      </c>
      <c r="AC88" s="218" t="e">
        <f>C88+J88+O88+T88+Y88</f>
        <v>#REF!</v>
      </c>
    </row>
    <row r="89" spans="1:30">
      <c r="C89" s="218"/>
      <c r="J89" s="218"/>
      <c r="O89" s="218">
        <f>O86+O87</f>
        <v>2036</v>
      </c>
      <c r="T89" s="218"/>
      <c r="Y89" s="218"/>
      <c r="AC89" s="218"/>
    </row>
    <row r="90" spans="1:30">
      <c r="B90" s="219"/>
      <c r="C90" s="218">
        <f>C86+C87+C88</f>
        <v>157092.37</v>
      </c>
      <c r="J90" s="218">
        <f>J86+J87+J88</f>
        <v>124788</v>
      </c>
      <c r="K90" s="218"/>
      <c r="N90" s="199" t="s">
        <v>137</v>
      </c>
      <c r="O90" s="218"/>
      <c r="S90" s="199" t="s">
        <v>137</v>
      </c>
      <c r="T90" s="218"/>
      <c r="X90" s="199" t="s">
        <v>173</v>
      </c>
      <c r="Y90" s="218"/>
      <c r="AC90" s="218"/>
    </row>
    <row r="91" spans="1:30">
      <c r="C91" s="218"/>
      <c r="J91" s="218"/>
      <c r="O91" s="218"/>
      <c r="T91" s="218" t="e">
        <f>T86+T87+T88</f>
        <v>#REF!</v>
      </c>
      <c r="Y91" s="218" t="e">
        <f>Y86+Y87+Y88</f>
        <v>#REF!</v>
      </c>
      <c r="AC91" s="218" t="e">
        <f>AC86+AC87+AC88</f>
        <v>#REF!</v>
      </c>
    </row>
    <row r="92" spans="1:30">
      <c r="C92" s="218"/>
      <c r="J92" s="218"/>
      <c r="O92" s="218"/>
      <c r="T92" s="218"/>
      <c r="Y92" s="218"/>
    </row>
    <row r="94" spans="1:30">
      <c r="B94" s="219" t="s">
        <v>195</v>
      </c>
      <c r="C94" s="218">
        <f>I82+N82+S82+X82+AC82</f>
        <v>2169.67</v>
      </c>
    </row>
    <row r="95" spans="1:30">
      <c r="B95" s="220" t="s">
        <v>196</v>
      </c>
      <c r="C95" s="218">
        <f>F82+K82+P82+U82+Z82</f>
        <v>344327</v>
      </c>
    </row>
    <row r="96" spans="1:30">
      <c r="B96" s="220" t="s">
        <v>197</v>
      </c>
      <c r="C96" s="218">
        <f>G82+L82+Q82+V82+AA82</f>
        <v>70184</v>
      </c>
    </row>
    <row r="97" spans="2:29">
      <c r="C97" s="218">
        <f>C94+C95+C96</f>
        <v>416680.67</v>
      </c>
      <c r="AC97" s="218" t="e">
        <f>AC91-865014</f>
        <v>#REF!</v>
      </c>
    </row>
    <row r="99" spans="2:29">
      <c r="B99" s="218">
        <f>127165-F82</f>
        <v>18208.300000000003</v>
      </c>
    </row>
    <row r="101" spans="2:29">
      <c r="Y101" s="221">
        <f>973249000-19710000-88655000</f>
        <v>864884000</v>
      </c>
    </row>
    <row r="104" spans="2:29">
      <c r="D104" s="221"/>
      <c r="E104" s="221"/>
    </row>
    <row r="105" spans="2:29">
      <c r="D105" s="221"/>
      <c r="E105" s="221"/>
    </row>
    <row r="110" spans="2:29">
      <c r="D110" s="218">
        <f>G82+L82+Q82+V82+AA82</f>
        <v>70184</v>
      </c>
    </row>
  </sheetData>
  <mergeCells count="41">
    <mergeCell ref="A57:A58"/>
    <mergeCell ref="B56:AD56"/>
    <mergeCell ref="A27:C27"/>
    <mergeCell ref="B31:AD31"/>
    <mergeCell ref="A82:C82"/>
    <mergeCell ref="A60:C60"/>
    <mergeCell ref="B63:AD63"/>
    <mergeCell ref="A65:C65"/>
    <mergeCell ref="B66:AD66"/>
    <mergeCell ref="A68:C68"/>
    <mergeCell ref="B69:AD69"/>
    <mergeCell ref="A73:C73"/>
    <mergeCell ref="B75:AD75"/>
    <mergeCell ref="A77:C77"/>
    <mergeCell ref="B78:AD78"/>
    <mergeCell ref="A81:C81"/>
    <mergeCell ref="B57:B58"/>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B53:AD53"/>
    <mergeCell ref="A55:C55"/>
    <mergeCell ref="B12:AD12"/>
    <mergeCell ref="A33:C33"/>
    <mergeCell ref="B34:AD34"/>
    <mergeCell ref="C38:C39"/>
    <mergeCell ref="C41:C45"/>
    <mergeCell ref="A50:C50"/>
    <mergeCell ref="C13:C14"/>
  </mergeCells>
  <pageMargins left="0.15748031496062992" right="0.15748031496062992" top="0.15748031496062992" bottom="0.35433070866141736" header="0.15748031496062992" footer="0.31"/>
  <pageSetup paperSize="9" scale="27" orientation="landscape" r:id="rId1"/>
  <rowBreaks count="4" manualBreakCount="4">
    <brk id="27" max="29" man="1"/>
    <brk id="46" max="29" man="1"/>
    <brk id="68" max="29" man="1"/>
    <brk id="82" max="16383" man="1"/>
  </rowBreaks>
  <colBreaks count="1" manualBreakCount="1">
    <brk id="30" max="1048575" man="1"/>
  </colBreaks>
  <legacyDrawing r:id="rId2"/>
</worksheet>
</file>

<file path=xl/worksheets/sheet5.xml><?xml version="1.0" encoding="utf-8"?>
<worksheet xmlns="http://schemas.openxmlformats.org/spreadsheetml/2006/main" xmlns:r="http://schemas.openxmlformats.org/officeDocument/2006/relationships">
  <dimension ref="A1:AF110"/>
  <sheetViews>
    <sheetView view="pageBreakPreview" zoomScale="60" workbookViewId="0">
      <pane xSplit="6" ySplit="13" topLeftCell="N47" activePane="bottomRight" state="frozen"/>
      <selection pane="topRight" activeCell="G1" sqref="G1"/>
      <selection pane="bottomLeft" activeCell="A14" sqref="A14"/>
      <selection pane="bottomRight" activeCell="AD51" sqref="AD51"/>
    </sheetView>
  </sheetViews>
  <sheetFormatPr defaultRowHeight="18.75"/>
  <cols>
    <col min="1" max="1" width="6.140625" style="240" customWidth="1"/>
    <col min="2" max="2" width="124.140625" style="199" customWidth="1"/>
    <col min="3" max="3" width="29" style="199" customWidth="1"/>
    <col min="4" max="4" width="31.42578125" style="199" customWidth="1"/>
    <col min="5" max="5" width="16.42578125" style="199" customWidth="1"/>
    <col min="6" max="6" width="15.7109375" style="199" customWidth="1"/>
    <col min="7" max="7" width="16.140625" style="199" customWidth="1"/>
    <col min="8" max="8" width="6.7109375" style="199" customWidth="1"/>
    <col min="9" max="9" width="15" style="199" customWidth="1"/>
    <col min="10" max="10" width="17.85546875" style="199" customWidth="1"/>
    <col min="11" max="11" width="13.28515625" style="199" customWidth="1"/>
    <col min="12" max="12" width="15" style="199" customWidth="1"/>
    <col min="13" max="13" width="5.28515625" style="199" customWidth="1"/>
    <col min="14" max="14" width="9.7109375" style="199" customWidth="1"/>
    <col min="15" max="15" width="17.140625" style="199" customWidth="1"/>
    <col min="16" max="16" width="13" style="199" customWidth="1"/>
    <col min="17" max="17" width="14.28515625" style="199" customWidth="1"/>
    <col min="18" max="18" width="9.7109375" style="199" customWidth="1"/>
    <col min="19" max="19" width="13" style="199" customWidth="1"/>
    <col min="20" max="20" width="14.140625" style="199" customWidth="1"/>
    <col min="21" max="21" width="12.7109375" style="199" customWidth="1"/>
    <col min="22" max="22" width="11.85546875" style="199" customWidth="1"/>
    <col min="23" max="23" width="9.28515625" style="199" customWidth="1"/>
    <col min="24" max="24" width="10.28515625" style="199" customWidth="1"/>
    <col min="25" max="25" width="15.28515625" style="199" customWidth="1"/>
    <col min="26" max="26" width="14.5703125" style="199" customWidth="1"/>
    <col min="27" max="28" width="9.7109375" style="199" customWidth="1"/>
    <col min="29" max="29" width="14.28515625" style="199" customWidth="1"/>
    <col min="30" max="30" width="13.140625" style="199" customWidth="1"/>
    <col min="31" max="16384" width="9.140625" style="200"/>
  </cols>
  <sheetData>
    <row r="1" spans="1:30">
      <c r="Z1" s="199" t="s">
        <v>260</v>
      </c>
    </row>
    <row r="2" spans="1:30">
      <c r="Z2" s="199" t="s">
        <v>261</v>
      </c>
    </row>
    <row r="3" spans="1:30">
      <c r="L3" s="245"/>
      <c r="M3" s="245"/>
      <c r="N3" s="245"/>
      <c r="O3" s="238"/>
      <c r="P3" s="238"/>
      <c r="Q3" s="238"/>
      <c r="R3" s="238"/>
      <c r="S3" s="238"/>
      <c r="T3" s="238"/>
      <c r="U3" s="238"/>
      <c r="V3" s="238"/>
      <c r="W3" s="238"/>
      <c r="X3" s="238"/>
      <c r="Y3" s="238"/>
      <c r="Z3" s="615" t="s">
        <v>262</v>
      </c>
      <c r="AA3" s="615"/>
      <c r="AB3" s="615"/>
      <c r="AC3" s="615"/>
      <c r="AD3" s="615"/>
    </row>
    <row r="4" spans="1:30">
      <c r="V4" s="616" t="s">
        <v>272</v>
      </c>
      <c r="W4" s="616"/>
      <c r="X4" s="616"/>
      <c r="Y4" s="616"/>
      <c r="Z4" s="616"/>
      <c r="AA4" s="616"/>
      <c r="AB4" s="616"/>
      <c r="AC4" s="616"/>
      <c r="AD4" s="616"/>
    </row>
    <row r="5" spans="1:30">
      <c r="A5" s="617" t="s">
        <v>0</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row>
    <row r="7" spans="1:30" ht="19.5">
      <c r="A7" s="618" t="s">
        <v>1</v>
      </c>
      <c r="B7" s="618" t="s">
        <v>219</v>
      </c>
      <c r="C7" s="618" t="s">
        <v>2</v>
      </c>
      <c r="D7" s="619" t="s">
        <v>3</v>
      </c>
      <c r="E7" s="622" t="s">
        <v>273</v>
      </c>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row>
    <row r="8" spans="1:30">
      <c r="A8" s="618"/>
      <c r="B8" s="618"/>
      <c r="C8" s="618"/>
      <c r="D8" s="620"/>
      <c r="E8" s="618" t="s">
        <v>88</v>
      </c>
      <c r="F8" s="618"/>
      <c r="G8" s="618"/>
      <c r="H8" s="618"/>
      <c r="I8" s="618"/>
      <c r="J8" s="618" t="s">
        <v>89</v>
      </c>
      <c r="K8" s="618"/>
      <c r="L8" s="618"/>
      <c r="M8" s="618"/>
      <c r="N8" s="618"/>
      <c r="O8" s="618" t="s">
        <v>90</v>
      </c>
      <c r="P8" s="618"/>
      <c r="Q8" s="618"/>
      <c r="R8" s="618"/>
      <c r="S8" s="618"/>
      <c r="T8" s="618" t="s">
        <v>91</v>
      </c>
      <c r="U8" s="618"/>
      <c r="V8" s="618"/>
      <c r="W8" s="618"/>
      <c r="X8" s="618"/>
      <c r="Y8" s="618" t="s">
        <v>92</v>
      </c>
      <c r="Z8" s="618"/>
      <c r="AA8" s="618"/>
      <c r="AB8" s="618"/>
      <c r="AC8" s="618"/>
      <c r="AD8" s="618" t="s">
        <v>5</v>
      </c>
    </row>
    <row r="9" spans="1:30" ht="152.25">
      <c r="A9" s="618"/>
      <c r="B9" s="618"/>
      <c r="C9" s="618"/>
      <c r="D9" s="621"/>
      <c r="E9" s="241" t="s">
        <v>6</v>
      </c>
      <c r="F9" s="201" t="s">
        <v>7</v>
      </c>
      <c r="G9" s="201" t="s">
        <v>8</v>
      </c>
      <c r="H9" s="201" t="s">
        <v>9</v>
      </c>
      <c r="I9" s="202" t="s">
        <v>10</v>
      </c>
      <c r="J9" s="247" t="s">
        <v>6</v>
      </c>
      <c r="K9" s="201" t="s">
        <v>7</v>
      </c>
      <c r="L9" s="201" t="s">
        <v>8</v>
      </c>
      <c r="M9" s="201" t="s">
        <v>9</v>
      </c>
      <c r="N9" s="202" t="s">
        <v>10</v>
      </c>
      <c r="O9" s="241" t="s">
        <v>6</v>
      </c>
      <c r="P9" s="201" t="s">
        <v>7</v>
      </c>
      <c r="Q9" s="201" t="s">
        <v>8</v>
      </c>
      <c r="R9" s="201" t="s">
        <v>9</v>
      </c>
      <c r="S9" s="202" t="s">
        <v>10</v>
      </c>
      <c r="T9" s="241" t="s">
        <v>6</v>
      </c>
      <c r="U9" s="201" t="s">
        <v>7</v>
      </c>
      <c r="V9" s="201" t="s">
        <v>8</v>
      </c>
      <c r="W9" s="201" t="s">
        <v>9</v>
      </c>
      <c r="X9" s="202" t="s">
        <v>10</v>
      </c>
      <c r="Y9" s="241" t="s">
        <v>6</v>
      </c>
      <c r="Z9" s="201" t="s">
        <v>7</v>
      </c>
      <c r="AA9" s="201" t="s">
        <v>8</v>
      </c>
      <c r="AB9" s="201" t="s">
        <v>9</v>
      </c>
      <c r="AC9" s="202" t="s">
        <v>10</v>
      </c>
      <c r="AD9" s="618"/>
    </row>
    <row r="10" spans="1:30">
      <c r="A10" s="203">
        <v>1</v>
      </c>
      <c r="B10" s="203">
        <v>2</v>
      </c>
      <c r="C10" s="203">
        <v>3</v>
      </c>
      <c r="D10" s="203">
        <v>4</v>
      </c>
      <c r="E10" s="203">
        <v>5</v>
      </c>
      <c r="F10" s="203">
        <v>6</v>
      </c>
      <c r="G10" s="203">
        <v>7</v>
      </c>
      <c r="H10" s="203">
        <v>8</v>
      </c>
      <c r="I10" s="203">
        <v>9</v>
      </c>
      <c r="J10" s="203">
        <v>10</v>
      </c>
      <c r="K10" s="203">
        <v>11</v>
      </c>
      <c r="L10" s="203">
        <v>12</v>
      </c>
      <c r="M10" s="203">
        <v>13</v>
      </c>
      <c r="N10" s="203">
        <v>14</v>
      </c>
      <c r="O10" s="203">
        <v>15</v>
      </c>
      <c r="P10" s="203">
        <v>16</v>
      </c>
      <c r="Q10" s="203">
        <v>17</v>
      </c>
      <c r="R10" s="203">
        <v>18</v>
      </c>
      <c r="S10" s="203">
        <v>19</v>
      </c>
      <c r="T10" s="203">
        <v>20</v>
      </c>
      <c r="U10" s="203">
        <v>21</v>
      </c>
      <c r="V10" s="203">
        <v>22</v>
      </c>
      <c r="W10" s="203">
        <v>23</v>
      </c>
      <c r="X10" s="203">
        <v>24</v>
      </c>
      <c r="Y10" s="203">
        <v>25</v>
      </c>
      <c r="Z10" s="203">
        <v>26</v>
      </c>
      <c r="AA10" s="203">
        <v>27</v>
      </c>
      <c r="AB10" s="203">
        <v>28</v>
      </c>
      <c r="AC10" s="203">
        <v>29</v>
      </c>
      <c r="AD10" s="203">
        <v>30</v>
      </c>
    </row>
    <row r="11" spans="1:30">
      <c r="A11" s="623" t="s">
        <v>274</v>
      </c>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5"/>
    </row>
    <row r="12" spans="1:30" ht="23.25">
      <c r="A12" s="41" t="s">
        <v>221</v>
      </c>
      <c r="B12" s="600" t="s">
        <v>275</v>
      </c>
      <c r="C12" s="601"/>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4"/>
    </row>
    <row r="13" spans="1:30" ht="139.5">
      <c r="A13" s="155" t="s">
        <v>12</v>
      </c>
      <c r="B13" s="173" t="s">
        <v>81</v>
      </c>
      <c r="C13" s="610" t="s">
        <v>14</v>
      </c>
      <c r="D13" s="204" t="s">
        <v>93</v>
      </c>
      <c r="E13" s="178">
        <f>SUM(F13:I13)</f>
        <v>28350</v>
      </c>
      <c r="F13" s="178">
        <f>43350-15000</f>
        <v>28350</v>
      </c>
      <c r="G13" s="178">
        <v>0</v>
      </c>
      <c r="H13" s="178">
        <v>0</v>
      </c>
      <c r="I13" s="178">
        <v>0</v>
      </c>
      <c r="J13" s="178">
        <f>K13+L13+M13+N13</f>
        <v>19722</v>
      </c>
      <c r="K13" s="178">
        <v>19722</v>
      </c>
      <c r="L13" s="178">
        <v>0</v>
      </c>
      <c r="M13" s="142">
        <v>0</v>
      </c>
      <c r="N13" s="142">
        <v>0</v>
      </c>
      <c r="O13" s="142">
        <v>0</v>
      </c>
      <c r="P13" s="142">
        <v>0</v>
      </c>
      <c r="Q13" s="142">
        <v>0</v>
      </c>
      <c r="R13" s="142">
        <v>0</v>
      </c>
      <c r="S13" s="142">
        <v>0</v>
      </c>
      <c r="T13" s="142">
        <f>U13+V13+W13+X13</f>
        <v>0</v>
      </c>
      <c r="U13" s="142">
        <v>0</v>
      </c>
      <c r="V13" s="142">
        <v>0</v>
      </c>
      <c r="W13" s="142">
        <v>0</v>
      </c>
      <c r="X13" s="142">
        <v>0</v>
      </c>
      <c r="Y13" s="142">
        <f>Z13+AA13+AB13+AC13</f>
        <v>35500</v>
      </c>
      <c r="Z13" s="142">
        <v>35500</v>
      </c>
      <c r="AA13" s="142">
        <v>0</v>
      </c>
      <c r="AB13" s="142">
        <v>0</v>
      </c>
      <c r="AC13" s="142">
        <v>0</v>
      </c>
      <c r="AD13" s="148">
        <f t="shared" ref="AD13:AD18" si="0">E13+J13+O13+T13+Y13</f>
        <v>83572</v>
      </c>
    </row>
    <row r="14" spans="1:30" ht="162.75">
      <c r="A14" s="155" t="s">
        <v>13</v>
      </c>
      <c r="B14" s="174" t="s">
        <v>268</v>
      </c>
      <c r="C14" s="612"/>
      <c r="D14" s="204" t="s">
        <v>93</v>
      </c>
      <c r="E14" s="178">
        <f>SUM(F14:I14)</f>
        <v>7359</v>
      </c>
      <c r="F14" s="178">
        <f>12748-5387-2060</f>
        <v>5301</v>
      </c>
      <c r="G14" s="178">
        <v>0</v>
      </c>
      <c r="H14" s="178">
        <v>0</v>
      </c>
      <c r="I14" s="178">
        <f>4602-2544</f>
        <v>2058</v>
      </c>
      <c r="J14" s="178">
        <v>0</v>
      </c>
      <c r="K14" s="178">
        <v>0</v>
      </c>
      <c r="L14" s="178">
        <v>0</v>
      </c>
      <c r="M14" s="142">
        <v>0</v>
      </c>
      <c r="N14" s="142">
        <v>0</v>
      </c>
      <c r="O14" s="142">
        <v>0</v>
      </c>
      <c r="P14" s="142">
        <v>0</v>
      </c>
      <c r="Q14" s="142">
        <v>0</v>
      </c>
      <c r="R14" s="142">
        <v>0</v>
      </c>
      <c r="S14" s="142">
        <v>0</v>
      </c>
      <c r="T14" s="142">
        <f>U14+V14+W14+X14</f>
        <v>0</v>
      </c>
      <c r="U14" s="142">
        <v>0</v>
      </c>
      <c r="V14" s="142">
        <v>0</v>
      </c>
      <c r="W14" s="142">
        <v>0</v>
      </c>
      <c r="X14" s="142">
        <v>0</v>
      </c>
      <c r="Y14" s="142">
        <f>Z14+AA14+AB14+AC14</f>
        <v>0</v>
      </c>
      <c r="Z14" s="142">
        <v>0</v>
      </c>
      <c r="AA14" s="142">
        <v>0</v>
      </c>
      <c r="AB14" s="142">
        <v>0</v>
      </c>
      <c r="AC14" s="142">
        <v>0</v>
      </c>
      <c r="AD14" s="148">
        <f t="shared" si="0"/>
        <v>7359</v>
      </c>
    </row>
    <row r="15" spans="1:30" ht="116.25">
      <c r="A15" s="155" t="s">
        <v>15</v>
      </c>
      <c r="B15" s="191" t="s">
        <v>117</v>
      </c>
      <c r="C15" s="237" t="s">
        <v>218</v>
      </c>
      <c r="D15" s="41" t="s">
        <v>93</v>
      </c>
      <c r="E15" s="178">
        <f>F15+G15+H15+I15</f>
        <v>8260</v>
      </c>
      <c r="F15" s="178">
        <f>8260</f>
        <v>8260</v>
      </c>
      <c r="G15" s="178">
        <v>0</v>
      </c>
      <c r="H15" s="178">
        <v>0</v>
      </c>
      <c r="I15" s="178">
        <v>0</v>
      </c>
      <c r="J15" s="178">
        <f>K15+L15+M15+N15</f>
        <v>11513</v>
      </c>
      <c r="K15" s="178">
        <v>11513</v>
      </c>
      <c r="L15" s="178">
        <v>0</v>
      </c>
      <c r="M15" s="142">
        <v>0</v>
      </c>
      <c r="N15" s="142">
        <v>0</v>
      </c>
      <c r="O15" s="142">
        <f>P15+Q15+R15+S15</f>
        <v>0</v>
      </c>
      <c r="P15" s="142">
        <v>0</v>
      </c>
      <c r="Q15" s="142">
        <v>0</v>
      </c>
      <c r="R15" s="142">
        <v>0</v>
      </c>
      <c r="S15" s="142">
        <v>0</v>
      </c>
      <c r="T15" s="142">
        <f>U15+V15+W15+X15</f>
        <v>0</v>
      </c>
      <c r="U15" s="142">
        <v>0</v>
      </c>
      <c r="V15" s="142">
        <v>0</v>
      </c>
      <c r="W15" s="142">
        <v>0</v>
      </c>
      <c r="X15" s="142">
        <v>0</v>
      </c>
      <c r="Y15" s="142">
        <v>12655.3</v>
      </c>
      <c r="Z15" s="142">
        <v>12655.3</v>
      </c>
      <c r="AA15" s="142">
        <v>0</v>
      </c>
      <c r="AB15" s="142">
        <v>0</v>
      </c>
      <c r="AC15" s="142">
        <v>0</v>
      </c>
      <c r="AD15" s="148">
        <f t="shared" si="0"/>
        <v>32428.3</v>
      </c>
    </row>
    <row r="16" spans="1:30" ht="116.25">
      <c r="A16" s="155" t="s">
        <v>16</v>
      </c>
      <c r="B16" s="175" t="s">
        <v>270</v>
      </c>
      <c r="C16" s="205" t="s">
        <v>14</v>
      </c>
      <c r="D16" s="41" t="s">
        <v>93</v>
      </c>
      <c r="E16" s="178">
        <f>F16+G16+H16+I16</f>
        <v>586.36999999999978</v>
      </c>
      <c r="F16" s="178">
        <f>3300-2825.3</f>
        <v>474.69999999999982</v>
      </c>
      <c r="G16" s="178">
        <v>0</v>
      </c>
      <c r="H16" s="178">
        <v>0</v>
      </c>
      <c r="I16" s="178">
        <f>775-663.33</f>
        <v>111.66999999999996</v>
      </c>
      <c r="J16" s="178">
        <v>0</v>
      </c>
      <c r="K16" s="178">
        <v>0</v>
      </c>
      <c r="L16" s="178">
        <v>0</v>
      </c>
      <c r="M16" s="142">
        <v>0</v>
      </c>
      <c r="N16" s="142">
        <v>0</v>
      </c>
      <c r="O16" s="142">
        <v>0</v>
      </c>
      <c r="P16" s="142">
        <v>0</v>
      </c>
      <c r="Q16" s="142">
        <v>0</v>
      </c>
      <c r="R16" s="142">
        <v>0</v>
      </c>
      <c r="S16" s="142">
        <v>0</v>
      </c>
      <c r="T16" s="142">
        <v>0</v>
      </c>
      <c r="U16" s="142">
        <v>0</v>
      </c>
      <c r="V16" s="142">
        <v>0</v>
      </c>
      <c r="W16" s="142">
        <v>0</v>
      </c>
      <c r="X16" s="142">
        <v>0</v>
      </c>
      <c r="Y16" s="142">
        <v>0</v>
      </c>
      <c r="Z16" s="142">
        <v>0</v>
      </c>
      <c r="AA16" s="142">
        <v>0</v>
      </c>
      <c r="AB16" s="142">
        <v>0</v>
      </c>
      <c r="AC16" s="142">
        <v>0</v>
      </c>
      <c r="AD16" s="148">
        <f t="shared" si="0"/>
        <v>586.36999999999978</v>
      </c>
    </row>
    <row r="17" spans="1:31" ht="75">
      <c r="A17" s="155" t="s">
        <v>17</v>
      </c>
      <c r="B17" s="175" t="s">
        <v>210</v>
      </c>
      <c r="C17" s="237" t="s">
        <v>94</v>
      </c>
      <c r="D17" s="141">
        <v>2020</v>
      </c>
      <c r="E17" s="178">
        <f t="shared" ref="E17:E22" si="1">F17+G17+H17+I17</f>
        <v>1192</v>
      </c>
      <c r="F17" s="178">
        <v>1192</v>
      </c>
      <c r="G17" s="178">
        <v>0</v>
      </c>
      <c r="H17" s="178">
        <v>0</v>
      </c>
      <c r="I17" s="178">
        <v>0</v>
      </c>
      <c r="J17" s="178">
        <f t="shared" ref="J17:J22" si="2">K17+L17+M17+N17</f>
        <v>0</v>
      </c>
      <c r="K17" s="178">
        <v>0</v>
      </c>
      <c r="L17" s="178">
        <v>0</v>
      </c>
      <c r="M17" s="142">
        <v>0</v>
      </c>
      <c r="N17" s="142">
        <v>0</v>
      </c>
      <c r="O17" s="142">
        <f>P17+Q17+R17+S17</f>
        <v>0</v>
      </c>
      <c r="P17" s="142">
        <v>0</v>
      </c>
      <c r="Q17" s="142">
        <v>0</v>
      </c>
      <c r="R17" s="142">
        <v>0</v>
      </c>
      <c r="S17" s="142">
        <v>0</v>
      </c>
      <c r="T17" s="142">
        <f>U17+V17+W17+X17</f>
        <v>0</v>
      </c>
      <c r="U17" s="142">
        <v>0</v>
      </c>
      <c r="V17" s="142">
        <v>0</v>
      </c>
      <c r="W17" s="142">
        <v>0</v>
      </c>
      <c r="X17" s="142">
        <v>0</v>
      </c>
      <c r="Y17" s="142">
        <f>Z17+AA17+AB17+AC17</f>
        <v>0</v>
      </c>
      <c r="Z17" s="142">
        <v>0</v>
      </c>
      <c r="AA17" s="142">
        <v>0</v>
      </c>
      <c r="AB17" s="142">
        <v>0</v>
      </c>
      <c r="AC17" s="142">
        <v>0</v>
      </c>
      <c r="AD17" s="142">
        <f t="shared" si="0"/>
        <v>1192</v>
      </c>
    </row>
    <row r="18" spans="1:31" ht="75">
      <c r="A18" s="155" t="s">
        <v>163</v>
      </c>
      <c r="B18" s="175" t="s">
        <v>121</v>
      </c>
      <c r="C18" s="237" t="s">
        <v>94</v>
      </c>
      <c r="D18" s="141" t="s">
        <v>164</v>
      </c>
      <c r="E18" s="178">
        <f t="shared" si="1"/>
        <v>6060</v>
      </c>
      <c r="F18" s="178">
        <f>6183-123</f>
        <v>6060</v>
      </c>
      <c r="G18" s="178">
        <v>0</v>
      </c>
      <c r="H18" s="178">
        <v>0</v>
      </c>
      <c r="I18" s="178">
        <v>0</v>
      </c>
      <c r="J18" s="178">
        <f t="shared" si="2"/>
        <v>5832</v>
      </c>
      <c r="K18" s="178">
        <v>5832</v>
      </c>
      <c r="L18" s="178">
        <v>0</v>
      </c>
      <c r="M18" s="142">
        <v>0</v>
      </c>
      <c r="N18" s="142">
        <v>0</v>
      </c>
      <c r="O18" s="142">
        <f>P18+Q18+R18+S18</f>
        <v>0</v>
      </c>
      <c r="P18" s="142">
        <v>0</v>
      </c>
      <c r="Q18" s="142">
        <v>0</v>
      </c>
      <c r="R18" s="142">
        <v>0</v>
      </c>
      <c r="S18" s="142">
        <v>0</v>
      </c>
      <c r="T18" s="142">
        <f>U18+V18+W18+X18</f>
        <v>0</v>
      </c>
      <c r="U18" s="142">
        <v>0</v>
      </c>
      <c r="V18" s="142">
        <v>0</v>
      </c>
      <c r="W18" s="142">
        <v>0</v>
      </c>
      <c r="X18" s="142">
        <v>0</v>
      </c>
      <c r="Y18" s="142">
        <v>6150</v>
      </c>
      <c r="Z18" s="142">
        <v>6150</v>
      </c>
      <c r="AA18" s="142">
        <v>0</v>
      </c>
      <c r="AB18" s="142">
        <v>0</v>
      </c>
      <c r="AC18" s="142">
        <v>0</v>
      </c>
      <c r="AD18" s="142">
        <f t="shared" si="0"/>
        <v>18042</v>
      </c>
    </row>
    <row r="19" spans="1:31" ht="75">
      <c r="A19" s="155" t="s">
        <v>182</v>
      </c>
      <c r="B19" s="170" t="s">
        <v>124</v>
      </c>
      <c r="C19" s="237" t="s">
        <v>94</v>
      </c>
      <c r="D19" s="141" t="s">
        <v>282</v>
      </c>
      <c r="E19" s="178">
        <f t="shared" si="1"/>
        <v>785</v>
      </c>
      <c r="F19" s="178">
        <v>785</v>
      </c>
      <c r="G19" s="178">
        <v>0</v>
      </c>
      <c r="H19" s="178">
        <v>0</v>
      </c>
      <c r="I19" s="178">
        <v>0</v>
      </c>
      <c r="J19" s="178">
        <f t="shared" si="2"/>
        <v>90</v>
      </c>
      <c r="K19" s="178">
        <v>90</v>
      </c>
      <c r="L19" s="178">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f>E19+J19+O19+T19+Y19</f>
        <v>875</v>
      </c>
    </row>
    <row r="20" spans="1:31" ht="75">
      <c r="A20" s="155" t="s">
        <v>208</v>
      </c>
      <c r="B20" s="170" t="s">
        <v>126</v>
      </c>
      <c r="C20" s="237" t="s">
        <v>94</v>
      </c>
      <c r="D20" s="141">
        <v>2020</v>
      </c>
      <c r="E20" s="178">
        <f t="shared" si="1"/>
        <v>110</v>
      </c>
      <c r="F20" s="178">
        <v>110</v>
      </c>
      <c r="G20" s="178">
        <v>0</v>
      </c>
      <c r="H20" s="178">
        <v>0</v>
      </c>
      <c r="I20" s="178">
        <v>0</v>
      </c>
      <c r="J20" s="178">
        <f t="shared" si="2"/>
        <v>0</v>
      </c>
      <c r="K20" s="178">
        <v>0</v>
      </c>
      <c r="L20" s="178">
        <v>0</v>
      </c>
      <c r="M20" s="142">
        <v>0</v>
      </c>
      <c r="N20" s="142">
        <v>0</v>
      </c>
      <c r="O20" s="142">
        <f t="shared" ref="O20:O26" si="3">P20+Q20+R20+S20</f>
        <v>0</v>
      </c>
      <c r="P20" s="142">
        <v>0</v>
      </c>
      <c r="Q20" s="142">
        <v>0</v>
      </c>
      <c r="R20" s="142">
        <v>0</v>
      </c>
      <c r="S20" s="142">
        <v>0</v>
      </c>
      <c r="T20" s="142">
        <f>U20+V20+W20+X20</f>
        <v>0</v>
      </c>
      <c r="U20" s="142">
        <v>0</v>
      </c>
      <c r="V20" s="142">
        <v>0</v>
      </c>
      <c r="W20" s="142">
        <v>0</v>
      </c>
      <c r="X20" s="142">
        <v>0</v>
      </c>
      <c r="Y20" s="142">
        <f>Z20+AA20+AB20+AC20</f>
        <v>0</v>
      </c>
      <c r="Z20" s="142">
        <v>0</v>
      </c>
      <c r="AA20" s="142">
        <v>0</v>
      </c>
      <c r="AB20" s="142">
        <v>0</v>
      </c>
      <c r="AC20" s="142">
        <v>0</v>
      </c>
      <c r="AD20" s="142">
        <f t="shared" ref="AD20:AD26" si="4">E20+J20+O20+T20+Y20</f>
        <v>110</v>
      </c>
    </row>
    <row r="21" spans="1:31" ht="93">
      <c r="A21" s="155" t="s">
        <v>211</v>
      </c>
      <c r="B21" s="170" t="s">
        <v>122</v>
      </c>
      <c r="C21" s="237" t="s">
        <v>94</v>
      </c>
      <c r="D21" s="141">
        <v>2020</v>
      </c>
      <c r="E21" s="178">
        <f t="shared" si="1"/>
        <v>53</v>
      </c>
      <c r="F21" s="178">
        <v>53</v>
      </c>
      <c r="G21" s="178">
        <v>0</v>
      </c>
      <c r="H21" s="178">
        <v>0</v>
      </c>
      <c r="I21" s="178">
        <v>0</v>
      </c>
      <c r="J21" s="178">
        <f t="shared" si="2"/>
        <v>0</v>
      </c>
      <c r="K21" s="178">
        <v>0</v>
      </c>
      <c r="L21" s="178">
        <v>0</v>
      </c>
      <c r="M21" s="142">
        <v>0</v>
      </c>
      <c r="N21" s="142">
        <v>0</v>
      </c>
      <c r="O21" s="142">
        <f t="shared" si="3"/>
        <v>0</v>
      </c>
      <c r="P21" s="142">
        <v>0</v>
      </c>
      <c r="Q21" s="142">
        <v>0</v>
      </c>
      <c r="R21" s="142">
        <v>0</v>
      </c>
      <c r="S21" s="142">
        <v>0</v>
      </c>
      <c r="T21" s="142">
        <f>U21+V21+W21+X21</f>
        <v>0</v>
      </c>
      <c r="U21" s="142">
        <v>0</v>
      </c>
      <c r="V21" s="142">
        <v>0</v>
      </c>
      <c r="W21" s="142">
        <v>0</v>
      </c>
      <c r="X21" s="142">
        <v>0</v>
      </c>
      <c r="Y21" s="142">
        <f>Z21+AA21+AB21+AC21</f>
        <v>0</v>
      </c>
      <c r="Z21" s="142">
        <v>0</v>
      </c>
      <c r="AA21" s="142">
        <v>0</v>
      </c>
      <c r="AB21" s="142">
        <v>0</v>
      </c>
      <c r="AC21" s="142">
        <v>0</v>
      </c>
      <c r="AD21" s="142">
        <f t="shared" si="4"/>
        <v>53</v>
      </c>
    </row>
    <row r="22" spans="1:31" ht="75">
      <c r="A22" s="155" t="s">
        <v>212</v>
      </c>
      <c r="B22" s="170" t="s">
        <v>123</v>
      </c>
      <c r="C22" s="237" t="s">
        <v>94</v>
      </c>
      <c r="D22" s="141">
        <v>2020</v>
      </c>
      <c r="E22" s="178">
        <f t="shared" si="1"/>
        <v>130</v>
      </c>
      <c r="F22" s="178">
        <f>112+18</f>
        <v>130</v>
      </c>
      <c r="G22" s="178">
        <v>0</v>
      </c>
      <c r="H22" s="178">
        <v>0</v>
      </c>
      <c r="I22" s="178">
        <v>0</v>
      </c>
      <c r="J22" s="178">
        <f t="shared" si="2"/>
        <v>0</v>
      </c>
      <c r="K22" s="178">
        <v>0</v>
      </c>
      <c r="L22" s="178">
        <v>0</v>
      </c>
      <c r="M22" s="142">
        <v>0</v>
      </c>
      <c r="N22" s="142">
        <v>0</v>
      </c>
      <c r="O22" s="142">
        <f t="shared" si="3"/>
        <v>0</v>
      </c>
      <c r="P22" s="142">
        <v>0</v>
      </c>
      <c r="Q22" s="142">
        <v>0</v>
      </c>
      <c r="R22" s="142">
        <v>0</v>
      </c>
      <c r="S22" s="142">
        <v>0</v>
      </c>
      <c r="T22" s="142">
        <f>U22+V22+W22+X22</f>
        <v>0</v>
      </c>
      <c r="U22" s="142">
        <v>0</v>
      </c>
      <c r="V22" s="142">
        <v>0</v>
      </c>
      <c r="W22" s="142">
        <v>0</v>
      </c>
      <c r="X22" s="142">
        <v>0</v>
      </c>
      <c r="Y22" s="142">
        <f>Z22+AA22+AB22+AC22</f>
        <v>0</v>
      </c>
      <c r="Z22" s="142">
        <v>0</v>
      </c>
      <c r="AA22" s="142">
        <v>0</v>
      </c>
      <c r="AB22" s="142">
        <v>0</v>
      </c>
      <c r="AC22" s="142">
        <v>0</v>
      </c>
      <c r="AD22" s="142">
        <f t="shared" si="4"/>
        <v>130</v>
      </c>
    </row>
    <row r="23" spans="1:31" ht="93">
      <c r="A23" s="155" t="s">
        <v>213</v>
      </c>
      <c r="B23" s="170" t="s">
        <v>125</v>
      </c>
      <c r="C23" s="237" t="s">
        <v>94</v>
      </c>
      <c r="D23" s="141" t="s">
        <v>164</v>
      </c>
      <c r="E23" s="178">
        <v>120</v>
      </c>
      <c r="F23" s="178">
        <v>120</v>
      </c>
      <c r="G23" s="178">
        <v>0</v>
      </c>
      <c r="H23" s="178">
        <v>0</v>
      </c>
      <c r="I23" s="178">
        <v>0</v>
      </c>
      <c r="J23" s="178">
        <f>K23+L23+M23+N23</f>
        <v>60</v>
      </c>
      <c r="K23" s="178">
        <v>60</v>
      </c>
      <c r="L23" s="178">
        <v>0</v>
      </c>
      <c r="M23" s="142">
        <v>0</v>
      </c>
      <c r="N23" s="142">
        <v>0</v>
      </c>
      <c r="O23" s="142">
        <f t="shared" si="3"/>
        <v>0</v>
      </c>
      <c r="P23" s="142">
        <v>0</v>
      </c>
      <c r="Q23" s="142">
        <v>0</v>
      </c>
      <c r="R23" s="142">
        <v>0</v>
      </c>
      <c r="S23" s="142">
        <v>0</v>
      </c>
      <c r="T23" s="142">
        <f>U23+V23+W23+X23</f>
        <v>0</v>
      </c>
      <c r="U23" s="142">
        <v>0</v>
      </c>
      <c r="V23" s="142">
        <v>0</v>
      </c>
      <c r="W23" s="142">
        <v>0</v>
      </c>
      <c r="X23" s="142">
        <v>0</v>
      </c>
      <c r="Y23" s="142">
        <v>90</v>
      </c>
      <c r="Z23" s="142">
        <v>90</v>
      </c>
      <c r="AA23" s="142">
        <v>0</v>
      </c>
      <c r="AB23" s="142">
        <v>0</v>
      </c>
      <c r="AC23" s="142">
        <v>0</v>
      </c>
      <c r="AD23" s="142">
        <f t="shared" si="4"/>
        <v>270</v>
      </c>
    </row>
    <row r="24" spans="1:31" ht="56.25">
      <c r="A24" s="155" t="s">
        <v>214</v>
      </c>
      <c r="B24" s="170" t="s">
        <v>205</v>
      </c>
      <c r="C24" s="237" t="s">
        <v>52</v>
      </c>
      <c r="D24" s="141" t="s">
        <v>287</v>
      </c>
      <c r="E24" s="178">
        <v>23068</v>
      </c>
      <c r="F24" s="178">
        <v>0</v>
      </c>
      <c r="G24" s="178">
        <v>23068</v>
      </c>
      <c r="H24" s="178">
        <v>0</v>
      </c>
      <c r="I24" s="178">
        <v>0</v>
      </c>
      <c r="J24" s="178">
        <f>K24+L24+M24+N24</f>
        <v>23742</v>
      </c>
      <c r="K24" s="178">
        <v>0</v>
      </c>
      <c r="L24" s="178">
        <v>23742</v>
      </c>
      <c r="M24" s="142">
        <v>0</v>
      </c>
      <c r="N24" s="142">
        <v>0</v>
      </c>
      <c r="O24" s="142">
        <f t="shared" si="3"/>
        <v>0</v>
      </c>
      <c r="P24" s="142">
        <v>0</v>
      </c>
      <c r="Q24" s="142">
        <v>0</v>
      </c>
      <c r="R24" s="142">
        <v>0</v>
      </c>
      <c r="S24" s="142">
        <v>0</v>
      </c>
      <c r="T24" s="142">
        <v>0</v>
      </c>
      <c r="U24" s="142">
        <v>0</v>
      </c>
      <c r="V24" s="142">
        <v>0</v>
      </c>
      <c r="W24" s="142">
        <v>0</v>
      </c>
      <c r="X24" s="142">
        <v>0</v>
      </c>
      <c r="Y24" s="142">
        <v>0</v>
      </c>
      <c r="Z24" s="142">
        <v>0</v>
      </c>
      <c r="AA24" s="142">
        <v>0</v>
      </c>
      <c r="AB24" s="142">
        <v>0</v>
      </c>
      <c r="AC24" s="142">
        <v>0</v>
      </c>
      <c r="AD24" s="142">
        <f t="shared" si="4"/>
        <v>46810</v>
      </c>
    </row>
    <row r="25" spans="1:31" ht="56.25">
      <c r="A25" s="155" t="s">
        <v>215</v>
      </c>
      <c r="B25" s="170" t="s">
        <v>198</v>
      </c>
      <c r="C25" s="237" t="s">
        <v>52</v>
      </c>
      <c r="D25" s="141" t="s">
        <v>287</v>
      </c>
      <c r="E25" s="178">
        <v>238</v>
      </c>
      <c r="F25" s="179">
        <v>0</v>
      </c>
      <c r="G25" s="178">
        <v>238</v>
      </c>
      <c r="H25" s="178">
        <v>0</v>
      </c>
      <c r="I25" s="178">
        <v>0</v>
      </c>
      <c r="J25" s="178">
        <f>K25+L25+M25+N25</f>
        <v>476</v>
      </c>
      <c r="K25" s="178">
        <v>0</v>
      </c>
      <c r="L25" s="178">
        <v>476</v>
      </c>
      <c r="M25" s="142">
        <v>0</v>
      </c>
      <c r="N25" s="142">
        <v>0</v>
      </c>
      <c r="O25" s="142">
        <f t="shared" si="3"/>
        <v>0</v>
      </c>
      <c r="P25" s="142">
        <v>0</v>
      </c>
      <c r="Q25" s="142">
        <v>0</v>
      </c>
      <c r="R25" s="142">
        <v>0</v>
      </c>
      <c r="S25" s="142">
        <v>0</v>
      </c>
      <c r="T25" s="142">
        <v>0</v>
      </c>
      <c r="U25" s="142">
        <v>0</v>
      </c>
      <c r="V25" s="142">
        <v>0</v>
      </c>
      <c r="W25" s="142">
        <v>0</v>
      </c>
      <c r="X25" s="142">
        <v>0</v>
      </c>
      <c r="Y25" s="142">
        <v>0</v>
      </c>
      <c r="Z25" s="142">
        <v>0</v>
      </c>
      <c r="AA25" s="142">
        <v>0</v>
      </c>
      <c r="AB25" s="142">
        <v>0</v>
      </c>
      <c r="AC25" s="142">
        <v>0</v>
      </c>
      <c r="AD25" s="142">
        <f t="shared" si="4"/>
        <v>714</v>
      </c>
    </row>
    <row r="26" spans="1:31" ht="75">
      <c r="A26" s="155" t="s">
        <v>216</v>
      </c>
      <c r="B26" s="175" t="s">
        <v>217</v>
      </c>
      <c r="C26" s="237" t="s">
        <v>94</v>
      </c>
      <c r="D26" s="141">
        <v>2020</v>
      </c>
      <c r="E26" s="178">
        <f>F26+G26+H26+I26</f>
        <v>120</v>
      </c>
      <c r="F26" s="178">
        <f>300-180</f>
        <v>120</v>
      </c>
      <c r="G26" s="178">
        <v>0</v>
      </c>
      <c r="H26" s="178">
        <v>0</v>
      </c>
      <c r="I26" s="178">
        <v>0</v>
      </c>
      <c r="J26" s="178">
        <f>K26+L26+M26+N26</f>
        <v>0</v>
      </c>
      <c r="K26" s="178">
        <v>0</v>
      </c>
      <c r="L26" s="178">
        <v>0</v>
      </c>
      <c r="M26" s="142">
        <v>0</v>
      </c>
      <c r="N26" s="142">
        <v>0</v>
      </c>
      <c r="O26" s="142">
        <f t="shared" si="3"/>
        <v>0</v>
      </c>
      <c r="P26" s="142">
        <v>0</v>
      </c>
      <c r="Q26" s="142">
        <v>0</v>
      </c>
      <c r="R26" s="142">
        <v>0</v>
      </c>
      <c r="S26" s="142">
        <v>0</v>
      </c>
      <c r="T26" s="142">
        <f>U26+V26+W26+X26</f>
        <v>0</v>
      </c>
      <c r="U26" s="142">
        <v>0</v>
      </c>
      <c r="V26" s="142">
        <v>0</v>
      </c>
      <c r="W26" s="142">
        <v>0</v>
      </c>
      <c r="X26" s="142">
        <v>0</v>
      </c>
      <c r="Y26" s="142">
        <f>Z26+AA26+AB26+AC26</f>
        <v>0</v>
      </c>
      <c r="Z26" s="142">
        <v>0</v>
      </c>
      <c r="AA26" s="142">
        <v>0</v>
      </c>
      <c r="AB26" s="142">
        <v>0</v>
      </c>
      <c r="AC26" s="142">
        <v>0</v>
      </c>
      <c r="AD26" s="142">
        <f t="shared" si="4"/>
        <v>120</v>
      </c>
    </row>
    <row r="27" spans="1:31" ht="23.25">
      <c r="A27" s="575" t="s">
        <v>19</v>
      </c>
      <c r="B27" s="575"/>
      <c r="C27" s="575"/>
      <c r="D27" s="206"/>
      <c r="E27" s="148">
        <f>E28+E29+E30</f>
        <v>76431.37</v>
      </c>
      <c r="F27" s="148">
        <f>SUM(F13:F26)</f>
        <v>50955.7</v>
      </c>
      <c r="G27" s="148">
        <f>G28+G29+G30</f>
        <v>23306</v>
      </c>
      <c r="H27" s="148">
        <f>SUM(H13:H17)</f>
        <v>0</v>
      </c>
      <c r="I27" s="148">
        <f>SUM(I13:I17)</f>
        <v>2169.67</v>
      </c>
      <c r="J27" s="148">
        <f>J28+J29+J30</f>
        <v>61435</v>
      </c>
      <c r="K27" s="148">
        <f>K28+K29</f>
        <v>37217</v>
      </c>
      <c r="L27" s="148">
        <f>L13+L14+L15+L16+L17+L18+L19+L20+L21+L22+L23+L24+L25+L26</f>
        <v>24218</v>
      </c>
      <c r="M27" s="148">
        <f>SUM(M13:M17)</f>
        <v>0</v>
      </c>
      <c r="N27" s="148">
        <f>SUM(N13:N17)</f>
        <v>0</v>
      </c>
      <c r="O27" s="148">
        <f>O28+O29</f>
        <v>0</v>
      </c>
      <c r="P27" s="148">
        <f>P28+P29</f>
        <v>0</v>
      </c>
      <c r="Q27" s="148">
        <f>SUM(Q13:Q17)</f>
        <v>0</v>
      </c>
      <c r="R27" s="148">
        <f>SUM(R13:R17)</f>
        <v>0</v>
      </c>
      <c r="S27" s="148">
        <f>SUM(S13:S17)</f>
        <v>0</v>
      </c>
      <c r="T27" s="148">
        <f>SUM(T13:T26)</f>
        <v>0</v>
      </c>
      <c r="U27" s="148">
        <f>SUM(U13:U26)</f>
        <v>0</v>
      </c>
      <c r="V27" s="148">
        <f>SUM(V13:V17)</f>
        <v>0</v>
      </c>
      <c r="W27" s="148">
        <f>SUM(W13:W16)</f>
        <v>0</v>
      </c>
      <c r="X27" s="148">
        <f>SUM(X13:X16)</f>
        <v>0</v>
      </c>
      <c r="Y27" s="148">
        <f>Y28+Y29</f>
        <v>54395.3</v>
      </c>
      <c r="Z27" s="148">
        <f>Z28+Z29+Z30</f>
        <v>54395.3</v>
      </c>
      <c r="AA27" s="148">
        <f>SUM(AA13:AA17)</f>
        <v>0</v>
      </c>
      <c r="AB27" s="148">
        <f>SUM(AB13:AB17)</f>
        <v>0</v>
      </c>
      <c r="AC27" s="148">
        <f>SUM(AC13:AC17)</f>
        <v>0</v>
      </c>
      <c r="AD27" s="148">
        <f>SUM(AD13:AD26)</f>
        <v>192261.66999999998</v>
      </c>
    </row>
    <row r="28" spans="1:31" ht="23.25">
      <c r="A28" s="235" t="s">
        <v>14</v>
      </c>
      <c r="B28" s="243"/>
      <c r="C28" s="244"/>
      <c r="D28" s="157"/>
      <c r="E28" s="142">
        <f>F28+G28+H28+I28</f>
        <v>36295.369999999995</v>
      </c>
      <c r="F28" s="142">
        <f>F13+F14+F16</f>
        <v>34125.699999999997</v>
      </c>
      <c r="G28" s="142">
        <f>G13+G14+G16</f>
        <v>0</v>
      </c>
      <c r="H28" s="142">
        <f>G13+G14+G16</f>
        <v>0</v>
      </c>
      <c r="I28" s="142">
        <f>I14+I16</f>
        <v>2169.67</v>
      </c>
      <c r="J28" s="142">
        <f t="shared" ref="J28:V28" si="5">J13+J14+J16</f>
        <v>19722</v>
      </c>
      <c r="K28" s="142">
        <f t="shared" si="5"/>
        <v>19722</v>
      </c>
      <c r="L28" s="142">
        <f t="shared" si="5"/>
        <v>0</v>
      </c>
      <c r="M28" s="142">
        <f t="shared" si="5"/>
        <v>0</v>
      </c>
      <c r="N28" s="142">
        <f t="shared" si="5"/>
        <v>0</v>
      </c>
      <c r="O28" s="142">
        <f t="shared" si="5"/>
        <v>0</v>
      </c>
      <c r="P28" s="142">
        <f t="shared" si="5"/>
        <v>0</v>
      </c>
      <c r="Q28" s="142">
        <f t="shared" si="5"/>
        <v>0</v>
      </c>
      <c r="R28" s="142">
        <f t="shared" si="5"/>
        <v>0</v>
      </c>
      <c r="S28" s="142">
        <f t="shared" si="5"/>
        <v>0</v>
      </c>
      <c r="T28" s="142">
        <f t="shared" si="5"/>
        <v>0</v>
      </c>
      <c r="U28" s="142">
        <f t="shared" si="5"/>
        <v>0</v>
      </c>
      <c r="V28" s="142">
        <f t="shared" si="5"/>
        <v>0</v>
      </c>
      <c r="W28" s="142">
        <f>V13+V14+V27</f>
        <v>0</v>
      </c>
      <c r="X28" s="142">
        <f t="shared" ref="X28:AC28" si="6">X13+X14+X16</f>
        <v>0</v>
      </c>
      <c r="Y28" s="142">
        <f t="shared" si="6"/>
        <v>35500</v>
      </c>
      <c r="Z28" s="142">
        <f>Z13+Z14+Z16</f>
        <v>35500</v>
      </c>
      <c r="AA28" s="142">
        <f t="shared" si="6"/>
        <v>0</v>
      </c>
      <c r="AB28" s="142">
        <f t="shared" si="6"/>
        <v>0</v>
      </c>
      <c r="AC28" s="142">
        <f t="shared" si="6"/>
        <v>0</v>
      </c>
      <c r="AD28" s="142">
        <f>E28+J28+O28+T28+Y28</f>
        <v>91517.37</v>
      </c>
    </row>
    <row r="29" spans="1:31" ht="23.25">
      <c r="A29" s="235" t="s">
        <v>135</v>
      </c>
      <c r="B29" s="207"/>
      <c r="C29" s="208"/>
      <c r="D29" s="157"/>
      <c r="E29" s="142">
        <f>E15+E17+E18+E19+E20+E21+E22+E23+E26</f>
        <v>16830</v>
      </c>
      <c r="F29" s="142">
        <f>F15+F17+F18+F19+F20+F21+F22+F23+F26</f>
        <v>16830</v>
      </c>
      <c r="G29" s="142">
        <f>G15+G16</f>
        <v>0</v>
      </c>
      <c r="H29" s="142">
        <f>H15+H17+H18+H19+H20+H21+H22+H23+H26</f>
        <v>0</v>
      </c>
      <c r="I29" s="142">
        <f>I15+I17+I17+I18+I19+I20+I21+I22+I23+I26</f>
        <v>0</v>
      </c>
      <c r="J29" s="142">
        <f>J15+J17+J18+J19+J20+J21+J22+J23+J26</f>
        <v>17495</v>
      </c>
      <c r="K29" s="142">
        <f>K15+K17+K18+K19+K20+K21+K22+K23+K26</f>
        <v>17495</v>
      </c>
      <c r="L29" s="142">
        <f>L15+L17+L18+L19+L20+L21+L22+L23+L26</f>
        <v>0</v>
      </c>
      <c r="M29" s="142">
        <f>M24+M25</f>
        <v>0</v>
      </c>
      <c r="N29" s="142">
        <f>N24+N25</f>
        <v>0</v>
      </c>
      <c r="O29" s="142">
        <f>O26+O23+O13+O22+O21+O20+O19+O18+O17+O16+O15</f>
        <v>0</v>
      </c>
      <c r="P29" s="142">
        <f t="shared" ref="P29:AC29" si="7">P15+P17+P18+P19+P20+P21+P22+P23+P26</f>
        <v>0</v>
      </c>
      <c r="Q29" s="142">
        <f t="shared" si="7"/>
        <v>0</v>
      </c>
      <c r="R29" s="142">
        <f t="shared" si="7"/>
        <v>0</v>
      </c>
      <c r="S29" s="142">
        <f t="shared" si="7"/>
        <v>0</v>
      </c>
      <c r="T29" s="142">
        <f t="shared" si="7"/>
        <v>0</v>
      </c>
      <c r="U29" s="142">
        <f>U15+U17+U18+U19+U20+U21+U22+U23+U26</f>
        <v>0</v>
      </c>
      <c r="V29" s="142">
        <f t="shared" si="7"/>
        <v>0</v>
      </c>
      <c r="W29" s="142">
        <f t="shared" si="7"/>
        <v>0</v>
      </c>
      <c r="X29" s="142">
        <f t="shared" si="7"/>
        <v>0</v>
      </c>
      <c r="Y29" s="142">
        <f t="shared" si="7"/>
        <v>18895.3</v>
      </c>
      <c r="Z29" s="142">
        <f>Z15+Z17+Z18+Z19+Z20+Z21+Z22+Z23+Z26</f>
        <v>18895.3</v>
      </c>
      <c r="AA29" s="142">
        <f t="shared" si="7"/>
        <v>0</v>
      </c>
      <c r="AB29" s="142">
        <f t="shared" si="7"/>
        <v>0</v>
      </c>
      <c r="AC29" s="142">
        <f t="shared" si="7"/>
        <v>0</v>
      </c>
      <c r="AD29" s="142">
        <f>E29+J29+O29+T29+Y29</f>
        <v>53220.3</v>
      </c>
      <c r="AE29" s="209"/>
    </row>
    <row r="30" spans="1:31" ht="23.25">
      <c r="A30" s="243" t="s">
        <v>73</v>
      </c>
      <c r="B30" s="244"/>
      <c r="C30" s="244"/>
      <c r="D30" s="210"/>
      <c r="E30" s="142">
        <f t="shared" ref="E30:T30" si="8">E24+E25</f>
        <v>23306</v>
      </c>
      <c r="F30" s="142">
        <f t="shared" si="8"/>
        <v>0</v>
      </c>
      <c r="G30" s="142">
        <f t="shared" si="8"/>
        <v>23306</v>
      </c>
      <c r="H30" s="142">
        <f t="shared" si="8"/>
        <v>0</v>
      </c>
      <c r="I30" s="142">
        <f t="shared" si="8"/>
        <v>0</v>
      </c>
      <c r="J30" s="142">
        <f t="shared" si="8"/>
        <v>24218</v>
      </c>
      <c r="K30" s="142">
        <f t="shared" si="8"/>
        <v>0</v>
      </c>
      <c r="L30" s="142">
        <f t="shared" si="8"/>
        <v>24218</v>
      </c>
      <c r="M30" s="142">
        <f t="shared" si="8"/>
        <v>0</v>
      </c>
      <c r="N30" s="142">
        <f t="shared" si="8"/>
        <v>0</v>
      </c>
      <c r="O30" s="142">
        <f t="shared" si="8"/>
        <v>0</v>
      </c>
      <c r="P30" s="142">
        <f t="shared" si="8"/>
        <v>0</v>
      </c>
      <c r="Q30" s="142">
        <f t="shared" si="8"/>
        <v>0</v>
      </c>
      <c r="R30" s="142">
        <f t="shared" si="8"/>
        <v>0</v>
      </c>
      <c r="S30" s="142">
        <f t="shared" si="8"/>
        <v>0</v>
      </c>
      <c r="T30" s="142">
        <f t="shared" si="8"/>
        <v>0</v>
      </c>
      <c r="U30" s="142">
        <f>U25+U24</f>
        <v>0</v>
      </c>
      <c r="V30" s="142">
        <f>U24+U25</f>
        <v>0</v>
      </c>
      <c r="W30" s="142">
        <f t="shared" ref="W30:AC30" si="9">W24+W25</f>
        <v>0</v>
      </c>
      <c r="X30" s="142">
        <f t="shared" si="9"/>
        <v>0</v>
      </c>
      <c r="Y30" s="142">
        <f t="shared" si="9"/>
        <v>0</v>
      </c>
      <c r="Z30" s="142">
        <f t="shared" si="9"/>
        <v>0</v>
      </c>
      <c r="AA30" s="142">
        <f t="shared" si="9"/>
        <v>0</v>
      </c>
      <c r="AB30" s="142">
        <f t="shared" si="9"/>
        <v>0</v>
      </c>
      <c r="AC30" s="142">
        <f t="shared" si="9"/>
        <v>0</v>
      </c>
      <c r="AD30" s="142">
        <f>E30+J30+O30+T30+Y30</f>
        <v>47524</v>
      </c>
      <c r="AE30" s="209"/>
    </row>
    <row r="31" spans="1:31" ht="23.25">
      <c r="A31" s="41" t="s">
        <v>222</v>
      </c>
      <c r="B31" s="628" t="s">
        <v>276</v>
      </c>
      <c r="C31" s="629"/>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4"/>
    </row>
    <row r="32" spans="1:31" ht="139.5">
      <c r="A32" s="155" t="s">
        <v>21</v>
      </c>
      <c r="B32" s="185" t="s">
        <v>192</v>
      </c>
      <c r="C32" s="41" t="s">
        <v>94</v>
      </c>
      <c r="D32" s="41" t="s">
        <v>93</v>
      </c>
      <c r="E32" s="142">
        <f>F32+G32+H32+I32</f>
        <v>1892</v>
      </c>
      <c r="F32" s="142">
        <f>2664-772</f>
        <v>1892</v>
      </c>
      <c r="G32" s="142">
        <v>0</v>
      </c>
      <c r="H32" s="142">
        <v>0</v>
      </c>
      <c r="I32" s="142">
        <v>0</v>
      </c>
      <c r="J32" s="142">
        <f>K32+L32+M32+N32</f>
        <v>1892</v>
      </c>
      <c r="K32" s="142">
        <v>1892</v>
      </c>
      <c r="L32" s="142">
        <v>0</v>
      </c>
      <c r="M32" s="142">
        <v>0</v>
      </c>
      <c r="N32" s="142">
        <v>0</v>
      </c>
      <c r="O32" s="142">
        <f>P32+Q32+R32+S32</f>
        <v>0</v>
      </c>
      <c r="P32" s="142">
        <v>0</v>
      </c>
      <c r="Q32" s="142">
        <v>0</v>
      </c>
      <c r="R32" s="142">
        <v>0</v>
      </c>
      <c r="S32" s="142">
        <v>0</v>
      </c>
      <c r="T32" s="142">
        <f>U32+V32+W32+X32</f>
        <v>0</v>
      </c>
      <c r="U32" s="142">
        <v>0</v>
      </c>
      <c r="V32" s="142">
        <v>0</v>
      </c>
      <c r="W32" s="142">
        <v>0</v>
      </c>
      <c r="X32" s="142">
        <v>0</v>
      </c>
      <c r="Y32" s="142">
        <f>Z32+AA32+AB32+AC32</f>
        <v>2664</v>
      </c>
      <c r="Z32" s="142">
        <v>2664</v>
      </c>
      <c r="AA32" s="142">
        <v>0</v>
      </c>
      <c r="AB32" s="142">
        <v>0</v>
      </c>
      <c r="AC32" s="142">
        <v>0</v>
      </c>
      <c r="AD32" s="142">
        <f>E32+J32+O32+T32+Y32</f>
        <v>6448</v>
      </c>
    </row>
    <row r="33" spans="1:31" ht="20.25">
      <c r="A33" s="602" t="s">
        <v>22</v>
      </c>
      <c r="B33" s="603"/>
      <c r="C33" s="604"/>
      <c r="D33" s="242"/>
      <c r="E33" s="148">
        <f>E32</f>
        <v>1892</v>
      </c>
      <c r="F33" s="148">
        <f>SUM(F32)</f>
        <v>1892</v>
      </c>
      <c r="G33" s="148">
        <f t="shared" ref="G33:AD33" si="10">SUM(G32:G32)</f>
        <v>0</v>
      </c>
      <c r="H33" s="148">
        <f t="shared" si="10"/>
        <v>0</v>
      </c>
      <c r="I33" s="148">
        <f t="shared" si="10"/>
        <v>0</v>
      </c>
      <c r="J33" s="148">
        <f>J32</f>
        <v>1892</v>
      </c>
      <c r="K33" s="148">
        <f t="shared" si="10"/>
        <v>1892</v>
      </c>
      <c r="L33" s="148">
        <f t="shared" si="10"/>
        <v>0</v>
      </c>
      <c r="M33" s="148">
        <f t="shared" si="10"/>
        <v>0</v>
      </c>
      <c r="N33" s="148">
        <f t="shared" si="10"/>
        <v>0</v>
      </c>
      <c r="O33" s="148">
        <f t="shared" si="10"/>
        <v>0</v>
      </c>
      <c r="P33" s="148">
        <f t="shared" si="10"/>
        <v>0</v>
      </c>
      <c r="Q33" s="148">
        <f t="shared" si="10"/>
        <v>0</v>
      </c>
      <c r="R33" s="148">
        <f t="shared" si="10"/>
        <v>0</v>
      </c>
      <c r="S33" s="148">
        <f t="shared" si="10"/>
        <v>0</v>
      </c>
      <c r="T33" s="148">
        <f t="shared" si="10"/>
        <v>0</v>
      </c>
      <c r="U33" s="148">
        <f t="shared" si="10"/>
        <v>0</v>
      </c>
      <c r="V33" s="148">
        <f t="shared" si="10"/>
        <v>0</v>
      </c>
      <c r="W33" s="148">
        <f t="shared" si="10"/>
        <v>0</v>
      </c>
      <c r="X33" s="148">
        <f t="shared" si="10"/>
        <v>0</v>
      </c>
      <c r="Y33" s="148">
        <f t="shared" si="10"/>
        <v>2664</v>
      </c>
      <c r="Z33" s="148">
        <f t="shared" si="10"/>
        <v>2664</v>
      </c>
      <c r="AA33" s="148">
        <f t="shared" si="10"/>
        <v>0</v>
      </c>
      <c r="AB33" s="148">
        <f t="shared" si="10"/>
        <v>0</v>
      </c>
      <c r="AC33" s="148">
        <f t="shared" si="10"/>
        <v>0</v>
      </c>
      <c r="AD33" s="148">
        <f t="shared" si="10"/>
        <v>6448</v>
      </c>
    </row>
    <row r="34" spans="1:31" ht="20.25">
      <c r="A34" s="41" t="s">
        <v>229</v>
      </c>
      <c r="B34" s="605" t="s">
        <v>277</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7"/>
    </row>
    <row r="35" spans="1:31" ht="75">
      <c r="A35" s="155" t="s">
        <v>24</v>
      </c>
      <c r="B35" s="185" t="s">
        <v>288</v>
      </c>
      <c r="C35" s="205" t="s">
        <v>94</v>
      </c>
      <c r="D35" s="41" t="s">
        <v>93</v>
      </c>
      <c r="E35" s="142">
        <f>F35+G35+H35+I35</f>
        <v>2949</v>
      </c>
      <c r="F35" s="142">
        <v>2949</v>
      </c>
      <c r="G35" s="142">
        <v>0</v>
      </c>
      <c r="H35" s="142">
        <v>0</v>
      </c>
      <c r="I35" s="142">
        <v>0</v>
      </c>
      <c r="J35" s="142">
        <f>1775+0+0+0+0</f>
        <v>1775</v>
      </c>
      <c r="K35" s="142">
        <v>1775</v>
      </c>
      <c r="L35" s="142">
        <v>0</v>
      </c>
      <c r="M35" s="142">
        <v>0</v>
      </c>
      <c r="N35" s="142">
        <v>0</v>
      </c>
      <c r="O35" s="142">
        <f xml:space="preserve"> SUM(P35:S35)</f>
        <v>0</v>
      </c>
      <c r="P35" s="142">
        <v>0</v>
      </c>
      <c r="Q35" s="142">
        <f>SUM(Q36,Q37,Q38,Q39)</f>
        <v>0</v>
      </c>
      <c r="R35" s="142">
        <f>SUM(R36,R37,R38,R39)</f>
        <v>0</v>
      </c>
      <c r="S35" s="142">
        <f>SUM(S36,S37,S38,S39)</f>
        <v>0</v>
      </c>
      <c r="T35" s="142">
        <f xml:space="preserve"> SUM(U35:X35)</f>
        <v>0</v>
      </c>
      <c r="U35" s="142">
        <v>0</v>
      </c>
      <c r="V35" s="142">
        <f>SUM(V36,V37,V38,V39)</f>
        <v>0</v>
      </c>
      <c r="W35" s="142">
        <f>SUM(W36,W37,W38,W39)</f>
        <v>0</v>
      </c>
      <c r="X35" s="142">
        <f>SUM(X36,X37,X38,X39)</f>
        <v>0</v>
      </c>
      <c r="Y35" s="142">
        <f xml:space="preserve"> SUM(Z35:AC35)</f>
        <v>3306</v>
      </c>
      <c r="Z35" s="142">
        <v>3306</v>
      </c>
      <c r="AA35" s="142">
        <f>SUM(AA36,AA37,AA38,AA39)</f>
        <v>0</v>
      </c>
      <c r="AB35" s="142">
        <f>SUM(AB36,AB37,AB38,AB39)</f>
        <v>0</v>
      </c>
      <c r="AC35" s="142">
        <f>SUM(AC36,AC37,AC38,AC39)</f>
        <v>0</v>
      </c>
      <c r="AD35" s="142">
        <f>E35+J35+O35+T35+Y35</f>
        <v>8030</v>
      </c>
    </row>
    <row r="36" spans="1:31" ht="209.25">
      <c r="A36" s="155" t="s">
        <v>151</v>
      </c>
      <c r="B36" s="175" t="s">
        <v>76</v>
      </c>
      <c r="C36" s="205" t="s">
        <v>94</v>
      </c>
      <c r="D36" s="41" t="s">
        <v>93</v>
      </c>
      <c r="E36" s="142">
        <f t="shared" ref="E36:E46" si="11">F36+G36+H36+I36</f>
        <v>9</v>
      </c>
      <c r="F36" s="142">
        <v>9</v>
      </c>
      <c r="G36" s="142">
        <v>0</v>
      </c>
      <c r="H36" s="142">
        <v>0</v>
      </c>
      <c r="I36" s="142">
        <v>0</v>
      </c>
      <c r="J36" s="142">
        <f t="shared" ref="J36:J46" si="12">K36+L36+M36+N36</f>
        <v>9</v>
      </c>
      <c r="K36" s="142">
        <v>9</v>
      </c>
      <c r="L36" s="142">
        <v>0</v>
      </c>
      <c r="M36" s="142">
        <v>0</v>
      </c>
      <c r="N36" s="142">
        <v>0</v>
      </c>
      <c r="O36" s="142">
        <f t="shared" ref="O36:O46" si="13">P36+Q36+R36+S36</f>
        <v>0</v>
      </c>
      <c r="P36" s="142">
        <v>0</v>
      </c>
      <c r="Q36" s="142">
        <v>0</v>
      </c>
      <c r="R36" s="142">
        <v>0</v>
      </c>
      <c r="S36" s="142">
        <v>0</v>
      </c>
      <c r="T36" s="142">
        <f t="shared" ref="T36:T46" si="14">U36+V36+W36+X36</f>
        <v>0</v>
      </c>
      <c r="U36" s="142">
        <v>0</v>
      </c>
      <c r="V36" s="142">
        <v>0</v>
      </c>
      <c r="W36" s="142">
        <v>0</v>
      </c>
      <c r="X36" s="142">
        <v>0</v>
      </c>
      <c r="Y36" s="142">
        <f t="shared" ref="Y36:Y46" si="15">Z36+AA36+AB36+AC36</f>
        <v>9</v>
      </c>
      <c r="Z36" s="142">
        <v>9</v>
      </c>
      <c r="AA36" s="142">
        <v>0</v>
      </c>
      <c r="AB36" s="142">
        <v>0</v>
      </c>
      <c r="AC36" s="142">
        <v>0</v>
      </c>
      <c r="AD36" s="142">
        <f t="shared" ref="AD36:AD48" si="16">E36+J36+O36+T36+Y36</f>
        <v>27</v>
      </c>
    </row>
    <row r="37" spans="1:31" ht="75">
      <c r="A37" s="155" t="s">
        <v>235</v>
      </c>
      <c r="B37" s="175" t="s">
        <v>71</v>
      </c>
      <c r="C37" s="41" t="s">
        <v>94</v>
      </c>
      <c r="D37" s="41" t="s">
        <v>168</v>
      </c>
      <c r="E37" s="142">
        <f t="shared" si="11"/>
        <v>426</v>
      </c>
      <c r="F37" s="142">
        <v>426</v>
      </c>
      <c r="G37" s="142">
        <v>0</v>
      </c>
      <c r="H37" s="142">
        <v>0</v>
      </c>
      <c r="I37" s="142">
        <v>0</v>
      </c>
      <c r="J37" s="142">
        <f t="shared" si="12"/>
        <v>0</v>
      </c>
      <c r="K37" s="142">
        <v>0</v>
      </c>
      <c r="L37" s="142">
        <v>0</v>
      </c>
      <c r="M37" s="142">
        <v>0</v>
      </c>
      <c r="N37" s="142">
        <v>0</v>
      </c>
      <c r="O37" s="142">
        <f t="shared" si="13"/>
        <v>0</v>
      </c>
      <c r="P37" s="142">
        <v>0</v>
      </c>
      <c r="Q37" s="142">
        <v>0</v>
      </c>
      <c r="R37" s="142">
        <v>0</v>
      </c>
      <c r="S37" s="142">
        <v>0</v>
      </c>
      <c r="T37" s="142">
        <f t="shared" si="14"/>
        <v>0</v>
      </c>
      <c r="U37" s="142">
        <v>0</v>
      </c>
      <c r="V37" s="142">
        <v>0</v>
      </c>
      <c r="W37" s="142">
        <v>0</v>
      </c>
      <c r="X37" s="142">
        <v>0</v>
      </c>
      <c r="Y37" s="142">
        <f t="shared" si="15"/>
        <v>0</v>
      </c>
      <c r="Z37" s="142">
        <v>0</v>
      </c>
      <c r="AA37" s="142">
        <v>0</v>
      </c>
      <c r="AB37" s="142">
        <v>0</v>
      </c>
      <c r="AC37" s="142">
        <v>0</v>
      </c>
      <c r="AD37" s="142">
        <f>E37+J37+O37+T37+Y37</f>
        <v>426</v>
      </c>
    </row>
    <row r="38" spans="1:31" ht="46.5">
      <c r="A38" s="155" t="s">
        <v>236</v>
      </c>
      <c r="B38" s="175" t="s">
        <v>110</v>
      </c>
      <c r="C38" s="608" t="s">
        <v>105</v>
      </c>
      <c r="D38" s="41" t="s">
        <v>93</v>
      </c>
      <c r="E38" s="142">
        <f t="shared" si="11"/>
        <v>3304</v>
      </c>
      <c r="F38" s="142">
        <v>3304</v>
      </c>
      <c r="G38" s="142">
        <v>0</v>
      </c>
      <c r="H38" s="142">
        <v>0</v>
      </c>
      <c r="I38" s="142">
        <v>0</v>
      </c>
      <c r="J38" s="142">
        <f t="shared" si="12"/>
        <v>3304</v>
      </c>
      <c r="K38" s="142">
        <v>3304</v>
      </c>
      <c r="L38" s="142">
        <v>0</v>
      </c>
      <c r="M38" s="142">
        <v>0</v>
      </c>
      <c r="N38" s="142">
        <v>0</v>
      </c>
      <c r="O38" s="142">
        <f t="shared" si="13"/>
        <v>0</v>
      </c>
      <c r="P38" s="142">
        <v>0</v>
      </c>
      <c r="Q38" s="142">
        <v>0</v>
      </c>
      <c r="R38" s="142">
        <v>0</v>
      </c>
      <c r="S38" s="142">
        <v>0</v>
      </c>
      <c r="T38" s="142">
        <f t="shared" si="14"/>
        <v>0</v>
      </c>
      <c r="U38" s="142">
        <v>0</v>
      </c>
      <c r="V38" s="142">
        <v>0</v>
      </c>
      <c r="W38" s="142">
        <v>0</v>
      </c>
      <c r="X38" s="142">
        <v>0</v>
      </c>
      <c r="Y38" s="142">
        <f t="shared" si="15"/>
        <v>3304</v>
      </c>
      <c r="Z38" s="142">
        <v>3304</v>
      </c>
      <c r="AA38" s="142">
        <v>0</v>
      </c>
      <c r="AB38" s="142">
        <v>0</v>
      </c>
      <c r="AC38" s="142">
        <v>0</v>
      </c>
      <c r="AD38" s="142">
        <f>E38+J38+O38+T38+Y38</f>
        <v>9912</v>
      </c>
    </row>
    <row r="39" spans="1:31" ht="116.25">
      <c r="A39" s="155" t="s">
        <v>237</v>
      </c>
      <c r="B39" s="175" t="s">
        <v>191</v>
      </c>
      <c r="C39" s="609"/>
      <c r="D39" s="41" t="s">
        <v>283</v>
      </c>
      <c r="E39" s="142">
        <f t="shared" si="11"/>
        <v>378</v>
      </c>
      <c r="F39" s="142">
        <v>378</v>
      </c>
      <c r="G39" s="142">
        <v>0</v>
      </c>
      <c r="H39" s="142">
        <v>0</v>
      </c>
      <c r="I39" s="142">
        <v>0</v>
      </c>
      <c r="J39" s="142">
        <f t="shared" si="12"/>
        <v>324</v>
      </c>
      <c r="K39" s="142">
        <v>324</v>
      </c>
      <c r="L39" s="142">
        <v>0</v>
      </c>
      <c r="M39" s="142">
        <v>0</v>
      </c>
      <c r="N39" s="142">
        <v>0</v>
      </c>
      <c r="O39" s="142">
        <f t="shared" si="13"/>
        <v>0</v>
      </c>
      <c r="P39" s="142">
        <v>0</v>
      </c>
      <c r="Q39" s="142">
        <v>0</v>
      </c>
      <c r="R39" s="142">
        <v>0</v>
      </c>
      <c r="S39" s="142">
        <v>0</v>
      </c>
      <c r="T39" s="142">
        <f t="shared" si="14"/>
        <v>0</v>
      </c>
      <c r="U39" s="142">
        <v>0</v>
      </c>
      <c r="V39" s="142">
        <v>0</v>
      </c>
      <c r="W39" s="142">
        <v>0</v>
      </c>
      <c r="X39" s="142">
        <v>0</v>
      </c>
      <c r="Y39" s="142">
        <f t="shared" si="15"/>
        <v>378</v>
      </c>
      <c r="Z39" s="142">
        <v>378</v>
      </c>
      <c r="AA39" s="142">
        <v>0</v>
      </c>
      <c r="AB39" s="142">
        <v>0</v>
      </c>
      <c r="AC39" s="142">
        <v>0</v>
      </c>
      <c r="AD39" s="142">
        <f>E39+J39+O39+T39+Y39</f>
        <v>1080</v>
      </c>
    </row>
    <row r="40" spans="1:31" ht="116.25">
      <c r="A40" s="155" t="s">
        <v>238</v>
      </c>
      <c r="B40" s="175" t="s">
        <v>77</v>
      </c>
      <c r="C40" s="205" t="s">
        <v>94</v>
      </c>
      <c r="D40" s="41" t="s">
        <v>93</v>
      </c>
      <c r="E40" s="142">
        <f t="shared" si="11"/>
        <v>12</v>
      </c>
      <c r="F40" s="142">
        <v>12</v>
      </c>
      <c r="G40" s="142">
        <v>0</v>
      </c>
      <c r="H40" s="142">
        <v>0</v>
      </c>
      <c r="I40" s="142">
        <v>0</v>
      </c>
      <c r="J40" s="142">
        <f t="shared" si="12"/>
        <v>12</v>
      </c>
      <c r="K40" s="142">
        <v>12</v>
      </c>
      <c r="L40" s="142">
        <v>0</v>
      </c>
      <c r="M40" s="142">
        <v>0</v>
      </c>
      <c r="N40" s="142">
        <v>0</v>
      </c>
      <c r="O40" s="142">
        <f t="shared" si="13"/>
        <v>0</v>
      </c>
      <c r="P40" s="142">
        <v>0</v>
      </c>
      <c r="Q40" s="142">
        <v>0</v>
      </c>
      <c r="R40" s="142">
        <v>0</v>
      </c>
      <c r="S40" s="142">
        <v>0</v>
      </c>
      <c r="T40" s="142">
        <f t="shared" si="14"/>
        <v>0</v>
      </c>
      <c r="U40" s="142">
        <v>0</v>
      </c>
      <c r="V40" s="142">
        <v>0</v>
      </c>
      <c r="W40" s="142">
        <v>0</v>
      </c>
      <c r="X40" s="142">
        <v>0</v>
      </c>
      <c r="Y40" s="142">
        <f t="shared" si="15"/>
        <v>12</v>
      </c>
      <c r="Z40" s="142">
        <v>12</v>
      </c>
      <c r="AA40" s="142">
        <v>0</v>
      </c>
      <c r="AB40" s="142">
        <v>0</v>
      </c>
      <c r="AC40" s="142">
        <v>0</v>
      </c>
      <c r="AD40" s="142">
        <f t="shared" si="16"/>
        <v>36</v>
      </c>
    </row>
    <row r="41" spans="1:31" ht="116.25">
      <c r="A41" s="155" t="s">
        <v>239</v>
      </c>
      <c r="B41" s="175" t="s">
        <v>265</v>
      </c>
      <c r="C41" s="610" t="s">
        <v>105</v>
      </c>
      <c r="D41" s="41" t="s">
        <v>168</v>
      </c>
      <c r="E41" s="142">
        <f t="shared" si="11"/>
        <v>50</v>
      </c>
      <c r="F41" s="142">
        <v>50</v>
      </c>
      <c r="G41" s="142">
        <v>0</v>
      </c>
      <c r="H41" s="142">
        <v>0</v>
      </c>
      <c r="I41" s="142">
        <v>0</v>
      </c>
      <c r="J41" s="142">
        <f t="shared" si="12"/>
        <v>0</v>
      </c>
      <c r="K41" s="142">
        <v>0</v>
      </c>
      <c r="L41" s="142">
        <v>0</v>
      </c>
      <c r="M41" s="142">
        <v>0</v>
      </c>
      <c r="N41" s="142">
        <v>0</v>
      </c>
      <c r="O41" s="142">
        <f t="shared" si="13"/>
        <v>0</v>
      </c>
      <c r="P41" s="142">
        <v>0</v>
      </c>
      <c r="Q41" s="142">
        <v>0</v>
      </c>
      <c r="R41" s="142">
        <v>0</v>
      </c>
      <c r="S41" s="142">
        <v>0</v>
      </c>
      <c r="T41" s="142">
        <f t="shared" si="14"/>
        <v>0</v>
      </c>
      <c r="U41" s="142">
        <v>0</v>
      </c>
      <c r="V41" s="142">
        <v>0</v>
      </c>
      <c r="W41" s="142">
        <v>0</v>
      </c>
      <c r="X41" s="142">
        <v>0</v>
      </c>
      <c r="Y41" s="142">
        <f t="shared" si="15"/>
        <v>0</v>
      </c>
      <c r="Z41" s="142">
        <v>0</v>
      </c>
      <c r="AA41" s="142">
        <v>0</v>
      </c>
      <c r="AB41" s="142">
        <v>0</v>
      </c>
      <c r="AC41" s="142">
        <v>0</v>
      </c>
      <c r="AD41" s="142">
        <f t="shared" si="16"/>
        <v>50</v>
      </c>
    </row>
    <row r="42" spans="1:31" ht="116.25">
      <c r="A42" s="155" t="s">
        <v>240</v>
      </c>
      <c r="B42" s="175" t="s">
        <v>111</v>
      </c>
      <c r="C42" s="611"/>
      <c r="D42" s="41" t="s">
        <v>168</v>
      </c>
      <c r="E42" s="142">
        <f t="shared" si="11"/>
        <v>50</v>
      </c>
      <c r="F42" s="142">
        <v>50</v>
      </c>
      <c r="G42" s="142">
        <v>0</v>
      </c>
      <c r="H42" s="142">
        <v>0</v>
      </c>
      <c r="I42" s="142">
        <v>0</v>
      </c>
      <c r="J42" s="136">
        <f t="shared" si="12"/>
        <v>50</v>
      </c>
      <c r="K42" s="136">
        <v>50</v>
      </c>
      <c r="L42" s="142">
        <v>0</v>
      </c>
      <c r="M42" s="142">
        <v>0</v>
      </c>
      <c r="N42" s="142">
        <v>0</v>
      </c>
      <c r="O42" s="142">
        <f t="shared" si="13"/>
        <v>0</v>
      </c>
      <c r="P42" s="142">
        <v>0</v>
      </c>
      <c r="Q42" s="142">
        <v>0</v>
      </c>
      <c r="R42" s="142">
        <v>0</v>
      </c>
      <c r="S42" s="142">
        <v>0</v>
      </c>
      <c r="T42" s="142">
        <f t="shared" si="14"/>
        <v>0</v>
      </c>
      <c r="U42" s="142">
        <v>0</v>
      </c>
      <c r="V42" s="142">
        <v>0</v>
      </c>
      <c r="W42" s="142">
        <v>0</v>
      </c>
      <c r="X42" s="142">
        <v>0</v>
      </c>
      <c r="Y42" s="142">
        <f t="shared" si="15"/>
        <v>0</v>
      </c>
      <c r="Z42" s="142">
        <v>0</v>
      </c>
      <c r="AA42" s="142">
        <v>0</v>
      </c>
      <c r="AB42" s="142">
        <v>0</v>
      </c>
      <c r="AC42" s="142">
        <v>0</v>
      </c>
      <c r="AD42" s="142">
        <f t="shared" si="16"/>
        <v>100</v>
      </c>
    </row>
    <row r="43" spans="1:31" ht="139.5">
      <c r="A43" s="155" t="s">
        <v>241</v>
      </c>
      <c r="B43" s="175" t="s">
        <v>112</v>
      </c>
      <c r="C43" s="611"/>
      <c r="D43" s="41" t="s">
        <v>93</v>
      </c>
      <c r="E43" s="142">
        <f t="shared" si="11"/>
        <v>810</v>
      </c>
      <c r="F43" s="142">
        <f>480+330</f>
        <v>810</v>
      </c>
      <c r="G43" s="142">
        <v>0</v>
      </c>
      <c r="H43" s="142">
        <v>0</v>
      </c>
      <c r="I43" s="142">
        <v>0</v>
      </c>
      <c r="J43" s="142">
        <f t="shared" si="12"/>
        <v>720</v>
      </c>
      <c r="K43" s="142">
        <v>720</v>
      </c>
      <c r="L43" s="142">
        <v>0</v>
      </c>
      <c r="M43" s="142">
        <v>0</v>
      </c>
      <c r="N43" s="142">
        <v>0</v>
      </c>
      <c r="O43" s="142">
        <f t="shared" si="13"/>
        <v>0</v>
      </c>
      <c r="P43" s="142">
        <v>0</v>
      </c>
      <c r="Q43" s="142">
        <v>0</v>
      </c>
      <c r="R43" s="142">
        <v>0</v>
      </c>
      <c r="S43" s="142">
        <v>0</v>
      </c>
      <c r="T43" s="142">
        <f t="shared" si="14"/>
        <v>0</v>
      </c>
      <c r="U43" s="142">
        <v>0</v>
      </c>
      <c r="V43" s="142">
        <v>0</v>
      </c>
      <c r="W43" s="142">
        <v>0</v>
      </c>
      <c r="X43" s="142">
        <v>0</v>
      </c>
      <c r="Y43" s="142">
        <f t="shared" si="15"/>
        <v>480</v>
      </c>
      <c r="Z43" s="142">
        <v>480</v>
      </c>
      <c r="AA43" s="142">
        <v>0</v>
      </c>
      <c r="AB43" s="142">
        <v>0</v>
      </c>
      <c r="AC43" s="142">
        <v>0</v>
      </c>
      <c r="AD43" s="142">
        <f>E43+J43+O43+T43+Y43</f>
        <v>2010</v>
      </c>
    </row>
    <row r="44" spans="1:31" ht="186">
      <c r="A44" s="211" t="s">
        <v>242</v>
      </c>
      <c r="B44" s="175" t="s">
        <v>113</v>
      </c>
      <c r="C44" s="611"/>
      <c r="D44" s="41" t="s">
        <v>168</v>
      </c>
      <c r="E44" s="142">
        <f t="shared" si="11"/>
        <v>30</v>
      </c>
      <c r="F44" s="142">
        <v>30</v>
      </c>
      <c r="G44" s="142">
        <v>0</v>
      </c>
      <c r="H44" s="142">
        <v>0</v>
      </c>
      <c r="I44" s="142">
        <v>0</v>
      </c>
      <c r="J44" s="136">
        <f t="shared" si="12"/>
        <v>10</v>
      </c>
      <c r="K44" s="136">
        <v>10</v>
      </c>
      <c r="L44" s="142">
        <v>0</v>
      </c>
      <c r="M44" s="142">
        <v>0</v>
      </c>
      <c r="N44" s="142">
        <v>0</v>
      </c>
      <c r="O44" s="142">
        <f t="shared" si="13"/>
        <v>0</v>
      </c>
      <c r="P44" s="142">
        <v>0</v>
      </c>
      <c r="Q44" s="142">
        <v>0</v>
      </c>
      <c r="R44" s="142">
        <v>0</v>
      </c>
      <c r="S44" s="142">
        <v>0</v>
      </c>
      <c r="T44" s="142">
        <f t="shared" si="14"/>
        <v>0</v>
      </c>
      <c r="U44" s="142">
        <v>0</v>
      </c>
      <c r="V44" s="142">
        <v>0</v>
      </c>
      <c r="W44" s="142">
        <v>0</v>
      </c>
      <c r="X44" s="142">
        <v>0</v>
      </c>
      <c r="Y44" s="142">
        <f t="shared" si="15"/>
        <v>0</v>
      </c>
      <c r="Z44" s="142">
        <v>0</v>
      </c>
      <c r="AA44" s="142">
        <v>0</v>
      </c>
      <c r="AB44" s="142">
        <v>0</v>
      </c>
      <c r="AC44" s="142">
        <v>0</v>
      </c>
      <c r="AD44" s="142">
        <f t="shared" si="16"/>
        <v>40</v>
      </c>
    </row>
    <row r="45" spans="1:31" ht="93">
      <c r="A45" s="155" t="s">
        <v>243</v>
      </c>
      <c r="B45" s="175" t="s">
        <v>114</v>
      </c>
      <c r="C45" s="612"/>
      <c r="D45" s="41" t="s">
        <v>168</v>
      </c>
      <c r="E45" s="142">
        <f t="shared" si="11"/>
        <v>50</v>
      </c>
      <c r="F45" s="142">
        <v>50</v>
      </c>
      <c r="G45" s="142">
        <v>0</v>
      </c>
      <c r="H45" s="142">
        <v>0</v>
      </c>
      <c r="I45" s="142">
        <v>0</v>
      </c>
      <c r="J45" s="136">
        <f t="shared" si="12"/>
        <v>50</v>
      </c>
      <c r="K45" s="136">
        <v>50</v>
      </c>
      <c r="L45" s="142">
        <v>0</v>
      </c>
      <c r="M45" s="142">
        <v>0</v>
      </c>
      <c r="N45" s="142">
        <v>0</v>
      </c>
      <c r="O45" s="142">
        <f t="shared" si="13"/>
        <v>0</v>
      </c>
      <c r="P45" s="142">
        <v>0</v>
      </c>
      <c r="Q45" s="142">
        <v>0</v>
      </c>
      <c r="R45" s="142">
        <v>0</v>
      </c>
      <c r="S45" s="142">
        <v>0</v>
      </c>
      <c r="T45" s="142">
        <f t="shared" si="14"/>
        <v>0</v>
      </c>
      <c r="U45" s="142">
        <v>0</v>
      </c>
      <c r="V45" s="142">
        <v>0</v>
      </c>
      <c r="W45" s="142">
        <v>0</v>
      </c>
      <c r="X45" s="142">
        <v>0</v>
      </c>
      <c r="Y45" s="142">
        <f t="shared" si="15"/>
        <v>0</v>
      </c>
      <c r="Z45" s="142">
        <v>0</v>
      </c>
      <c r="AA45" s="142">
        <v>0</v>
      </c>
      <c r="AB45" s="142">
        <v>0</v>
      </c>
      <c r="AC45" s="142">
        <v>0</v>
      </c>
      <c r="AD45" s="142">
        <f t="shared" si="16"/>
        <v>100</v>
      </c>
    </row>
    <row r="46" spans="1:31" ht="93">
      <c r="A46" s="155" t="s">
        <v>244</v>
      </c>
      <c r="B46" s="175" t="s">
        <v>78</v>
      </c>
      <c r="C46" s="41" t="s">
        <v>18</v>
      </c>
      <c r="D46" s="41" t="s">
        <v>93</v>
      </c>
      <c r="E46" s="142">
        <f t="shared" si="11"/>
        <v>96</v>
      </c>
      <c r="F46" s="142">
        <f>96</f>
        <v>96</v>
      </c>
      <c r="G46" s="142">
        <v>0</v>
      </c>
      <c r="H46" s="142">
        <v>0</v>
      </c>
      <c r="I46" s="142">
        <v>0</v>
      </c>
      <c r="J46" s="142">
        <f t="shared" si="12"/>
        <v>68</v>
      </c>
      <c r="K46" s="142">
        <v>68</v>
      </c>
      <c r="L46" s="142">
        <v>0</v>
      </c>
      <c r="M46" s="142">
        <v>0</v>
      </c>
      <c r="N46" s="142">
        <v>0</v>
      </c>
      <c r="O46" s="142">
        <f t="shared" si="13"/>
        <v>0</v>
      </c>
      <c r="P46" s="142">
        <v>0</v>
      </c>
      <c r="Q46" s="142">
        <v>0</v>
      </c>
      <c r="R46" s="142">
        <v>0</v>
      </c>
      <c r="S46" s="142">
        <v>0</v>
      </c>
      <c r="T46" s="142">
        <f t="shared" si="14"/>
        <v>0</v>
      </c>
      <c r="U46" s="142">
        <v>0</v>
      </c>
      <c r="V46" s="142">
        <v>0</v>
      </c>
      <c r="W46" s="142">
        <v>0</v>
      </c>
      <c r="X46" s="142">
        <v>0</v>
      </c>
      <c r="Y46" s="142">
        <f t="shared" si="15"/>
        <v>96</v>
      </c>
      <c r="Z46" s="142">
        <v>96</v>
      </c>
      <c r="AA46" s="142">
        <v>0</v>
      </c>
      <c r="AB46" s="142">
        <v>0</v>
      </c>
      <c r="AC46" s="142">
        <v>0</v>
      </c>
      <c r="AD46" s="142">
        <f t="shared" si="16"/>
        <v>260</v>
      </c>
    </row>
    <row r="47" spans="1:31" ht="139.5">
      <c r="A47" s="155" t="s">
        <v>245</v>
      </c>
      <c r="B47" s="175" t="s">
        <v>145</v>
      </c>
      <c r="C47" s="41" t="s">
        <v>94</v>
      </c>
      <c r="D47" s="41" t="s">
        <v>93</v>
      </c>
      <c r="E47" s="142">
        <f>F47+G47+H47+I47</f>
        <v>28325</v>
      </c>
      <c r="F47" s="142">
        <f>6567-902</f>
        <v>5665</v>
      </c>
      <c r="G47" s="142">
        <f>26268-3608</f>
        <v>22660</v>
      </c>
      <c r="H47" s="142">
        <v>0</v>
      </c>
      <c r="I47" s="142">
        <v>0</v>
      </c>
      <c r="J47" s="142">
        <f>K47+L47+M47+N47</f>
        <v>550</v>
      </c>
      <c r="K47" s="142">
        <v>550</v>
      </c>
      <c r="L47" s="142">
        <v>0</v>
      </c>
      <c r="M47" s="142">
        <v>0</v>
      </c>
      <c r="N47" s="142">
        <v>0</v>
      </c>
      <c r="O47" s="142">
        <f>P47+Q47+R47+S47</f>
        <v>0</v>
      </c>
      <c r="P47" s="142">
        <v>0</v>
      </c>
      <c r="Q47" s="142">
        <v>0</v>
      </c>
      <c r="R47" s="142">
        <v>0</v>
      </c>
      <c r="S47" s="142">
        <v>0</v>
      </c>
      <c r="T47" s="142">
        <f>U47+V47+W47+X47</f>
        <v>0</v>
      </c>
      <c r="U47" s="142">
        <v>0</v>
      </c>
      <c r="V47" s="142">
        <v>0</v>
      </c>
      <c r="W47" s="142">
        <v>0</v>
      </c>
      <c r="X47" s="142">
        <v>0</v>
      </c>
      <c r="Y47" s="142">
        <v>2321</v>
      </c>
      <c r="Z47" s="142">
        <v>2321</v>
      </c>
      <c r="AA47" s="142">
        <v>0</v>
      </c>
      <c r="AB47" s="142">
        <v>0</v>
      </c>
      <c r="AC47" s="142">
        <v>0</v>
      </c>
      <c r="AD47" s="142">
        <f>E47+J47+O47+T47+Y47</f>
        <v>31196</v>
      </c>
      <c r="AE47" s="212"/>
    </row>
    <row r="48" spans="1:31" ht="69.75">
      <c r="A48" s="213" t="s">
        <v>246</v>
      </c>
      <c r="B48" s="187" t="s">
        <v>87</v>
      </c>
      <c r="C48" s="236" t="s">
        <v>52</v>
      </c>
      <c r="D48" s="41" t="s">
        <v>93</v>
      </c>
      <c r="E48" s="142">
        <f>F48+G48+H48+I48</f>
        <v>384.8</v>
      </c>
      <c r="F48" s="142">
        <f>387-2.2</f>
        <v>384.8</v>
      </c>
      <c r="G48" s="142">
        <v>0</v>
      </c>
      <c r="H48" s="142">
        <v>0</v>
      </c>
      <c r="I48" s="142">
        <v>0</v>
      </c>
      <c r="J48" s="142">
        <v>387</v>
      </c>
      <c r="K48" s="142">
        <v>387</v>
      </c>
      <c r="L48" s="142">
        <v>0</v>
      </c>
      <c r="M48" s="142">
        <v>0</v>
      </c>
      <c r="N48" s="142">
        <v>0</v>
      </c>
      <c r="O48" s="142">
        <v>387</v>
      </c>
      <c r="P48" s="142">
        <v>387</v>
      </c>
      <c r="Q48" s="142">
        <v>0</v>
      </c>
      <c r="R48" s="142">
        <v>0</v>
      </c>
      <c r="S48" s="142">
        <v>0</v>
      </c>
      <c r="T48" s="142">
        <f>U48+V48+W48+X48</f>
        <v>387</v>
      </c>
      <c r="U48" s="142">
        <v>387</v>
      </c>
      <c r="V48" s="142">
        <v>0</v>
      </c>
      <c r="W48" s="142">
        <v>0</v>
      </c>
      <c r="X48" s="142">
        <v>0</v>
      </c>
      <c r="Y48" s="142">
        <v>386</v>
      </c>
      <c r="Z48" s="142">
        <v>386</v>
      </c>
      <c r="AA48" s="142">
        <v>0</v>
      </c>
      <c r="AB48" s="142">
        <v>0</v>
      </c>
      <c r="AC48" s="142">
        <v>0</v>
      </c>
      <c r="AD48" s="142">
        <f t="shared" si="16"/>
        <v>1931.8</v>
      </c>
    </row>
    <row r="49" spans="1:32" ht="131.25">
      <c r="A49" s="213" t="s">
        <v>247</v>
      </c>
      <c r="B49" s="187" t="s">
        <v>132</v>
      </c>
      <c r="C49" s="236" t="s">
        <v>147</v>
      </c>
      <c r="D49" s="204">
        <v>2020</v>
      </c>
      <c r="E49" s="142">
        <f>F49+G49+H49+I49</f>
        <v>1248</v>
      </c>
      <c r="F49" s="142">
        <f>1248</f>
        <v>1248</v>
      </c>
      <c r="G49" s="142">
        <v>0</v>
      </c>
      <c r="H49" s="142">
        <v>0</v>
      </c>
      <c r="I49" s="142">
        <v>0</v>
      </c>
      <c r="J49" s="142">
        <f>K49+L49+M49+N49</f>
        <v>0</v>
      </c>
      <c r="K49" s="142">
        <v>0</v>
      </c>
      <c r="L49" s="142">
        <v>0</v>
      </c>
      <c r="M49" s="142">
        <v>0</v>
      </c>
      <c r="N49" s="142">
        <v>0</v>
      </c>
      <c r="O49" s="142">
        <f>P49+Q49+R49+S49</f>
        <v>0</v>
      </c>
      <c r="P49" s="142">
        <v>0</v>
      </c>
      <c r="Q49" s="142">
        <v>0</v>
      </c>
      <c r="R49" s="142">
        <v>0</v>
      </c>
      <c r="S49" s="142">
        <v>0</v>
      </c>
      <c r="T49" s="142">
        <f>U49+V49+W49+X49</f>
        <v>0</v>
      </c>
      <c r="U49" s="142">
        <v>0</v>
      </c>
      <c r="V49" s="142">
        <v>0</v>
      </c>
      <c r="W49" s="142">
        <v>0</v>
      </c>
      <c r="X49" s="142">
        <v>0</v>
      </c>
      <c r="Y49" s="142">
        <f>Z49+AA49+AB49+AC49</f>
        <v>0</v>
      </c>
      <c r="Z49" s="142">
        <v>0</v>
      </c>
      <c r="AA49" s="142">
        <v>0</v>
      </c>
      <c r="AB49" s="142">
        <v>0</v>
      </c>
      <c r="AC49" s="142">
        <v>0</v>
      </c>
      <c r="AD49" s="142">
        <f>E49+J49+O49+T49+Y49</f>
        <v>1248</v>
      </c>
    </row>
    <row r="50" spans="1:32" ht="23.25">
      <c r="A50" s="575" t="s">
        <v>25</v>
      </c>
      <c r="B50" s="575"/>
      <c r="C50" s="575"/>
      <c r="D50" s="242"/>
      <c r="E50" s="148">
        <f t="shared" ref="E50:K50" si="17">E51+E52</f>
        <v>38121.800000000003</v>
      </c>
      <c r="F50" s="148">
        <f t="shared" si="17"/>
        <v>15461.8</v>
      </c>
      <c r="G50" s="148">
        <f t="shared" si="17"/>
        <v>22660</v>
      </c>
      <c r="H50" s="148">
        <f t="shared" si="17"/>
        <v>0</v>
      </c>
      <c r="I50" s="148">
        <f t="shared" si="17"/>
        <v>0</v>
      </c>
      <c r="J50" s="148">
        <f>J52+J51</f>
        <v>7259</v>
      </c>
      <c r="K50" s="148">
        <f t="shared" si="17"/>
        <v>7259</v>
      </c>
      <c r="L50" s="148">
        <f>SUM(L35,L36:L48)</f>
        <v>0</v>
      </c>
      <c r="M50" s="148">
        <f>SUM(M35,M36:M48)</f>
        <v>0</v>
      </c>
      <c r="N50" s="148">
        <f>SUM(N35,N36:N48)</f>
        <v>0</v>
      </c>
      <c r="O50" s="148">
        <f>O51+O52</f>
        <v>387</v>
      </c>
      <c r="P50" s="148">
        <f>P51+P52</f>
        <v>387</v>
      </c>
      <c r="Q50" s="148">
        <f>SUM(Q35,Q36:Q48)</f>
        <v>0</v>
      </c>
      <c r="R50" s="148">
        <f>SUM(R35,R36:R48)</f>
        <v>0</v>
      </c>
      <c r="S50" s="148">
        <f>SUM(S35,S36:S48)</f>
        <v>0</v>
      </c>
      <c r="T50" s="148">
        <f>T51+T52</f>
        <v>387</v>
      </c>
      <c r="U50" s="148">
        <f>U51+U52</f>
        <v>387</v>
      </c>
      <c r="V50" s="148">
        <f>SUM(V35,V36:V48)</f>
        <v>0</v>
      </c>
      <c r="W50" s="148">
        <f>SUM(W35,W36:W48)</f>
        <v>0</v>
      </c>
      <c r="X50" s="148">
        <f>SUM(X35,X36:X48)</f>
        <v>0</v>
      </c>
      <c r="Y50" s="148">
        <f>Y51+Y52</f>
        <v>10292</v>
      </c>
      <c r="Z50" s="148">
        <f>Z51+Z52</f>
        <v>10292</v>
      </c>
      <c r="AA50" s="148">
        <f>SUM(AA35,AA36:AA48)</f>
        <v>0</v>
      </c>
      <c r="AB50" s="148">
        <f>SUM(AB35,AB36:AB48)</f>
        <v>0</v>
      </c>
      <c r="AC50" s="148">
        <f>SUM(AC35,AC36:AC48)</f>
        <v>0</v>
      </c>
      <c r="AD50" s="148">
        <f>E50+J50+O50+T50+Y50</f>
        <v>56446.8</v>
      </c>
    </row>
    <row r="51" spans="1:32" ht="23.25">
      <c r="A51" s="235" t="s">
        <v>73</v>
      </c>
      <c r="B51" s="235"/>
      <c r="C51" s="244"/>
      <c r="D51" s="157"/>
      <c r="E51" s="152">
        <f t="shared" ref="E51:AC51" si="18">E48</f>
        <v>384.8</v>
      </c>
      <c r="F51" s="152">
        <f t="shared" si="18"/>
        <v>384.8</v>
      </c>
      <c r="G51" s="152">
        <v>0</v>
      </c>
      <c r="H51" s="152">
        <f t="shared" si="18"/>
        <v>0</v>
      </c>
      <c r="I51" s="152">
        <f t="shared" si="18"/>
        <v>0</v>
      </c>
      <c r="J51" s="152">
        <f t="shared" si="18"/>
        <v>387</v>
      </c>
      <c r="K51" s="152">
        <f t="shared" si="18"/>
        <v>387</v>
      </c>
      <c r="L51" s="152">
        <f t="shared" si="18"/>
        <v>0</v>
      </c>
      <c r="M51" s="152">
        <f t="shared" si="18"/>
        <v>0</v>
      </c>
      <c r="N51" s="152">
        <f t="shared" si="18"/>
        <v>0</v>
      </c>
      <c r="O51" s="152">
        <f t="shared" si="18"/>
        <v>387</v>
      </c>
      <c r="P51" s="152">
        <f t="shared" si="18"/>
        <v>387</v>
      </c>
      <c r="Q51" s="152">
        <f t="shared" si="18"/>
        <v>0</v>
      </c>
      <c r="R51" s="152">
        <f t="shared" si="18"/>
        <v>0</v>
      </c>
      <c r="S51" s="152">
        <f t="shared" si="18"/>
        <v>0</v>
      </c>
      <c r="T51" s="152">
        <f t="shared" si="18"/>
        <v>387</v>
      </c>
      <c r="U51" s="152">
        <f t="shared" si="18"/>
        <v>387</v>
      </c>
      <c r="V51" s="152">
        <f t="shared" si="18"/>
        <v>0</v>
      </c>
      <c r="W51" s="152">
        <f t="shared" si="18"/>
        <v>0</v>
      </c>
      <c r="X51" s="152">
        <f t="shared" si="18"/>
        <v>0</v>
      </c>
      <c r="Y51" s="152">
        <f t="shared" si="18"/>
        <v>386</v>
      </c>
      <c r="Z51" s="152">
        <f t="shared" si="18"/>
        <v>386</v>
      </c>
      <c r="AA51" s="152">
        <f t="shared" si="18"/>
        <v>0</v>
      </c>
      <c r="AB51" s="152">
        <f t="shared" si="18"/>
        <v>0</v>
      </c>
      <c r="AC51" s="152">
        <f t="shared" si="18"/>
        <v>0</v>
      </c>
      <c r="AD51" s="158">
        <f>E51+J51+O51+T51+Y51</f>
        <v>1931.8</v>
      </c>
    </row>
    <row r="52" spans="1:32" ht="23.25">
      <c r="A52" s="235" t="s">
        <v>135</v>
      </c>
      <c r="B52" s="235"/>
      <c r="C52" s="244"/>
      <c r="D52" s="157"/>
      <c r="E52" s="142">
        <f>E35+E36+E37+E38+E39+E40+E41+E42+E43+E44+E45+E46+E47+E49</f>
        <v>37737</v>
      </c>
      <c r="F52" s="142">
        <f>F35+F36+F37+F38+F39+F40+F41+F42+F43+F44+F45+F46+F47+F49</f>
        <v>15077</v>
      </c>
      <c r="G52" s="142">
        <v>22660</v>
      </c>
      <c r="H52" s="142">
        <f>0</f>
        <v>0</v>
      </c>
      <c r="I52" s="142">
        <v>0</v>
      </c>
      <c r="J52" s="142">
        <f>J35+J36+J37+J38+J39+J40+J41+J42+J43+J44+J45+J46+J47+J49</f>
        <v>6872</v>
      </c>
      <c r="K52" s="142">
        <f>K35+K36+K37+K38+K39+K40+K41+K42+K43+K44+K45+K46+K47+K49</f>
        <v>6872</v>
      </c>
      <c r="L52" s="142">
        <v>0</v>
      </c>
      <c r="M52" s="142">
        <v>0</v>
      </c>
      <c r="N52" s="142">
        <v>0</v>
      </c>
      <c r="O52" s="142">
        <f>O35+O36+O37+O38+O39+O40+O42+O41+O43+O44+O45+O46+O47+O49</f>
        <v>0</v>
      </c>
      <c r="P52" s="142">
        <f>P35+P36+P37+P38+P39+P40+P41+P42+P43+P44+P45+P46+P47+P49</f>
        <v>0</v>
      </c>
      <c r="Q52" s="142">
        <v>0</v>
      </c>
      <c r="R52" s="142">
        <v>0</v>
      </c>
      <c r="S52" s="142">
        <v>0</v>
      </c>
      <c r="T52" s="142">
        <f>T35+T36+T37+T38+T39+T40+T41+T42+T43+T44+T45+T46+T47+T49</f>
        <v>0</v>
      </c>
      <c r="U52" s="142">
        <f>U35+U36+U37+U38+U39+U40+U41+U42+U43+U44+U45+U46+U47+U49</f>
        <v>0</v>
      </c>
      <c r="V52" s="142">
        <v>0</v>
      </c>
      <c r="W52" s="142">
        <v>0</v>
      </c>
      <c r="X52" s="142">
        <v>0</v>
      </c>
      <c r="Y52" s="142">
        <f>Y35+Y36+Y37+Y38+Y39+Y40+Y41+Y42+Y43+Y44+Y45+Y46+Y47+Y49</f>
        <v>9906</v>
      </c>
      <c r="Z52" s="142">
        <f>Z35+Z36+Z37+Z38+Z39+Z40+Z41+Z42+Z43+Z44+Z45+Z46+Z47+Z49</f>
        <v>9906</v>
      </c>
      <c r="AA52" s="142">
        <v>0</v>
      </c>
      <c r="AB52" s="142">
        <v>0</v>
      </c>
      <c r="AC52" s="142">
        <v>0</v>
      </c>
      <c r="AD52" s="142">
        <f>E52+J52+O52+T52+Y52</f>
        <v>54515</v>
      </c>
    </row>
    <row r="53" spans="1:32" ht="23.25">
      <c r="A53" s="41" t="s">
        <v>223</v>
      </c>
      <c r="B53" s="572" t="s">
        <v>248</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4"/>
    </row>
    <row r="54" spans="1:32" ht="75">
      <c r="A54" s="155" t="s">
        <v>27</v>
      </c>
      <c r="B54" s="175" t="s">
        <v>120</v>
      </c>
      <c r="C54" s="41" t="s">
        <v>94</v>
      </c>
      <c r="D54" s="41" t="s">
        <v>93</v>
      </c>
      <c r="E54" s="142">
        <f>F54+G54+H54+I54</f>
        <v>700</v>
      </c>
      <c r="F54" s="142">
        <f>700</f>
        <v>700</v>
      </c>
      <c r="G54" s="142">
        <v>0</v>
      </c>
      <c r="H54" s="142">
        <v>0</v>
      </c>
      <c r="I54" s="142">
        <v>0</v>
      </c>
      <c r="J54" s="142">
        <f>K54+L54+M54+N54</f>
        <v>600</v>
      </c>
      <c r="K54" s="142">
        <v>600</v>
      </c>
      <c r="L54" s="142">
        <v>0</v>
      </c>
      <c r="M54" s="142">
        <v>0</v>
      </c>
      <c r="N54" s="142">
        <v>0</v>
      </c>
      <c r="O54" s="142">
        <f>P54+Q54+R54+S54</f>
        <v>0</v>
      </c>
      <c r="P54" s="142">
        <v>0</v>
      </c>
      <c r="Q54" s="142">
        <v>0</v>
      </c>
      <c r="R54" s="142">
        <v>0</v>
      </c>
      <c r="S54" s="142">
        <v>0</v>
      </c>
      <c r="T54" s="142">
        <f>U54+V54+W54+X54</f>
        <v>0</v>
      </c>
      <c r="U54" s="142">
        <v>0</v>
      </c>
      <c r="V54" s="142">
        <v>0</v>
      </c>
      <c r="W54" s="142">
        <v>0</v>
      </c>
      <c r="X54" s="142">
        <v>0</v>
      </c>
      <c r="Y54" s="142">
        <f>Z54+AA54+AB54+AC54</f>
        <v>700</v>
      </c>
      <c r="Z54" s="142">
        <v>700</v>
      </c>
      <c r="AA54" s="142">
        <v>0</v>
      </c>
      <c r="AB54" s="142">
        <v>0</v>
      </c>
      <c r="AC54" s="142">
        <v>0</v>
      </c>
      <c r="AD54" s="142">
        <f>E54+J54+O54+T54+Y54</f>
        <v>2000</v>
      </c>
    </row>
    <row r="55" spans="1:32" ht="23.25">
      <c r="A55" s="575" t="s">
        <v>44</v>
      </c>
      <c r="B55" s="575"/>
      <c r="C55" s="575"/>
      <c r="D55" s="242"/>
      <c r="E55" s="148">
        <f t="shared" ref="E55:AD55" si="19">SUM(E54:E54)</f>
        <v>700</v>
      </c>
      <c r="F55" s="148">
        <f>SUM(F54)</f>
        <v>700</v>
      </c>
      <c r="G55" s="148">
        <f t="shared" si="19"/>
        <v>0</v>
      </c>
      <c r="H55" s="148">
        <f t="shared" si="19"/>
        <v>0</v>
      </c>
      <c r="I55" s="148">
        <f t="shared" si="19"/>
        <v>0</v>
      </c>
      <c r="J55" s="148">
        <f>J54</f>
        <v>600</v>
      </c>
      <c r="K55" s="148">
        <f t="shared" si="19"/>
        <v>600</v>
      </c>
      <c r="L55" s="148">
        <f t="shared" si="19"/>
        <v>0</v>
      </c>
      <c r="M55" s="148">
        <f t="shared" si="19"/>
        <v>0</v>
      </c>
      <c r="N55" s="148">
        <f t="shared" si="19"/>
        <v>0</v>
      </c>
      <c r="O55" s="148">
        <f t="shared" si="19"/>
        <v>0</v>
      </c>
      <c r="P55" s="148">
        <f t="shared" si="19"/>
        <v>0</v>
      </c>
      <c r="Q55" s="148">
        <f t="shared" si="19"/>
        <v>0</v>
      </c>
      <c r="R55" s="148">
        <f t="shared" si="19"/>
        <v>0</v>
      </c>
      <c r="S55" s="148">
        <f t="shared" si="19"/>
        <v>0</v>
      </c>
      <c r="T55" s="148">
        <f t="shared" si="19"/>
        <v>0</v>
      </c>
      <c r="U55" s="148">
        <f t="shared" si="19"/>
        <v>0</v>
      </c>
      <c r="V55" s="148">
        <f t="shared" si="19"/>
        <v>0</v>
      </c>
      <c r="W55" s="148">
        <f t="shared" si="19"/>
        <v>0</v>
      </c>
      <c r="X55" s="148">
        <f t="shared" si="19"/>
        <v>0</v>
      </c>
      <c r="Y55" s="148">
        <f t="shared" si="19"/>
        <v>700</v>
      </c>
      <c r="Z55" s="148">
        <f t="shared" si="19"/>
        <v>700</v>
      </c>
      <c r="AA55" s="148">
        <f t="shared" si="19"/>
        <v>0</v>
      </c>
      <c r="AB55" s="148">
        <f t="shared" si="19"/>
        <v>0</v>
      </c>
      <c r="AC55" s="148">
        <f t="shared" si="19"/>
        <v>0</v>
      </c>
      <c r="AD55" s="148">
        <f t="shared" si="19"/>
        <v>2000</v>
      </c>
    </row>
    <row r="56" spans="1:32" ht="23.25">
      <c r="A56" s="41" t="s">
        <v>249</v>
      </c>
      <c r="B56" s="572" t="s">
        <v>250</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4"/>
    </row>
    <row r="57" spans="1:32" ht="111" customHeight="1">
      <c r="A57" s="626" t="s">
        <v>46</v>
      </c>
      <c r="B57" s="613" t="s">
        <v>109</v>
      </c>
      <c r="C57" s="41" t="s">
        <v>285</v>
      </c>
      <c r="D57" s="224">
        <v>2020</v>
      </c>
      <c r="E57" s="142">
        <f>F57+G57+H57+I57</f>
        <v>1449</v>
      </c>
      <c r="F57" s="142">
        <f>1656-207</f>
        <v>1449</v>
      </c>
      <c r="G57" s="142">
        <v>0</v>
      </c>
      <c r="H57" s="142">
        <v>0</v>
      </c>
      <c r="I57" s="142">
        <v>0</v>
      </c>
      <c r="J57" s="142">
        <f>K57+L57+M57+N57</f>
        <v>0</v>
      </c>
      <c r="K57" s="142">
        <v>0</v>
      </c>
      <c r="L57" s="142">
        <v>0</v>
      </c>
      <c r="M57" s="142">
        <v>0</v>
      </c>
      <c r="N57" s="142">
        <v>0</v>
      </c>
      <c r="O57" s="142">
        <f>P57+Q57+R57+S57</f>
        <v>0</v>
      </c>
      <c r="P57" s="142">
        <v>0</v>
      </c>
      <c r="Q57" s="142">
        <v>0</v>
      </c>
      <c r="R57" s="142">
        <v>0</v>
      </c>
      <c r="S57" s="142">
        <v>0</v>
      </c>
      <c r="T57" s="142">
        <f>U57+V57+W57+X57</f>
        <v>0</v>
      </c>
      <c r="U57" s="142">
        <v>0</v>
      </c>
      <c r="V57" s="142">
        <v>0</v>
      </c>
      <c r="W57" s="142">
        <v>0</v>
      </c>
      <c r="X57" s="142">
        <v>0</v>
      </c>
      <c r="Y57" s="142">
        <f>Z57+AA57+AB57+AC57</f>
        <v>0</v>
      </c>
      <c r="Z57" s="142">
        <v>0</v>
      </c>
      <c r="AA57" s="142">
        <v>0</v>
      </c>
      <c r="AB57" s="142">
        <v>0</v>
      </c>
      <c r="AC57" s="142">
        <v>0</v>
      </c>
      <c r="AD57" s="142">
        <f>E57+I57+O57+T57+0</f>
        <v>1449</v>
      </c>
    </row>
    <row r="58" spans="1:32" ht="76.5" customHeight="1">
      <c r="A58" s="627"/>
      <c r="B58" s="614"/>
      <c r="C58" s="41" t="s">
        <v>286</v>
      </c>
      <c r="D58" s="224" t="s">
        <v>284</v>
      </c>
      <c r="E58" s="142">
        <f>F58+G58+H58+I58</f>
        <v>0</v>
      </c>
      <c r="F58" s="142">
        <v>0</v>
      </c>
      <c r="G58" s="142">
        <v>0</v>
      </c>
      <c r="H58" s="142">
        <v>0</v>
      </c>
      <c r="I58" s="142">
        <v>0</v>
      </c>
      <c r="J58" s="142">
        <f>K58+L58+M58+N58</f>
        <v>1437</v>
      </c>
      <c r="K58" s="142">
        <v>1437</v>
      </c>
      <c r="L58" s="142">
        <v>0</v>
      </c>
      <c r="M58" s="142">
        <v>0</v>
      </c>
      <c r="N58" s="142">
        <v>0</v>
      </c>
      <c r="O58" s="142">
        <f>P58+Q58+R58+S58</f>
        <v>1437</v>
      </c>
      <c r="P58" s="142">
        <v>1437</v>
      </c>
      <c r="Q58" s="142">
        <v>0</v>
      </c>
      <c r="R58" s="142">
        <v>0</v>
      </c>
      <c r="S58" s="142">
        <v>0</v>
      </c>
      <c r="T58" s="142">
        <f>U58+V58+W58+X58</f>
        <v>1437</v>
      </c>
      <c r="U58" s="142">
        <v>1437</v>
      </c>
      <c r="V58" s="142">
        <v>0</v>
      </c>
      <c r="W58" s="142">
        <v>0</v>
      </c>
      <c r="X58" s="142">
        <v>0</v>
      </c>
      <c r="Y58" s="142">
        <f>Z58+AA58+AB58+AC58</f>
        <v>1656</v>
      </c>
      <c r="Z58" s="142">
        <v>1656</v>
      </c>
      <c r="AA58" s="142">
        <v>0</v>
      </c>
      <c r="AB58" s="142">
        <v>0</v>
      </c>
      <c r="AC58" s="142">
        <v>0</v>
      </c>
      <c r="AD58" s="142">
        <f>E58+J58+O58+T58+Y58</f>
        <v>5967</v>
      </c>
    </row>
    <row r="59" spans="1:32" ht="56.25">
      <c r="A59" s="155" t="s">
        <v>251</v>
      </c>
      <c r="B59" s="175" t="s">
        <v>267</v>
      </c>
      <c r="C59" s="41" t="s">
        <v>52</v>
      </c>
      <c r="D59" s="41" t="s">
        <v>93</v>
      </c>
      <c r="E59" s="142">
        <f>F59+G59+H59+I59</f>
        <v>55</v>
      </c>
      <c r="F59" s="142">
        <f>86-31</f>
        <v>55</v>
      </c>
      <c r="G59" s="142">
        <v>0</v>
      </c>
      <c r="H59" s="142">
        <v>0</v>
      </c>
      <c r="I59" s="142">
        <v>0</v>
      </c>
      <c r="J59" s="142">
        <f>K59+L59+M59+N59</f>
        <v>70</v>
      </c>
      <c r="K59" s="142">
        <v>70</v>
      </c>
      <c r="L59" s="142">
        <v>0</v>
      </c>
      <c r="M59" s="142">
        <v>0</v>
      </c>
      <c r="N59" s="142">
        <v>0</v>
      </c>
      <c r="O59" s="142">
        <f>P59+Q59+R59+S59</f>
        <v>70</v>
      </c>
      <c r="P59" s="142">
        <v>70</v>
      </c>
      <c r="Q59" s="142">
        <v>0</v>
      </c>
      <c r="R59" s="142">
        <v>0</v>
      </c>
      <c r="S59" s="142">
        <v>0</v>
      </c>
      <c r="T59" s="142">
        <f>U59+V59+W59+X59</f>
        <v>70</v>
      </c>
      <c r="U59" s="142">
        <v>70</v>
      </c>
      <c r="V59" s="142">
        <v>0</v>
      </c>
      <c r="W59" s="142">
        <v>0</v>
      </c>
      <c r="X59" s="142">
        <v>0</v>
      </c>
      <c r="Y59" s="142">
        <f>Z59+AA59+AB59+AC59</f>
        <v>86</v>
      </c>
      <c r="Z59" s="142">
        <v>86</v>
      </c>
      <c r="AA59" s="142">
        <v>0</v>
      </c>
      <c r="AB59" s="142">
        <v>0</v>
      </c>
      <c r="AC59" s="142">
        <v>0</v>
      </c>
      <c r="AD59" s="142">
        <f>E59+J59+O59+T59+Y59</f>
        <v>351</v>
      </c>
    </row>
    <row r="60" spans="1:32" ht="23.25">
      <c r="A60" s="575" t="s">
        <v>47</v>
      </c>
      <c r="B60" s="575"/>
      <c r="C60" s="575"/>
      <c r="D60" s="242"/>
      <c r="E60" s="148">
        <f>E61+E62</f>
        <v>1504</v>
      </c>
      <c r="F60" s="148">
        <f>F61+F62</f>
        <v>1504</v>
      </c>
      <c r="G60" s="148">
        <f t="shared" ref="G60:AC60" si="20">SUM(G58:G59)</f>
        <v>0</v>
      </c>
      <c r="H60" s="148">
        <f t="shared" si="20"/>
        <v>0</v>
      </c>
      <c r="I60" s="148">
        <f t="shared" si="20"/>
        <v>0</v>
      </c>
      <c r="J60" s="148">
        <f t="shared" si="20"/>
        <v>1507</v>
      </c>
      <c r="K60" s="148">
        <f t="shared" si="20"/>
        <v>1507</v>
      </c>
      <c r="L60" s="148">
        <f t="shared" si="20"/>
        <v>0</v>
      </c>
      <c r="M60" s="148">
        <f t="shared" si="20"/>
        <v>0</v>
      </c>
      <c r="N60" s="148">
        <f t="shared" si="20"/>
        <v>0</v>
      </c>
      <c r="O60" s="148">
        <f t="shared" si="20"/>
        <v>1507</v>
      </c>
      <c r="P60" s="148">
        <f t="shared" si="20"/>
        <v>1507</v>
      </c>
      <c r="Q60" s="148">
        <f t="shared" si="20"/>
        <v>0</v>
      </c>
      <c r="R60" s="148">
        <f t="shared" si="20"/>
        <v>0</v>
      </c>
      <c r="S60" s="148">
        <f t="shared" si="20"/>
        <v>0</v>
      </c>
      <c r="T60" s="148">
        <f t="shared" si="20"/>
        <v>1507</v>
      </c>
      <c r="U60" s="148">
        <f t="shared" si="20"/>
        <v>1507</v>
      </c>
      <c r="V60" s="148">
        <f t="shared" si="20"/>
        <v>0</v>
      </c>
      <c r="W60" s="148">
        <f t="shared" si="20"/>
        <v>0</v>
      </c>
      <c r="X60" s="148">
        <f t="shared" si="20"/>
        <v>0</v>
      </c>
      <c r="Y60" s="148">
        <f t="shared" si="20"/>
        <v>1742</v>
      </c>
      <c r="Z60" s="148">
        <f t="shared" si="20"/>
        <v>1742</v>
      </c>
      <c r="AA60" s="148">
        <f t="shared" si="20"/>
        <v>0</v>
      </c>
      <c r="AB60" s="148">
        <f t="shared" si="20"/>
        <v>0</v>
      </c>
      <c r="AC60" s="148">
        <f t="shared" si="20"/>
        <v>0</v>
      </c>
      <c r="AD60" s="148">
        <f>AD61+AD62</f>
        <v>7767</v>
      </c>
    </row>
    <row r="61" spans="1:32" ht="23.25">
      <c r="A61" s="235" t="s">
        <v>73</v>
      </c>
      <c r="B61" s="235"/>
      <c r="C61" s="244"/>
      <c r="D61" s="157"/>
      <c r="E61" s="152">
        <f>E59</f>
        <v>55</v>
      </c>
      <c r="F61" s="152">
        <f>F59</f>
        <v>55</v>
      </c>
      <c r="G61" s="152">
        <v>0</v>
      </c>
      <c r="H61" s="152">
        <v>0</v>
      </c>
      <c r="I61" s="152">
        <v>0</v>
      </c>
      <c r="J61" s="152">
        <f>K61+L61+M61+N61</f>
        <v>1507</v>
      </c>
      <c r="K61" s="152">
        <f>K58+K59</f>
        <v>1507</v>
      </c>
      <c r="L61" s="152">
        <v>0</v>
      </c>
      <c r="M61" s="152">
        <v>0</v>
      </c>
      <c r="N61" s="152">
        <v>0</v>
      </c>
      <c r="O61" s="152">
        <f>O58+O59</f>
        <v>1507</v>
      </c>
      <c r="P61" s="152">
        <f>P58+P59</f>
        <v>1507</v>
      </c>
      <c r="Q61" s="152">
        <v>0</v>
      </c>
      <c r="R61" s="152">
        <v>0</v>
      </c>
      <c r="S61" s="152">
        <v>0</v>
      </c>
      <c r="T61" s="152">
        <f>T58+T59</f>
        <v>1507</v>
      </c>
      <c r="U61" s="152">
        <f>U58+U59</f>
        <v>1507</v>
      </c>
      <c r="V61" s="152">
        <v>0</v>
      </c>
      <c r="W61" s="152">
        <v>0</v>
      </c>
      <c r="X61" s="152">
        <v>0</v>
      </c>
      <c r="Y61" s="152">
        <f>Y58+Y59</f>
        <v>1742</v>
      </c>
      <c r="Z61" s="152">
        <f>Z58+Z59</f>
        <v>1742</v>
      </c>
      <c r="AA61" s="152">
        <v>0</v>
      </c>
      <c r="AB61" s="152">
        <v>0</v>
      </c>
      <c r="AC61" s="152">
        <v>0</v>
      </c>
      <c r="AD61" s="158">
        <f>AD58+AD59</f>
        <v>6318</v>
      </c>
    </row>
    <row r="62" spans="1:32" ht="23.25">
      <c r="A62" s="235" t="s">
        <v>135</v>
      </c>
      <c r="B62" s="235"/>
      <c r="C62" s="244"/>
      <c r="D62" s="157"/>
      <c r="E62" s="152">
        <f>F62+G62+H62+I62</f>
        <v>1449</v>
      </c>
      <c r="F62" s="152">
        <f>F57</f>
        <v>1449</v>
      </c>
      <c r="G62" s="152">
        <v>0</v>
      </c>
      <c r="H62" s="152">
        <v>0</v>
      </c>
      <c r="I62" s="152">
        <v>0</v>
      </c>
      <c r="J62" s="152">
        <v>0</v>
      </c>
      <c r="K62" s="152">
        <v>0</v>
      </c>
      <c r="L62" s="152">
        <v>0</v>
      </c>
      <c r="M62" s="152">
        <v>0</v>
      </c>
      <c r="N62" s="152">
        <v>0</v>
      </c>
      <c r="O62" s="152">
        <v>0</v>
      </c>
      <c r="P62" s="152">
        <v>0</v>
      </c>
      <c r="Q62" s="152">
        <v>0</v>
      </c>
      <c r="R62" s="152">
        <v>0</v>
      </c>
      <c r="S62" s="152">
        <v>0</v>
      </c>
      <c r="T62" s="152">
        <v>0</v>
      </c>
      <c r="U62" s="152">
        <v>0</v>
      </c>
      <c r="V62" s="152">
        <v>0</v>
      </c>
      <c r="W62" s="152">
        <v>0</v>
      </c>
      <c r="X62" s="152">
        <v>0</v>
      </c>
      <c r="Y62" s="152">
        <v>0</v>
      </c>
      <c r="Z62" s="152">
        <v>0</v>
      </c>
      <c r="AA62" s="152">
        <v>0</v>
      </c>
      <c r="AB62" s="152">
        <v>0</v>
      </c>
      <c r="AC62" s="152">
        <v>0</v>
      </c>
      <c r="AD62" s="158">
        <f>AD57</f>
        <v>1449</v>
      </c>
    </row>
    <row r="63" spans="1:32" ht="23.25">
      <c r="A63" s="41" t="s">
        <v>224</v>
      </c>
      <c r="B63" s="572" t="s">
        <v>278</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4"/>
    </row>
    <row r="64" spans="1:32" ht="144" customHeight="1">
      <c r="A64" s="155" t="s">
        <v>48</v>
      </c>
      <c r="B64" s="170" t="s">
        <v>108</v>
      </c>
      <c r="C64" s="41" t="s">
        <v>94</v>
      </c>
      <c r="D64" s="41" t="s">
        <v>93</v>
      </c>
      <c r="E64" s="142">
        <f>F64+G64+H64+I64</f>
        <v>766</v>
      </c>
      <c r="F64" s="142">
        <f>409+357</f>
        <v>766</v>
      </c>
      <c r="G64" s="142">
        <v>0</v>
      </c>
      <c r="H64" s="142">
        <v>0</v>
      </c>
      <c r="I64" s="142">
        <v>0</v>
      </c>
      <c r="J64" s="142">
        <f>K64+L64+M64+N64</f>
        <v>655</v>
      </c>
      <c r="K64" s="142">
        <v>655</v>
      </c>
      <c r="L64" s="142">
        <v>0</v>
      </c>
      <c r="M64" s="142">
        <v>0</v>
      </c>
      <c r="N64" s="142">
        <v>0</v>
      </c>
      <c r="O64" s="142">
        <f>P64+Q64+R64+S64</f>
        <v>0</v>
      </c>
      <c r="P64" s="142">
        <v>0</v>
      </c>
      <c r="Q64" s="142">
        <v>0</v>
      </c>
      <c r="R64" s="142">
        <v>0</v>
      </c>
      <c r="S64" s="142">
        <v>0</v>
      </c>
      <c r="T64" s="142">
        <v>0</v>
      </c>
      <c r="U64" s="142">
        <v>0</v>
      </c>
      <c r="V64" s="142">
        <v>0</v>
      </c>
      <c r="W64" s="142">
        <v>0</v>
      </c>
      <c r="X64" s="142">
        <v>0</v>
      </c>
      <c r="Y64" s="142">
        <v>510</v>
      </c>
      <c r="Z64" s="142">
        <v>510</v>
      </c>
      <c r="AA64" s="142">
        <v>0</v>
      </c>
      <c r="AB64" s="142">
        <v>0</v>
      </c>
      <c r="AC64" s="142">
        <v>0</v>
      </c>
      <c r="AD64" s="142">
        <f>E64+J64+O64+T64+Y64</f>
        <v>1931</v>
      </c>
      <c r="AF64" s="200" t="s">
        <v>131</v>
      </c>
    </row>
    <row r="65" spans="1:30">
      <c r="A65" s="631" t="s">
        <v>49</v>
      </c>
      <c r="B65" s="631"/>
      <c r="C65" s="631"/>
      <c r="D65" s="242"/>
      <c r="E65" s="148">
        <f t="shared" ref="E65:AD65" si="21">SUM(E64:E64)</f>
        <v>766</v>
      </c>
      <c r="F65" s="148">
        <f>SUM(F64)</f>
        <v>766</v>
      </c>
      <c r="G65" s="148">
        <f t="shared" si="21"/>
        <v>0</v>
      </c>
      <c r="H65" s="148">
        <f t="shared" si="21"/>
        <v>0</v>
      </c>
      <c r="I65" s="148">
        <f t="shared" si="21"/>
        <v>0</v>
      </c>
      <c r="J65" s="148">
        <f>J64</f>
        <v>655</v>
      </c>
      <c r="K65" s="148">
        <f t="shared" si="21"/>
        <v>655</v>
      </c>
      <c r="L65" s="148">
        <f t="shared" si="21"/>
        <v>0</v>
      </c>
      <c r="M65" s="148">
        <f t="shared" si="21"/>
        <v>0</v>
      </c>
      <c r="N65" s="148">
        <f t="shared" si="21"/>
        <v>0</v>
      </c>
      <c r="O65" s="148">
        <f t="shared" si="21"/>
        <v>0</v>
      </c>
      <c r="P65" s="148">
        <f t="shared" si="21"/>
        <v>0</v>
      </c>
      <c r="Q65" s="148">
        <f t="shared" si="21"/>
        <v>0</v>
      </c>
      <c r="R65" s="148">
        <f t="shared" si="21"/>
        <v>0</v>
      </c>
      <c r="S65" s="148">
        <f t="shared" si="21"/>
        <v>0</v>
      </c>
      <c r="T65" s="148">
        <f t="shared" si="21"/>
        <v>0</v>
      </c>
      <c r="U65" s="148">
        <f t="shared" si="21"/>
        <v>0</v>
      </c>
      <c r="V65" s="148">
        <f t="shared" si="21"/>
        <v>0</v>
      </c>
      <c r="W65" s="148">
        <f t="shared" si="21"/>
        <v>0</v>
      </c>
      <c r="X65" s="148">
        <f t="shared" si="21"/>
        <v>0</v>
      </c>
      <c r="Y65" s="148">
        <f t="shared" si="21"/>
        <v>510</v>
      </c>
      <c r="Z65" s="148">
        <f t="shared" si="21"/>
        <v>510</v>
      </c>
      <c r="AA65" s="148">
        <f t="shared" si="21"/>
        <v>0</v>
      </c>
      <c r="AB65" s="148">
        <f t="shared" si="21"/>
        <v>0</v>
      </c>
      <c r="AC65" s="148">
        <f t="shared" si="21"/>
        <v>0</v>
      </c>
      <c r="AD65" s="148">
        <f t="shared" si="21"/>
        <v>1931</v>
      </c>
    </row>
    <row r="66" spans="1:30" ht="23.25">
      <c r="A66" s="242" t="s">
        <v>252</v>
      </c>
      <c r="B66" s="572" t="s">
        <v>279</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4"/>
    </row>
    <row r="67" spans="1:30" ht="150">
      <c r="A67" s="242" t="s">
        <v>50</v>
      </c>
      <c r="B67" s="170" t="s">
        <v>115</v>
      </c>
      <c r="C67" s="41" t="s">
        <v>106</v>
      </c>
      <c r="D67" s="41" t="s">
        <v>93</v>
      </c>
      <c r="E67" s="142">
        <f>F67+G67+H67+I67</f>
        <v>25286</v>
      </c>
      <c r="F67" s="142">
        <f>27786-2500</f>
        <v>25286</v>
      </c>
      <c r="G67" s="142">
        <v>0</v>
      </c>
      <c r="H67" s="142">
        <v>0</v>
      </c>
      <c r="I67" s="142">
        <v>0</v>
      </c>
      <c r="J67" s="136">
        <f>K67+L67+M67+N67</f>
        <v>40010</v>
      </c>
      <c r="K67" s="136">
        <f>40120-110</f>
        <v>40010</v>
      </c>
      <c r="L67" s="142">
        <v>0</v>
      </c>
      <c r="M67" s="142">
        <v>0</v>
      </c>
      <c r="N67" s="142">
        <v>0</v>
      </c>
      <c r="O67" s="142">
        <f>P67+Q67+R67+S67</f>
        <v>0</v>
      </c>
      <c r="P67" s="142">
        <v>0</v>
      </c>
      <c r="Q67" s="142">
        <v>0</v>
      </c>
      <c r="R67" s="142">
        <v>0</v>
      </c>
      <c r="S67" s="142">
        <v>0</v>
      </c>
      <c r="T67" s="142">
        <f>U67+V67+W67+X67</f>
        <v>0</v>
      </c>
      <c r="U67" s="142">
        <v>0</v>
      </c>
      <c r="V67" s="142">
        <v>0</v>
      </c>
      <c r="W67" s="142">
        <v>0</v>
      </c>
      <c r="X67" s="142">
        <v>0</v>
      </c>
      <c r="Y67" s="142">
        <v>40120</v>
      </c>
      <c r="Z67" s="142">
        <v>40120</v>
      </c>
      <c r="AA67" s="142">
        <v>0</v>
      </c>
      <c r="AB67" s="142">
        <v>0</v>
      </c>
      <c r="AC67" s="142">
        <v>0</v>
      </c>
      <c r="AD67" s="142">
        <f>E67+J67+O67+T67+Y67</f>
        <v>105416</v>
      </c>
    </row>
    <row r="68" spans="1:30" ht="23.25">
      <c r="A68" s="632" t="s">
        <v>53</v>
      </c>
      <c r="B68" s="633"/>
      <c r="C68" s="634"/>
      <c r="D68" s="242"/>
      <c r="E68" s="148">
        <f t="shared" ref="E68:AD68" si="22">SUM(E67:E67)</f>
        <v>25286</v>
      </c>
      <c r="F68" s="148">
        <f>SUM(F67)</f>
        <v>25286</v>
      </c>
      <c r="G68" s="148">
        <f t="shared" si="22"/>
        <v>0</v>
      </c>
      <c r="H68" s="148">
        <f t="shared" si="22"/>
        <v>0</v>
      </c>
      <c r="I68" s="148">
        <f t="shared" si="22"/>
        <v>0</v>
      </c>
      <c r="J68" s="148">
        <f>J67</f>
        <v>40010</v>
      </c>
      <c r="K68" s="148">
        <f t="shared" si="22"/>
        <v>40010</v>
      </c>
      <c r="L68" s="148">
        <f t="shared" si="22"/>
        <v>0</v>
      </c>
      <c r="M68" s="148">
        <f t="shared" si="22"/>
        <v>0</v>
      </c>
      <c r="N68" s="148">
        <f t="shared" si="22"/>
        <v>0</v>
      </c>
      <c r="O68" s="148">
        <f t="shared" si="22"/>
        <v>0</v>
      </c>
      <c r="P68" s="148">
        <f t="shared" si="22"/>
        <v>0</v>
      </c>
      <c r="Q68" s="148">
        <f t="shared" si="22"/>
        <v>0</v>
      </c>
      <c r="R68" s="148">
        <f t="shared" si="22"/>
        <v>0</v>
      </c>
      <c r="S68" s="148">
        <f t="shared" si="22"/>
        <v>0</v>
      </c>
      <c r="T68" s="148">
        <f t="shared" si="22"/>
        <v>0</v>
      </c>
      <c r="U68" s="148">
        <f t="shared" si="22"/>
        <v>0</v>
      </c>
      <c r="V68" s="148">
        <f t="shared" si="22"/>
        <v>0</v>
      </c>
      <c r="W68" s="148">
        <f t="shared" si="22"/>
        <v>0</v>
      </c>
      <c r="X68" s="148">
        <f t="shared" si="22"/>
        <v>0</v>
      </c>
      <c r="Y68" s="148">
        <f t="shared" si="22"/>
        <v>40120</v>
      </c>
      <c r="Z68" s="148">
        <f t="shared" si="22"/>
        <v>40120</v>
      </c>
      <c r="AA68" s="148">
        <f t="shared" si="22"/>
        <v>0</v>
      </c>
      <c r="AB68" s="148">
        <f t="shared" si="22"/>
        <v>0</v>
      </c>
      <c r="AC68" s="148">
        <f t="shared" si="22"/>
        <v>0</v>
      </c>
      <c r="AD68" s="148">
        <f t="shared" si="22"/>
        <v>105416</v>
      </c>
    </row>
    <row r="69" spans="1:30" ht="23.25">
      <c r="A69" s="242" t="s">
        <v>254</v>
      </c>
      <c r="B69" s="572" t="s">
        <v>280</v>
      </c>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4"/>
    </row>
    <row r="70" spans="1:30" ht="75">
      <c r="A70" s="242" t="s">
        <v>55</v>
      </c>
      <c r="B70" s="191" t="s">
        <v>96</v>
      </c>
      <c r="C70" s="41" t="s">
        <v>94</v>
      </c>
      <c r="D70" s="41" t="s">
        <v>93</v>
      </c>
      <c r="E70" s="142">
        <f>F70+G70+H70+I70</f>
        <v>7420</v>
      </c>
      <c r="F70" s="142">
        <f>6486+934</f>
        <v>7420</v>
      </c>
      <c r="G70" s="142">
        <v>0</v>
      </c>
      <c r="H70" s="142">
        <v>0</v>
      </c>
      <c r="I70" s="142">
        <v>0</v>
      </c>
      <c r="J70" s="142">
        <f>K70+L70+M70+N70</f>
        <v>7350</v>
      </c>
      <c r="K70" s="142">
        <v>7350</v>
      </c>
      <c r="L70" s="142">
        <v>0</v>
      </c>
      <c r="M70" s="142">
        <v>0</v>
      </c>
      <c r="N70" s="142">
        <v>0</v>
      </c>
      <c r="O70" s="142">
        <f>P70+Q70+R70+S70</f>
        <v>0</v>
      </c>
      <c r="P70" s="142">
        <v>0</v>
      </c>
      <c r="Q70" s="142">
        <v>0</v>
      </c>
      <c r="R70" s="142">
        <v>0</v>
      </c>
      <c r="S70" s="142">
        <v>0</v>
      </c>
      <c r="T70" s="142">
        <f>U70+V70+W70+X70</f>
        <v>0</v>
      </c>
      <c r="U70" s="142">
        <v>0</v>
      </c>
      <c r="V70" s="142">
        <v>0</v>
      </c>
      <c r="W70" s="142">
        <v>0</v>
      </c>
      <c r="X70" s="142">
        <v>0</v>
      </c>
      <c r="Y70" s="142">
        <f>Z70+AA70+AB70+AC70</f>
        <v>6486</v>
      </c>
      <c r="Z70" s="142">
        <v>6486</v>
      </c>
      <c r="AA70" s="142">
        <v>0</v>
      </c>
      <c r="AB70" s="142">
        <v>0</v>
      </c>
      <c r="AC70" s="142">
        <v>0</v>
      </c>
      <c r="AD70" s="142">
        <f>E70+J70+O70+T70+Y70</f>
        <v>21256</v>
      </c>
    </row>
    <row r="71" spans="1:30" ht="93">
      <c r="A71" s="242" t="s">
        <v>256</v>
      </c>
      <c r="B71" s="170" t="s">
        <v>209</v>
      </c>
      <c r="C71" s="41" t="s">
        <v>94</v>
      </c>
      <c r="D71" s="41" t="s">
        <v>93</v>
      </c>
      <c r="E71" s="142">
        <f>SUM(F71:I71)</f>
        <v>681</v>
      </c>
      <c r="F71" s="142">
        <v>681</v>
      </c>
      <c r="G71" s="142">
        <v>0</v>
      </c>
      <c r="H71" s="142">
        <v>0</v>
      </c>
      <c r="I71" s="142">
        <v>0</v>
      </c>
      <c r="J71" s="142">
        <f>K71+L71+M71+N71</f>
        <v>684</v>
      </c>
      <c r="K71" s="142">
        <v>684</v>
      </c>
      <c r="L71" s="142">
        <v>0</v>
      </c>
      <c r="M71" s="142">
        <v>0</v>
      </c>
      <c r="N71" s="142">
        <v>0</v>
      </c>
      <c r="O71" s="142">
        <f>P71+Q71+R71+S71</f>
        <v>0</v>
      </c>
      <c r="P71" s="142">
        <v>0</v>
      </c>
      <c r="Q71" s="142">
        <v>0</v>
      </c>
      <c r="R71" s="142">
        <v>0</v>
      </c>
      <c r="S71" s="142">
        <v>0</v>
      </c>
      <c r="T71" s="142">
        <f>U71+V71+W71+X71</f>
        <v>0</v>
      </c>
      <c r="U71" s="142">
        <v>0</v>
      </c>
      <c r="V71" s="142">
        <v>0</v>
      </c>
      <c r="W71" s="142">
        <v>0</v>
      </c>
      <c r="X71" s="142">
        <v>0</v>
      </c>
      <c r="Y71" s="142">
        <f>Z71+AA71+AB71+AC71</f>
        <v>660</v>
      </c>
      <c r="Z71" s="142">
        <v>660</v>
      </c>
      <c r="AA71" s="142">
        <v>0</v>
      </c>
      <c r="AB71" s="142">
        <v>0</v>
      </c>
      <c r="AC71" s="142">
        <v>0</v>
      </c>
      <c r="AD71" s="142">
        <f>E71+J71+O71+T71+Y71</f>
        <v>2025</v>
      </c>
    </row>
    <row r="72" spans="1:30" ht="139.5">
      <c r="A72" s="242" t="s">
        <v>257</v>
      </c>
      <c r="B72" s="170" t="s">
        <v>271</v>
      </c>
      <c r="C72" s="41" t="s">
        <v>266</v>
      </c>
      <c r="D72" s="41">
        <v>2020</v>
      </c>
      <c r="E72" s="142">
        <f>F72+G72+H72+I72</f>
        <v>774</v>
      </c>
      <c r="F72" s="142">
        <v>774</v>
      </c>
      <c r="G72" s="142">
        <v>0</v>
      </c>
      <c r="H72" s="142">
        <v>0</v>
      </c>
      <c r="I72" s="142">
        <v>0</v>
      </c>
      <c r="J72" s="142">
        <f>K72+L72+M72+N72</f>
        <v>350</v>
      </c>
      <c r="K72" s="142">
        <v>350</v>
      </c>
      <c r="L72" s="142">
        <v>0</v>
      </c>
      <c r="M72" s="142">
        <v>0</v>
      </c>
      <c r="N72" s="142">
        <v>0</v>
      </c>
      <c r="O72" s="142">
        <f>P72+Q72+R72+S72</f>
        <v>0</v>
      </c>
      <c r="P72" s="142">
        <v>0</v>
      </c>
      <c r="Q72" s="142">
        <v>0</v>
      </c>
      <c r="R72" s="142">
        <v>0</v>
      </c>
      <c r="S72" s="142">
        <v>0</v>
      </c>
      <c r="T72" s="142">
        <f>U72+V72+W72+X72</f>
        <v>0</v>
      </c>
      <c r="U72" s="142">
        <v>0</v>
      </c>
      <c r="V72" s="142">
        <v>0</v>
      </c>
      <c r="W72" s="142">
        <v>0</v>
      </c>
      <c r="X72" s="142">
        <v>0</v>
      </c>
      <c r="Y72" s="142">
        <f>Z72+AA72+AB72+AC72</f>
        <v>774</v>
      </c>
      <c r="Z72" s="142">
        <v>774</v>
      </c>
      <c r="AA72" s="142">
        <v>0</v>
      </c>
      <c r="AB72" s="142">
        <v>0</v>
      </c>
      <c r="AC72" s="142">
        <v>0</v>
      </c>
      <c r="AD72" s="148">
        <f>E72+J72+O72+T72+Y72</f>
        <v>1898</v>
      </c>
    </row>
    <row r="73" spans="1:30" ht="23.25">
      <c r="A73" s="632" t="s">
        <v>56</v>
      </c>
      <c r="B73" s="633"/>
      <c r="C73" s="634"/>
      <c r="D73" s="242"/>
      <c r="E73" s="148">
        <f>E70+E71+E72</f>
        <v>8875</v>
      </c>
      <c r="F73" s="148">
        <f>F70+F71+F72</f>
        <v>8875</v>
      </c>
      <c r="G73" s="148">
        <f>SUM(G70:G70)</f>
        <v>0</v>
      </c>
      <c r="H73" s="148">
        <f>SUM(H70:H70)</f>
        <v>0</v>
      </c>
      <c r="I73" s="148">
        <f>SUM(I70:I70)</f>
        <v>0</v>
      </c>
      <c r="J73" s="148">
        <f>J70+J71+J72</f>
        <v>8384</v>
      </c>
      <c r="K73" s="148">
        <f>K70+K71+K72</f>
        <v>8384</v>
      </c>
      <c r="L73" s="148">
        <f>SUM(L70:L70)</f>
        <v>0</v>
      </c>
      <c r="M73" s="148">
        <f>SUM(M70:M70)</f>
        <v>0</v>
      </c>
      <c r="N73" s="148">
        <f>SUM(N70:N70)</f>
        <v>0</v>
      </c>
      <c r="O73" s="148">
        <f>O70+O71+O72</f>
        <v>0</v>
      </c>
      <c r="P73" s="148">
        <f>P70+P71+P72</f>
        <v>0</v>
      </c>
      <c r="Q73" s="148">
        <f>SUM(Q70:Q70)</f>
        <v>0</v>
      </c>
      <c r="R73" s="148">
        <f>SUM(R70:R70)</f>
        <v>0</v>
      </c>
      <c r="S73" s="148">
        <f>SUM(S70:S70)</f>
        <v>0</v>
      </c>
      <c r="T73" s="148">
        <f>T70+T71+T72</f>
        <v>0</v>
      </c>
      <c r="U73" s="148">
        <f>U70+U71+U72</f>
        <v>0</v>
      </c>
      <c r="V73" s="148">
        <f>SUM(V70:V70)</f>
        <v>0</v>
      </c>
      <c r="W73" s="148">
        <f>SUM(W70:W70)</f>
        <v>0</v>
      </c>
      <c r="X73" s="148">
        <f>SUM(X70:X70)</f>
        <v>0</v>
      </c>
      <c r="Y73" s="148">
        <f>Y70+Y71+Y72</f>
        <v>7920</v>
      </c>
      <c r="Z73" s="148">
        <f>Z70+Z71+Z72</f>
        <v>7920</v>
      </c>
      <c r="AA73" s="148">
        <f>SUM(AA70:AA70)</f>
        <v>0</v>
      </c>
      <c r="AB73" s="148">
        <f>SUM(AB70:AB70)</f>
        <v>0</v>
      </c>
      <c r="AC73" s="148">
        <f>SUM(AC70:AC70)</f>
        <v>0</v>
      </c>
      <c r="AD73" s="148">
        <f>SUM(AD70:AD72)</f>
        <v>25179</v>
      </c>
    </row>
    <row r="74" spans="1:30" ht="23.25">
      <c r="A74" s="235" t="s">
        <v>135</v>
      </c>
      <c r="B74" s="235"/>
      <c r="C74" s="244"/>
      <c r="D74" s="157"/>
      <c r="E74" s="152">
        <f>E70+E71+E72</f>
        <v>8875</v>
      </c>
      <c r="F74" s="152">
        <f>F70+F71+F72</f>
        <v>8875</v>
      </c>
      <c r="G74" s="152">
        <v>0</v>
      </c>
      <c r="H74" s="152">
        <v>0</v>
      </c>
      <c r="I74" s="152">
        <v>0</v>
      </c>
      <c r="J74" s="152">
        <f>J70+J71+J72</f>
        <v>8384</v>
      </c>
      <c r="K74" s="152">
        <f>K70+K71+K72</f>
        <v>8384</v>
      </c>
      <c r="L74" s="152">
        <v>0</v>
      </c>
      <c r="M74" s="152">
        <v>0</v>
      </c>
      <c r="N74" s="152">
        <v>0</v>
      </c>
      <c r="O74" s="152">
        <f>O73</f>
        <v>0</v>
      </c>
      <c r="P74" s="152">
        <f>P73</f>
        <v>0</v>
      </c>
      <c r="Q74" s="152">
        <v>0</v>
      </c>
      <c r="R74" s="152">
        <v>0</v>
      </c>
      <c r="S74" s="152">
        <v>0</v>
      </c>
      <c r="T74" s="152">
        <f>T70+T71+T72</f>
        <v>0</v>
      </c>
      <c r="U74" s="152">
        <f>U70+U71+U72</f>
        <v>0</v>
      </c>
      <c r="V74" s="152">
        <v>0</v>
      </c>
      <c r="W74" s="152">
        <v>0</v>
      </c>
      <c r="X74" s="152">
        <v>0</v>
      </c>
      <c r="Y74" s="152">
        <f>Y70+Y71+Y72</f>
        <v>7920</v>
      </c>
      <c r="Z74" s="152">
        <f>Z70+Z71+Z72</f>
        <v>7920</v>
      </c>
      <c r="AA74" s="152">
        <v>0</v>
      </c>
      <c r="AB74" s="152">
        <v>0</v>
      </c>
      <c r="AC74" s="152">
        <v>0</v>
      </c>
      <c r="AD74" s="158">
        <f>AD70+AD71</f>
        <v>23281</v>
      </c>
    </row>
    <row r="75" spans="1:30" ht="23.25">
      <c r="A75" s="242" t="s">
        <v>97</v>
      </c>
      <c r="B75" s="572" t="s">
        <v>281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4"/>
    </row>
    <row r="76" spans="1:30" ht="162.75">
      <c r="A76" s="214" t="s">
        <v>57</v>
      </c>
      <c r="B76" s="191" t="s">
        <v>264</v>
      </c>
      <c r="C76" s="41" t="s">
        <v>73</v>
      </c>
      <c r="D76" s="41" t="s">
        <v>93</v>
      </c>
      <c r="E76" s="142">
        <f xml:space="preserve"> SUM(F76:I76)</f>
        <v>136.19999999999999</v>
      </c>
      <c r="F76" s="142">
        <f>74.6+61.6</f>
        <v>136.19999999999999</v>
      </c>
      <c r="G76" s="142">
        <v>0</v>
      </c>
      <c r="H76" s="142">
        <v>0</v>
      </c>
      <c r="I76" s="142">
        <v>0</v>
      </c>
      <c r="J76" s="142">
        <f xml:space="preserve"> SUM(K76:N76)</f>
        <v>142</v>
      </c>
      <c r="K76" s="142">
        <v>142</v>
      </c>
      <c r="L76" s="142">
        <v>0</v>
      </c>
      <c r="M76" s="142">
        <v>0</v>
      </c>
      <c r="N76" s="142">
        <v>0</v>
      </c>
      <c r="O76" s="142">
        <f xml:space="preserve"> SUM(P76:S76)</f>
        <v>142</v>
      </c>
      <c r="P76" s="142">
        <v>142</v>
      </c>
      <c r="Q76" s="142">
        <v>0</v>
      </c>
      <c r="R76" s="142">
        <v>0</v>
      </c>
      <c r="S76" s="142">
        <v>0</v>
      </c>
      <c r="T76" s="142">
        <f xml:space="preserve"> SUM(U76:X76)</f>
        <v>142</v>
      </c>
      <c r="U76" s="142">
        <v>142</v>
      </c>
      <c r="V76" s="142">
        <v>0</v>
      </c>
      <c r="W76" s="142">
        <v>0</v>
      </c>
      <c r="X76" s="142">
        <v>0</v>
      </c>
      <c r="Y76" s="142">
        <f xml:space="preserve"> SUM(Z76:AC76)</f>
        <v>145</v>
      </c>
      <c r="Z76" s="142">
        <v>145</v>
      </c>
      <c r="AA76" s="142">
        <v>0</v>
      </c>
      <c r="AB76" s="142">
        <v>0</v>
      </c>
      <c r="AC76" s="142">
        <v>0</v>
      </c>
      <c r="AD76" s="142">
        <f>E76+J76+O76+T76+Y76</f>
        <v>707.2</v>
      </c>
    </row>
    <row r="77" spans="1:30" ht="23.25">
      <c r="A77" s="575" t="s">
        <v>58</v>
      </c>
      <c r="B77" s="575"/>
      <c r="C77" s="575"/>
      <c r="D77" s="242"/>
      <c r="E77" s="148">
        <f>E76</f>
        <v>136.19999999999999</v>
      </c>
      <c r="F77" s="148">
        <f>F76</f>
        <v>136.19999999999999</v>
      </c>
      <c r="G77" s="148">
        <v>0</v>
      </c>
      <c r="H77" s="148">
        <v>0</v>
      </c>
      <c r="I77" s="148">
        <v>0</v>
      </c>
      <c r="J77" s="148">
        <f t="shared" ref="J77:AC77" si="23">J76</f>
        <v>142</v>
      </c>
      <c r="K77" s="148">
        <f t="shared" si="23"/>
        <v>142</v>
      </c>
      <c r="L77" s="148">
        <f t="shared" si="23"/>
        <v>0</v>
      </c>
      <c r="M77" s="148">
        <f t="shared" si="23"/>
        <v>0</v>
      </c>
      <c r="N77" s="148">
        <f t="shared" si="23"/>
        <v>0</v>
      </c>
      <c r="O77" s="148">
        <f t="shared" si="23"/>
        <v>142</v>
      </c>
      <c r="P77" s="148">
        <f t="shared" si="23"/>
        <v>142</v>
      </c>
      <c r="Q77" s="148">
        <f t="shared" si="23"/>
        <v>0</v>
      </c>
      <c r="R77" s="148">
        <f t="shared" si="23"/>
        <v>0</v>
      </c>
      <c r="S77" s="148">
        <f t="shared" si="23"/>
        <v>0</v>
      </c>
      <c r="T77" s="148">
        <f t="shared" si="23"/>
        <v>142</v>
      </c>
      <c r="U77" s="148">
        <f t="shared" si="23"/>
        <v>142</v>
      </c>
      <c r="V77" s="148">
        <f t="shared" si="23"/>
        <v>0</v>
      </c>
      <c r="W77" s="148">
        <f t="shared" si="23"/>
        <v>0</v>
      </c>
      <c r="X77" s="148">
        <f t="shared" si="23"/>
        <v>0</v>
      </c>
      <c r="Y77" s="148">
        <f t="shared" si="23"/>
        <v>145</v>
      </c>
      <c r="Z77" s="148">
        <f t="shared" si="23"/>
        <v>145</v>
      </c>
      <c r="AA77" s="148">
        <f t="shared" si="23"/>
        <v>0</v>
      </c>
      <c r="AB77" s="148">
        <f t="shared" si="23"/>
        <v>0</v>
      </c>
      <c r="AC77" s="148">
        <f t="shared" si="23"/>
        <v>0</v>
      </c>
      <c r="AD77" s="148">
        <f>E77+J77+O77+T77+Y77</f>
        <v>707.2</v>
      </c>
    </row>
    <row r="78" spans="1:30" ht="23.25">
      <c r="A78" s="206">
        <v>10</v>
      </c>
      <c r="B78" s="562" t="s">
        <v>259</v>
      </c>
      <c r="C78" s="563"/>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4"/>
    </row>
    <row r="79" spans="1:30" ht="162.75">
      <c r="A79" s="215" t="s">
        <v>59</v>
      </c>
      <c r="B79" s="191" t="s">
        <v>186</v>
      </c>
      <c r="C79" s="239" t="s">
        <v>107</v>
      </c>
      <c r="D79" s="41" t="s">
        <v>93</v>
      </c>
      <c r="E79" s="216">
        <v>500</v>
      </c>
      <c r="F79" s="216">
        <v>500</v>
      </c>
      <c r="G79" s="216">
        <v>0</v>
      </c>
      <c r="H79" s="216">
        <v>0</v>
      </c>
      <c r="I79" s="216">
        <v>0</v>
      </c>
      <c r="J79" s="216">
        <f>K79+L79+M79+N79</f>
        <v>24</v>
      </c>
      <c r="K79" s="216">
        <v>24</v>
      </c>
      <c r="L79" s="216">
        <v>0</v>
      </c>
      <c r="M79" s="216">
        <v>0</v>
      </c>
      <c r="N79" s="216">
        <v>0</v>
      </c>
      <c r="O79" s="216">
        <v>0</v>
      </c>
      <c r="P79" s="216">
        <v>0</v>
      </c>
      <c r="Q79" s="216">
        <v>0</v>
      </c>
      <c r="R79" s="216">
        <v>0</v>
      </c>
      <c r="S79" s="216">
        <v>0</v>
      </c>
      <c r="T79" s="216">
        <f>U79+V79+W79+X79</f>
        <v>0</v>
      </c>
      <c r="U79" s="216">
        <v>0</v>
      </c>
      <c r="V79" s="216">
        <v>0</v>
      </c>
      <c r="W79" s="216">
        <v>0</v>
      </c>
      <c r="X79" s="216">
        <v>0</v>
      </c>
      <c r="Y79" s="216">
        <v>6480</v>
      </c>
      <c r="Z79" s="216">
        <v>6480</v>
      </c>
      <c r="AA79" s="216">
        <v>0</v>
      </c>
      <c r="AB79" s="216">
        <v>0</v>
      </c>
      <c r="AC79" s="216">
        <v>0</v>
      </c>
      <c r="AD79" s="107">
        <f>E79+J79+O79+T79+Y79</f>
        <v>7004</v>
      </c>
    </row>
    <row r="80" spans="1:30" ht="131.25">
      <c r="A80" s="215" t="s">
        <v>98</v>
      </c>
      <c r="B80" s="170" t="s">
        <v>159</v>
      </c>
      <c r="C80" s="163" t="s">
        <v>107</v>
      </c>
      <c r="D80" s="41" t="s">
        <v>93</v>
      </c>
      <c r="E80" s="216">
        <v>2880</v>
      </c>
      <c r="F80" s="216">
        <v>2880</v>
      </c>
      <c r="G80" s="216">
        <v>0</v>
      </c>
      <c r="H80" s="216">
        <v>0</v>
      </c>
      <c r="I80" s="216">
        <v>0</v>
      </c>
      <c r="J80" s="216">
        <f>K80+L80+M80+N80</f>
        <v>2880</v>
      </c>
      <c r="K80" s="216">
        <v>2880</v>
      </c>
      <c r="L80" s="216">
        <v>0</v>
      </c>
      <c r="M80" s="216">
        <v>0</v>
      </c>
      <c r="N80" s="216">
        <v>0</v>
      </c>
      <c r="O80" s="216">
        <v>0</v>
      </c>
      <c r="P80" s="216">
        <v>0</v>
      </c>
      <c r="Q80" s="216">
        <v>0</v>
      </c>
      <c r="R80" s="216">
        <v>0</v>
      </c>
      <c r="S80" s="216">
        <v>0</v>
      </c>
      <c r="T80" s="216">
        <f>U80+V80+W80+X80</f>
        <v>0</v>
      </c>
      <c r="U80" s="216">
        <v>0</v>
      </c>
      <c r="V80" s="216">
        <v>0</v>
      </c>
      <c r="W80" s="216">
        <v>0</v>
      </c>
      <c r="X80" s="216">
        <v>0</v>
      </c>
      <c r="Y80" s="216">
        <v>5760</v>
      </c>
      <c r="Z80" s="216">
        <v>5760</v>
      </c>
      <c r="AA80" s="216">
        <v>0</v>
      </c>
      <c r="AB80" s="216">
        <v>0</v>
      </c>
      <c r="AC80" s="216">
        <v>0</v>
      </c>
      <c r="AD80" s="107">
        <f>E80+J80+O80+T80+Y80</f>
        <v>11520</v>
      </c>
    </row>
    <row r="81" spans="1:30" ht="23.25">
      <c r="A81" s="632" t="s">
        <v>60</v>
      </c>
      <c r="B81" s="633"/>
      <c r="C81" s="634"/>
      <c r="D81" s="215"/>
      <c r="E81" s="107">
        <f>E79+E80</f>
        <v>3380</v>
      </c>
      <c r="F81" s="107">
        <f>SUM(F79:F80)</f>
        <v>3380</v>
      </c>
      <c r="G81" s="107">
        <f>G79</f>
        <v>0</v>
      </c>
      <c r="H81" s="107">
        <f>I79</f>
        <v>0</v>
      </c>
      <c r="I81" s="107">
        <f t="shared" ref="I81:V81" si="24">I79</f>
        <v>0</v>
      </c>
      <c r="J81" s="107">
        <f>K81+L81+M81+N81</f>
        <v>2904</v>
      </c>
      <c r="K81" s="107">
        <f>K79+K80</f>
        <v>2904</v>
      </c>
      <c r="L81" s="107">
        <f t="shared" si="24"/>
        <v>0</v>
      </c>
      <c r="M81" s="107">
        <f t="shared" si="24"/>
        <v>0</v>
      </c>
      <c r="N81" s="107">
        <f t="shared" si="24"/>
        <v>0</v>
      </c>
      <c r="O81" s="107">
        <f>P81+Q81+R81+S81</f>
        <v>0</v>
      </c>
      <c r="P81" s="107">
        <f>P79+P80</f>
        <v>0</v>
      </c>
      <c r="Q81" s="107">
        <f t="shared" si="24"/>
        <v>0</v>
      </c>
      <c r="R81" s="107">
        <f t="shared" si="24"/>
        <v>0</v>
      </c>
      <c r="S81" s="107">
        <f t="shared" si="24"/>
        <v>0</v>
      </c>
      <c r="T81" s="107">
        <f>U81+V81+W81+X81</f>
        <v>0</v>
      </c>
      <c r="U81" s="107">
        <f>T79+T80</f>
        <v>0</v>
      </c>
      <c r="V81" s="107">
        <f t="shared" si="24"/>
        <v>0</v>
      </c>
      <c r="W81" s="107">
        <f>V79</f>
        <v>0</v>
      </c>
      <c r="X81" s="107">
        <f t="shared" ref="X81:AC81" si="25">X79</f>
        <v>0</v>
      </c>
      <c r="Y81" s="107">
        <f>Z81+AA81+AB81+AC81</f>
        <v>12240</v>
      </c>
      <c r="Z81" s="107">
        <f>Z79+Z80</f>
        <v>12240</v>
      </c>
      <c r="AA81" s="107">
        <f t="shared" si="25"/>
        <v>0</v>
      </c>
      <c r="AB81" s="107">
        <f t="shared" si="25"/>
        <v>0</v>
      </c>
      <c r="AC81" s="107">
        <f t="shared" si="25"/>
        <v>0</v>
      </c>
      <c r="AD81" s="107">
        <f>E81+J81+O81+T81+Y81</f>
        <v>18524</v>
      </c>
    </row>
    <row r="82" spans="1:30" ht="23.25">
      <c r="A82" s="630" t="s">
        <v>67</v>
      </c>
      <c r="B82" s="630"/>
      <c r="C82" s="630"/>
      <c r="D82" s="215"/>
      <c r="E82" s="107">
        <f>E27+E33+E50+E55+E60+E65+E68+E73+E77+E81</f>
        <v>157092.37</v>
      </c>
      <c r="F82" s="107">
        <f>F27+F33+F50+F55+F60+F65+F68+F73+F77+F81</f>
        <v>108956.7</v>
      </c>
      <c r="G82" s="107">
        <f t="shared" ref="G82:N82" si="26">G27+G33+G50+G55+G60+G65+G68+G73+G77+G81</f>
        <v>45966</v>
      </c>
      <c r="H82" s="107">
        <f t="shared" si="26"/>
        <v>0</v>
      </c>
      <c r="I82" s="107">
        <f t="shared" si="26"/>
        <v>2169.67</v>
      </c>
      <c r="J82" s="107">
        <f>K82+L82+M82+N82</f>
        <v>124788</v>
      </c>
      <c r="K82" s="107">
        <f t="shared" si="26"/>
        <v>100570</v>
      </c>
      <c r="L82" s="107">
        <f t="shared" si="26"/>
        <v>24218</v>
      </c>
      <c r="M82" s="107">
        <f t="shared" si="26"/>
        <v>0</v>
      </c>
      <c r="N82" s="107">
        <f t="shared" si="26"/>
        <v>0</v>
      </c>
      <c r="O82" s="107">
        <f>P82+Q82+R82+S82</f>
        <v>2036</v>
      </c>
      <c r="P82" s="107">
        <f>P27+P33+P50+P55+P60+P65+P68+P73+P77+P81</f>
        <v>2036</v>
      </c>
      <c r="Q82" s="107">
        <f>Q27+Q33+Q50+Q55+Q60+Q65+Q68+Q73+Q77+Q81</f>
        <v>0</v>
      </c>
      <c r="R82" s="107">
        <f>R27+R33+R50+R55+R60+R65+R68+R73+R77+R81</f>
        <v>0</v>
      </c>
      <c r="S82" s="107">
        <f>S27+S33+S50+S55+S60+S65+S68+S73+S77+S81</f>
        <v>0</v>
      </c>
      <c r="T82" s="107">
        <f>U82+V82+W82+X82</f>
        <v>2036</v>
      </c>
      <c r="U82" s="107">
        <f>U27+U33+U50+U60+U65+U68+U73+U77+U81</f>
        <v>2036</v>
      </c>
      <c r="V82" s="107">
        <f>V27+V33+V50+V55+V60+V65+V68+V73+V77+V81</f>
        <v>0</v>
      </c>
      <c r="W82" s="107">
        <f>W27+W33+W50+W55+W60+W65+W68+W73+W77+W81</f>
        <v>0</v>
      </c>
      <c r="X82" s="107">
        <f>X27+X33+X50+X55+X60+X65+X68+X73+X77+X81</f>
        <v>0</v>
      </c>
      <c r="Y82" s="107">
        <f>Z82+AA82+AB82+AC82</f>
        <v>130728.3</v>
      </c>
      <c r="Z82" s="107">
        <f>Z27+Z33+Z50+Z55+Z60+Z65+Z68+Z73+Z77+Z81</f>
        <v>130728.3</v>
      </c>
      <c r="AA82" s="107">
        <f>AA27+AA33+AA50+AA55+AA60+AA65+AA68+AA73+AA77+AA81</f>
        <v>0</v>
      </c>
      <c r="AB82" s="107">
        <f>AB27+AB33+AB50+AB55+AB60+AB65+AB68+AB73+AB77+AB81</f>
        <v>0</v>
      </c>
      <c r="AC82" s="107">
        <f>AC27+AC33+AC50+AC55+AC60+AC65+AC68+AC73+AC77+AC81</f>
        <v>0</v>
      </c>
      <c r="AD82" s="107">
        <f>E82+J82+O82+T82+Y82</f>
        <v>416680.67</v>
      </c>
    </row>
    <row r="83" spans="1:30">
      <c r="E83" s="217"/>
      <c r="F83" s="217"/>
      <c r="G83" s="217"/>
      <c r="H83" s="217"/>
      <c r="I83" s="217"/>
      <c r="J83" s="217"/>
    </row>
    <row r="84" spans="1:30">
      <c r="A84" s="240" t="s">
        <v>202</v>
      </c>
      <c r="K84" s="223"/>
      <c r="L84" s="246"/>
      <c r="M84" s="246"/>
      <c r="N84" s="246"/>
      <c r="O84" s="239"/>
      <c r="P84" s="239"/>
      <c r="Q84" s="239"/>
      <c r="R84" s="239"/>
      <c r="S84" s="239"/>
      <c r="T84" s="239"/>
      <c r="U84" s="239"/>
      <c r="V84" s="239"/>
      <c r="W84" s="239"/>
    </row>
    <row r="85" spans="1:30">
      <c r="C85" s="199">
        <v>2020</v>
      </c>
      <c r="E85" s="218"/>
      <c r="J85" s="199">
        <v>2021</v>
      </c>
      <c r="O85" s="199">
        <v>2022</v>
      </c>
      <c r="T85" s="199">
        <v>2023</v>
      </c>
      <c r="Y85" s="199">
        <v>2024</v>
      </c>
    </row>
    <row r="86" spans="1:30" ht="225">
      <c r="A86" s="222" t="s">
        <v>201</v>
      </c>
      <c r="B86" s="219" t="s">
        <v>134</v>
      </c>
      <c r="C86" s="218">
        <f>E29+E33+E52+E55+E62+E65+E68+E74+E81</f>
        <v>96915</v>
      </c>
      <c r="F86" s="218"/>
      <c r="I86" s="199" t="s">
        <v>134</v>
      </c>
      <c r="J86" s="218">
        <f>J29+J33+J52+J55+J65+J68+J74+J81</f>
        <v>78812</v>
      </c>
      <c r="N86" s="199" t="s">
        <v>134</v>
      </c>
      <c r="O86" s="218">
        <f>O29+O33+O52+O55+O65+O68+O74+O81</f>
        <v>0</v>
      </c>
      <c r="S86" s="199" t="s">
        <v>134</v>
      </c>
      <c r="T86" s="218">
        <f>T29+T33+T52+T55+T62+T65+T68+T74+T81</f>
        <v>0</v>
      </c>
      <c r="X86" s="199" t="s">
        <v>134</v>
      </c>
      <c r="Y86" s="218">
        <f>Y29+Y33+Y52+Y55+Y62+Y65+Y68+Y74+Y81</f>
        <v>92955.3</v>
      </c>
      <c r="AC86" s="218">
        <f>C86+J86+O86+T86+Y86</f>
        <v>268682.3</v>
      </c>
    </row>
    <row r="87" spans="1:30">
      <c r="B87" s="219" t="s">
        <v>137</v>
      </c>
      <c r="C87" s="218">
        <f>E30+E51+E61+E77</f>
        <v>23882</v>
      </c>
      <c r="I87" s="199" t="s">
        <v>137</v>
      </c>
      <c r="J87" s="218">
        <f>J30+J51+J60+J77</f>
        <v>26254</v>
      </c>
      <c r="N87" s="199" t="s">
        <v>137</v>
      </c>
      <c r="O87" s="218">
        <f>P30+P51+P60+P77</f>
        <v>2036</v>
      </c>
      <c r="S87" s="199" t="s">
        <v>137</v>
      </c>
      <c r="T87" s="218">
        <f>T30+T51+T61+T77</f>
        <v>2036</v>
      </c>
      <c r="X87" s="199" t="s">
        <v>137</v>
      </c>
      <c r="Y87" s="218">
        <f>Y30+Y51+Y61+Y77</f>
        <v>2273</v>
      </c>
      <c r="AC87" s="218">
        <f>C87+J87+O87+T87+Y87</f>
        <v>56481</v>
      </c>
    </row>
    <row r="88" spans="1:30">
      <c r="B88" s="219" t="s">
        <v>138</v>
      </c>
      <c r="C88" s="218">
        <f>E28</f>
        <v>36295.369999999995</v>
      </c>
      <c r="I88" s="199" t="s">
        <v>140</v>
      </c>
      <c r="J88" s="218">
        <f>K28</f>
        <v>19722</v>
      </c>
      <c r="N88" s="199" t="s">
        <v>140</v>
      </c>
      <c r="O88" s="218">
        <f>P28</f>
        <v>0</v>
      </c>
      <c r="S88" s="199" t="s">
        <v>140</v>
      </c>
      <c r="T88" s="218">
        <f>T27</f>
        <v>0</v>
      </c>
      <c r="X88" s="199" t="s">
        <v>140</v>
      </c>
      <c r="Y88" s="218">
        <f>Y28</f>
        <v>35500</v>
      </c>
      <c r="AC88" s="218">
        <f>C88+J88+O88+T88+Y88</f>
        <v>91517.37</v>
      </c>
    </row>
    <row r="89" spans="1:30">
      <c r="C89" s="218"/>
      <c r="J89" s="218"/>
      <c r="O89" s="218">
        <f>O86+O87</f>
        <v>2036</v>
      </c>
      <c r="T89" s="218"/>
      <c r="Y89" s="218"/>
      <c r="AC89" s="218"/>
    </row>
    <row r="90" spans="1:30">
      <c r="B90" s="219"/>
      <c r="C90" s="218">
        <f>C86+C87+C88</f>
        <v>157092.37</v>
      </c>
      <c r="J90" s="218">
        <f>J86+J87+J88</f>
        <v>124788</v>
      </c>
      <c r="K90" s="218"/>
      <c r="N90" s="199" t="s">
        <v>137</v>
      </c>
      <c r="O90" s="218"/>
      <c r="S90" s="199" t="s">
        <v>137</v>
      </c>
      <c r="T90" s="218"/>
      <c r="X90" s="199" t="s">
        <v>173</v>
      </c>
      <c r="Y90" s="218"/>
      <c r="AC90" s="218"/>
    </row>
    <row r="91" spans="1:30">
      <c r="C91" s="218"/>
      <c r="J91" s="218"/>
      <c r="O91" s="218"/>
      <c r="T91" s="218">
        <f>T86+T87+T88</f>
        <v>2036</v>
      </c>
      <c r="Y91" s="218">
        <f>Y86+Y87+Y88</f>
        <v>130728.3</v>
      </c>
      <c r="AC91" s="218">
        <f>AC86+AC87+AC88</f>
        <v>416680.67</v>
      </c>
    </row>
    <row r="92" spans="1:30">
      <c r="C92" s="218"/>
      <c r="J92" s="218"/>
      <c r="O92" s="218"/>
      <c r="T92" s="218"/>
      <c r="Y92" s="218"/>
    </row>
    <row r="94" spans="1:30">
      <c r="B94" s="219" t="s">
        <v>195</v>
      </c>
      <c r="C94" s="218">
        <f>I82+N82+S82+X82+AC82</f>
        <v>2169.67</v>
      </c>
    </row>
    <row r="95" spans="1:30">
      <c r="B95" s="220" t="s">
        <v>196</v>
      </c>
      <c r="C95" s="218">
        <f>F82+K82+P82+U82+Z82</f>
        <v>344327</v>
      </c>
    </row>
    <row r="96" spans="1:30">
      <c r="B96" s="220" t="s">
        <v>197</v>
      </c>
      <c r="C96" s="218">
        <f>G82+L82+Q82+V82+AA82</f>
        <v>70184</v>
      </c>
    </row>
    <row r="97" spans="2:29">
      <c r="C97" s="218">
        <f>C94+C95+C96</f>
        <v>416680.67</v>
      </c>
      <c r="AC97" s="218">
        <f>AC91-865014</f>
        <v>-448333.33</v>
      </c>
    </row>
    <row r="99" spans="2:29">
      <c r="B99" s="218">
        <f>127165-F82</f>
        <v>18208.300000000003</v>
      </c>
    </row>
    <row r="101" spans="2:29">
      <c r="Y101" s="221">
        <f>973249000-19710000-88655000</f>
        <v>864884000</v>
      </c>
    </row>
    <row r="104" spans="2:29">
      <c r="D104" s="221"/>
      <c r="E104" s="221"/>
    </row>
    <row r="105" spans="2:29">
      <c r="D105" s="221"/>
      <c r="E105" s="221"/>
    </row>
    <row r="110" spans="2:29">
      <c r="D110" s="218">
        <f>G82+L82+Q82+V82+AA82</f>
        <v>70184</v>
      </c>
    </row>
  </sheetData>
  <mergeCells count="41">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A57:A58"/>
    <mergeCell ref="B57:B58"/>
    <mergeCell ref="C13:C14"/>
    <mergeCell ref="A27:C27"/>
    <mergeCell ref="B31:AD31"/>
    <mergeCell ref="A33:C33"/>
    <mergeCell ref="B34:AD34"/>
    <mergeCell ref="C38:C39"/>
    <mergeCell ref="C41:C45"/>
    <mergeCell ref="A50:C50"/>
    <mergeCell ref="B53:AD53"/>
    <mergeCell ref="A55:C55"/>
    <mergeCell ref="B56:AD56"/>
    <mergeCell ref="A82:C82"/>
    <mergeCell ref="A60:C60"/>
    <mergeCell ref="B63:AD63"/>
    <mergeCell ref="A65:C65"/>
    <mergeCell ref="B66:AD66"/>
    <mergeCell ref="A68:C68"/>
    <mergeCell ref="B69:AD69"/>
    <mergeCell ref="A73:C73"/>
    <mergeCell ref="B75:AD75"/>
    <mergeCell ref="A77:C77"/>
    <mergeCell ref="B78:AD78"/>
    <mergeCell ref="A81:C81"/>
  </mergeCells>
  <pageMargins left="0.7" right="0.7" top="0.75" bottom="0.75" header="0.3" footer="0.3"/>
  <pageSetup paperSize="9" scale="25" orientation="landscape" r:id="rId1"/>
  <colBreaks count="1" manualBreakCount="1">
    <brk id="30" max="1048575" man="1"/>
  </colBreaks>
  <legacyDrawing r:id="rId2"/>
</worksheet>
</file>

<file path=xl/worksheets/sheet6.xml><?xml version="1.0" encoding="utf-8"?>
<worksheet xmlns="http://schemas.openxmlformats.org/spreadsheetml/2006/main" xmlns:r="http://schemas.openxmlformats.org/officeDocument/2006/relationships">
  <dimension ref="A1:AF110"/>
  <sheetViews>
    <sheetView view="pageBreakPreview" zoomScale="60" workbookViewId="0">
      <pane xSplit="6" ySplit="13" topLeftCell="R29" activePane="bottomRight" state="frozen"/>
      <selection pane="topRight" activeCell="G1" sqref="G1"/>
      <selection pane="bottomLeft" activeCell="A14" sqref="A14"/>
      <selection pane="bottomRight" sqref="A1:XFD1048576"/>
    </sheetView>
  </sheetViews>
  <sheetFormatPr defaultRowHeight="18.75"/>
  <cols>
    <col min="1" max="1" width="6.140625" style="253" customWidth="1"/>
    <col min="2" max="2" width="148.28515625" style="199" customWidth="1"/>
    <col min="3" max="3" width="32.140625" style="199" customWidth="1"/>
    <col min="4" max="4" width="23.5703125" style="199" customWidth="1"/>
    <col min="5" max="5" width="18.85546875" style="199" customWidth="1"/>
    <col min="6" max="6" width="22.42578125" style="199" customWidth="1"/>
    <col min="7" max="7" width="16.140625" style="199" customWidth="1"/>
    <col min="8" max="8" width="16.85546875" style="199" customWidth="1"/>
    <col min="9" max="9" width="15" style="199" customWidth="1"/>
    <col min="10" max="10" width="21.140625" style="199" customWidth="1"/>
    <col min="11" max="11" width="13.28515625" style="199" customWidth="1"/>
    <col min="12" max="12" width="15" style="199" customWidth="1"/>
    <col min="13" max="13" width="14.7109375" style="199" customWidth="1"/>
    <col min="14" max="14" width="14.28515625" style="199" customWidth="1"/>
    <col min="15" max="15" width="17.140625" style="199" customWidth="1"/>
    <col min="16" max="16" width="16.28515625" style="199" customWidth="1"/>
    <col min="17" max="17" width="17.28515625" style="199" customWidth="1"/>
    <col min="18" max="18" width="19" style="199" customWidth="1"/>
    <col min="19" max="19" width="13" style="199" customWidth="1"/>
    <col min="20" max="20" width="14.140625" style="199" customWidth="1"/>
    <col min="21" max="21" width="12.7109375" style="199" customWidth="1"/>
    <col min="22" max="22" width="11.85546875" style="199" customWidth="1"/>
    <col min="23" max="23" width="11.7109375" style="199" customWidth="1"/>
    <col min="24" max="24" width="10.28515625" style="199" customWidth="1"/>
    <col min="25" max="25" width="18.140625" style="199" customWidth="1"/>
    <col min="26" max="26" width="14.5703125" style="199" customWidth="1"/>
    <col min="27" max="27" width="13" style="199" customWidth="1"/>
    <col min="28" max="28" width="12.7109375" style="199" customWidth="1"/>
    <col min="29" max="29" width="14.28515625" style="199" customWidth="1"/>
    <col min="30" max="30" width="13.140625" style="199" customWidth="1"/>
    <col min="31" max="16384" width="9.140625" style="200"/>
  </cols>
  <sheetData>
    <row r="1" spans="1:30">
      <c r="Z1" s="199" t="s">
        <v>260</v>
      </c>
    </row>
    <row r="2" spans="1:30">
      <c r="Z2" s="199" t="s">
        <v>261</v>
      </c>
    </row>
    <row r="3" spans="1:30">
      <c r="L3" s="251"/>
      <c r="M3" s="251"/>
      <c r="N3" s="251"/>
      <c r="O3" s="251"/>
      <c r="P3" s="251"/>
      <c r="Q3" s="251"/>
      <c r="R3" s="251"/>
      <c r="S3" s="251"/>
      <c r="T3" s="251"/>
      <c r="U3" s="251"/>
      <c r="V3" s="251"/>
      <c r="W3" s="251"/>
      <c r="X3" s="251"/>
      <c r="Y3" s="251"/>
      <c r="Z3" s="615" t="s">
        <v>262</v>
      </c>
      <c r="AA3" s="615"/>
      <c r="AB3" s="615"/>
      <c r="AC3" s="615"/>
      <c r="AD3" s="615"/>
    </row>
    <row r="4" spans="1:30">
      <c r="V4" s="616" t="s">
        <v>272</v>
      </c>
      <c r="W4" s="616"/>
      <c r="X4" s="616"/>
      <c r="Y4" s="616"/>
      <c r="Z4" s="616"/>
      <c r="AA4" s="616"/>
      <c r="AB4" s="616"/>
      <c r="AC4" s="616"/>
      <c r="AD4" s="616"/>
    </row>
    <row r="5" spans="1:30">
      <c r="A5" s="617" t="s">
        <v>0</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row>
    <row r="7" spans="1:30" ht="19.5">
      <c r="A7" s="618" t="s">
        <v>1</v>
      </c>
      <c r="B7" s="618" t="s">
        <v>219</v>
      </c>
      <c r="C7" s="618" t="s">
        <v>2</v>
      </c>
      <c r="D7" s="619" t="s">
        <v>3</v>
      </c>
      <c r="E7" s="622" t="s">
        <v>273</v>
      </c>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row>
    <row r="8" spans="1:30">
      <c r="A8" s="618"/>
      <c r="B8" s="618"/>
      <c r="C8" s="618"/>
      <c r="D8" s="620"/>
      <c r="E8" s="618" t="s">
        <v>88</v>
      </c>
      <c r="F8" s="618"/>
      <c r="G8" s="618"/>
      <c r="H8" s="618"/>
      <c r="I8" s="618"/>
      <c r="J8" s="618" t="s">
        <v>89</v>
      </c>
      <c r="K8" s="618"/>
      <c r="L8" s="618"/>
      <c r="M8" s="618"/>
      <c r="N8" s="618"/>
      <c r="O8" s="618" t="s">
        <v>90</v>
      </c>
      <c r="P8" s="618"/>
      <c r="Q8" s="618"/>
      <c r="R8" s="618"/>
      <c r="S8" s="618"/>
      <c r="T8" s="618" t="s">
        <v>91</v>
      </c>
      <c r="U8" s="618"/>
      <c r="V8" s="618"/>
      <c r="W8" s="618"/>
      <c r="X8" s="618"/>
      <c r="Y8" s="618" t="s">
        <v>92</v>
      </c>
      <c r="Z8" s="618"/>
      <c r="AA8" s="618"/>
      <c r="AB8" s="618"/>
      <c r="AC8" s="618"/>
      <c r="AD8" s="618" t="s">
        <v>5</v>
      </c>
    </row>
    <row r="9" spans="1:30" ht="152.25">
      <c r="A9" s="618"/>
      <c r="B9" s="618"/>
      <c r="C9" s="618"/>
      <c r="D9" s="621"/>
      <c r="E9" s="254" t="s">
        <v>6</v>
      </c>
      <c r="F9" s="201" t="s">
        <v>7</v>
      </c>
      <c r="G9" s="201" t="s">
        <v>8</v>
      </c>
      <c r="H9" s="201" t="s">
        <v>9</v>
      </c>
      <c r="I9" s="202" t="s">
        <v>10</v>
      </c>
      <c r="J9" s="254" t="s">
        <v>6</v>
      </c>
      <c r="K9" s="201" t="s">
        <v>7</v>
      </c>
      <c r="L9" s="201" t="s">
        <v>8</v>
      </c>
      <c r="M9" s="201" t="s">
        <v>9</v>
      </c>
      <c r="N9" s="202" t="s">
        <v>10</v>
      </c>
      <c r="O9" s="254" t="s">
        <v>6</v>
      </c>
      <c r="P9" s="201" t="s">
        <v>7</v>
      </c>
      <c r="Q9" s="201" t="s">
        <v>8</v>
      </c>
      <c r="R9" s="201" t="s">
        <v>9</v>
      </c>
      <c r="S9" s="202" t="s">
        <v>10</v>
      </c>
      <c r="T9" s="254" t="s">
        <v>6</v>
      </c>
      <c r="U9" s="201" t="s">
        <v>7</v>
      </c>
      <c r="V9" s="201" t="s">
        <v>8</v>
      </c>
      <c r="W9" s="201" t="s">
        <v>9</v>
      </c>
      <c r="X9" s="202" t="s">
        <v>10</v>
      </c>
      <c r="Y9" s="254" t="s">
        <v>6</v>
      </c>
      <c r="Z9" s="201" t="s">
        <v>7</v>
      </c>
      <c r="AA9" s="201" t="s">
        <v>8</v>
      </c>
      <c r="AB9" s="201" t="s">
        <v>9</v>
      </c>
      <c r="AC9" s="202" t="s">
        <v>10</v>
      </c>
      <c r="AD9" s="618"/>
    </row>
    <row r="10" spans="1:30">
      <c r="A10" s="203">
        <v>1</v>
      </c>
      <c r="B10" s="203">
        <v>2</v>
      </c>
      <c r="C10" s="203">
        <v>3</v>
      </c>
      <c r="D10" s="203">
        <v>4</v>
      </c>
      <c r="E10" s="203">
        <v>5</v>
      </c>
      <c r="F10" s="203">
        <v>6</v>
      </c>
      <c r="G10" s="203">
        <v>7</v>
      </c>
      <c r="H10" s="203">
        <v>8</v>
      </c>
      <c r="I10" s="203">
        <v>9</v>
      </c>
      <c r="J10" s="203">
        <v>10</v>
      </c>
      <c r="K10" s="203">
        <v>11</v>
      </c>
      <c r="L10" s="203">
        <v>12</v>
      </c>
      <c r="M10" s="203">
        <v>13</v>
      </c>
      <c r="N10" s="203">
        <v>14</v>
      </c>
      <c r="O10" s="203">
        <v>15</v>
      </c>
      <c r="P10" s="203">
        <v>16</v>
      </c>
      <c r="Q10" s="203">
        <v>17</v>
      </c>
      <c r="R10" s="203">
        <v>18</v>
      </c>
      <c r="S10" s="203">
        <v>19</v>
      </c>
      <c r="T10" s="203">
        <v>20</v>
      </c>
      <c r="U10" s="203">
        <v>21</v>
      </c>
      <c r="V10" s="203">
        <v>22</v>
      </c>
      <c r="W10" s="203">
        <v>23</v>
      </c>
      <c r="X10" s="203">
        <v>24</v>
      </c>
      <c r="Y10" s="203">
        <v>25</v>
      </c>
      <c r="Z10" s="203">
        <v>26</v>
      </c>
      <c r="AA10" s="203">
        <v>27</v>
      </c>
      <c r="AB10" s="203">
        <v>28</v>
      </c>
      <c r="AC10" s="203">
        <v>29</v>
      </c>
      <c r="AD10" s="203">
        <v>30</v>
      </c>
    </row>
    <row r="11" spans="1:30">
      <c r="A11" s="623" t="s">
        <v>274</v>
      </c>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5"/>
    </row>
    <row r="12" spans="1:30" ht="23.25">
      <c r="A12" s="41" t="s">
        <v>221</v>
      </c>
      <c r="B12" s="600" t="s">
        <v>275</v>
      </c>
      <c r="C12" s="601"/>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4"/>
    </row>
    <row r="13" spans="1:30" ht="116.25">
      <c r="A13" s="155" t="s">
        <v>12</v>
      </c>
      <c r="B13" s="173" t="s">
        <v>81</v>
      </c>
      <c r="C13" s="610" t="s">
        <v>14</v>
      </c>
      <c r="D13" s="204" t="s">
        <v>93</v>
      </c>
      <c r="E13" s="178">
        <f>SUM(F13:I13)</f>
        <v>28350</v>
      </c>
      <c r="F13" s="178">
        <f>43350-15000</f>
        <v>28350</v>
      </c>
      <c r="G13" s="178">
        <v>0</v>
      </c>
      <c r="H13" s="178">
        <v>0</v>
      </c>
      <c r="I13" s="178">
        <v>0</v>
      </c>
      <c r="J13" s="178">
        <f>K13+L13+M13+N13</f>
        <v>19722</v>
      </c>
      <c r="K13" s="178">
        <v>19722</v>
      </c>
      <c r="L13" s="178">
        <v>0</v>
      </c>
      <c r="M13" s="142">
        <v>0</v>
      </c>
      <c r="N13" s="142">
        <v>0</v>
      </c>
      <c r="O13" s="142">
        <v>0</v>
      </c>
      <c r="P13" s="142">
        <v>0</v>
      </c>
      <c r="Q13" s="142">
        <v>0</v>
      </c>
      <c r="R13" s="142">
        <v>0</v>
      </c>
      <c r="S13" s="142">
        <v>0</v>
      </c>
      <c r="T13" s="142">
        <f>U13+V13+W13+X13</f>
        <v>0</v>
      </c>
      <c r="U13" s="142">
        <v>0</v>
      </c>
      <c r="V13" s="142">
        <v>0</v>
      </c>
      <c r="W13" s="142">
        <v>0</v>
      </c>
      <c r="X13" s="142">
        <v>0</v>
      </c>
      <c r="Y13" s="142">
        <f>Z13+AA13+AB13+AC13</f>
        <v>35500</v>
      </c>
      <c r="Z13" s="142">
        <v>35500</v>
      </c>
      <c r="AA13" s="142">
        <v>0</v>
      </c>
      <c r="AB13" s="142">
        <v>0</v>
      </c>
      <c r="AC13" s="142">
        <v>0</v>
      </c>
      <c r="AD13" s="148">
        <f t="shared" ref="AD13:AD18" si="0">E13+J13+O13+T13+Y13</f>
        <v>83572</v>
      </c>
    </row>
    <row r="14" spans="1:30" ht="139.5">
      <c r="A14" s="155" t="s">
        <v>13</v>
      </c>
      <c r="B14" s="174" t="s">
        <v>268</v>
      </c>
      <c r="C14" s="612"/>
      <c r="D14" s="204" t="s">
        <v>93</v>
      </c>
      <c r="E14" s="178">
        <f>SUM(F14:I14)</f>
        <v>7359</v>
      </c>
      <c r="F14" s="178">
        <f>12748-5387-2060</f>
        <v>5301</v>
      </c>
      <c r="G14" s="178">
        <v>0</v>
      </c>
      <c r="H14" s="178">
        <v>0</v>
      </c>
      <c r="I14" s="178">
        <f>4602-2544</f>
        <v>2058</v>
      </c>
      <c r="J14" s="178">
        <v>0</v>
      </c>
      <c r="K14" s="178">
        <v>0</v>
      </c>
      <c r="L14" s="178">
        <v>0</v>
      </c>
      <c r="M14" s="142">
        <v>0</v>
      </c>
      <c r="N14" s="142">
        <v>0</v>
      </c>
      <c r="O14" s="142">
        <v>0</v>
      </c>
      <c r="P14" s="142">
        <v>0</v>
      </c>
      <c r="Q14" s="142">
        <v>0</v>
      </c>
      <c r="R14" s="142">
        <v>0</v>
      </c>
      <c r="S14" s="142">
        <v>0</v>
      </c>
      <c r="T14" s="142">
        <f>U14+V14+W14+X14</f>
        <v>0</v>
      </c>
      <c r="U14" s="142">
        <v>0</v>
      </c>
      <c r="V14" s="142">
        <v>0</v>
      </c>
      <c r="W14" s="142">
        <v>0</v>
      </c>
      <c r="X14" s="142">
        <v>0</v>
      </c>
      <c r="Y14" s="142">
        <f>Z14+AA14+AB14+AC14</f>
        <v>0</v>
      </c>
      <c r="Z14" s="142">
        <v>0</v>
      </c>
      <c r="AA14" s="142">
        <v>0</v>
      </c>
      <c r="AB14" s="142">
        <v>0</v>
      </c>
      <c r="AC14" s="142">
        <v>0</v>
      </c>
      <c r="AD14" s="148">
        <f t="shared" si="0"/>
        <v>7359</v>
      </c>
    </row>
    <row r="15" spans="1:30" ht="116.25">
      <c r="A15" s="155" t="s">
        <v>15</v>
      </c>
      <c r="B15" s="191" t="s">
        <v>117</v>
      </c>
      <c r="C15" s="250" t="s">
        <v>218</v>
      </c>
      <c r="D15" s="41" t="s">
        <v>93</v>
      </c>
      <c r="E15" s="178">
        <f>F15+G15+H15+I15</f>
        <v>8260</v>
      </c>
      <c r="F15" s="178">
        <f>8260</f>
        <v>8260</v>
      </c>
      <c r="G15" s="178">
        <v>0</v>
      </c>
      <c r="H15" s="178">
        <v>0</v>
      </c>
      <c r="I15" s="178">
        <v>0</v>
      </c>
      <c r="J15" s="178">
        <f>K15+L15+M15+N15</f>
        <v>11513</v>
      </c>
      <c r="K15" s="178">
        <v>11513</v>
      </c>
      <c r="L15" s="178">
        <v>0</v>
      </c>
      <c r="M15" s="142">
        <v>0</v>
      </c>
      <c r="N15" s="142">
        <v>0</v>
      </c>
      <c r="O15" s="142">
        <f>P15+Q15+R15+S15</f>
        <v>0</v>
      </c>
      <c r="P15" s="142">
        <v>0</v>
      </c>
      <c r="Q15" s="142">
        <v>0</v>
      </c>
      <c r="R15" s="142">
        <v>0</v>
      </c>
      <c r="S15" s="142">
        <v>0</v>
      </c>
      <c r="T15" s="142">
        <f>U15+V15+W15+X15</f>
        <v>0</v>
      </c>
      <c r="U15" s="142">
        <v>0</v>
      </c>
      <c r="V15" s="142">
        <v>0</v>
      </c>
      <c r="W15" s="142">
        <v>0</v>
      </c>
      <c r="X15" s="142">
        <v>0</v>
      </c>
      <c r="Y15" s="142">
        <v>12655.3</v>
      </c>
      <c r="Z15" s="142">
        <v>12655.3</v>
      </c>
      <c r="AA15" s="142">
        <v>0</v>
      </c>
      <c r="AB15" s="142">
        <v>0</v>
      </c>
      <c r="AC15" s="142">
        <v>0</v>
      </c>
      <c r="AD15" s="148">
        <f t="shared" si="0"/>
        <v>32428.3</v>
      </c>
    </row>
    <row r="16" spans="1:30" ht="93">
      <c r="A16" s="155" t="s">
        <v>16</v>
      </c>
      <c r="B16" s="175" t="s">
        <v>270</v>
      </c>
      <c r="C16" s="205" t="s">
        <v>14</v>
      </c>
      <c r="D16" s="41" t="s">
        <v>93</v>
      </c>
      <c r="E16" s="178">
        <f>F16+G16+H16+I16</f>
        <v>586.36999999999978</v>
      </c>
      <c r="F16" s="178">
        <f>3300-2825.3</f>
        <v>474.69999999999982</v>
      </c>
      <c r="G16" s="178">
        <v>0</v>
      </c>
      <c r="H16" s="178">
        <v>0</v>
      </c>
      <c r="I16" s="178">
        <f>775-663.33</f>
        <v>111.66999999999996</v>
      </c>
      <c r="J16" s="178">
        <v>0</v>
      </c>
      <c r="K16" s="178">
        <v>0</v>
      </c>
      <c r="L16" s="178">
        <v>0</v>
      </c>
      <c r="M16" s="142">
        <v>0</v>
      </c>
      <c r="N16" s="142">
        <v>0</v>
      </c>
      <c r="O16" s="142">
        <v>0</v>
      </c>
      <c r="P16" s="142">
        <v>0</v>
      </c>
      <c r="Q16" s="142">
        <v>0</v>
      </c>
      <c r="R16" s="142">
        <v>0</v>
      </c>
      <c r="S16" s="142">
        <v>0</v>
      </c>
      <c r="T16" s="142">
        <v>0</v>
      </c>
      <c r="U16" s="142">
        <v>0</v>
      </c>
      <c r="V16" s="142">
        <v>0</v>
      </c>
      <c r="W16" s="142">
        <v>0</v>
      </c>
      <c r="X16" s="142">
        <v>0</v>
      </c>
      <c r="Y16" s="142">
        <v>0</v>
      </c>
      <c r="Z16" s="142">
        <v>0</v>
      </c>
      <c r="AA16" s="142">
        <v>0</v>
      </c>
      <c r="AB16" s="142">
        <v>0</v>
      </c>
      <c r="AC16" s="142">
        <v>0</v>
      </c>
      <c r="AD16" s="148">
        <f t="shared" si="0"/>
        <v>586.36999999999978</v>
      </c>
    </row>
    <row r="17" spans="1:31" ht="75">
      <c r="A17" s="155" t="s">
        <v>17</v>
      </c>
      <c r="B17" s="175" t="s">
        <v>210</v>
      </c>
      <c r="C17" s="250" t="s">
        <v>94</v>
      </c>
      <c r="D17" s="141">
        <v>2020</v>
      </c>
      <c r="E17" s="178">
        <f t="shared" ref="E17:E22" si="1">F17+G17+H17+I17</f>
        <v>1192</v>
      </c>
      <c r="F17" s="178">
        <v>1192</v>
      </c>
      <c r="G17" s="178">
        <v>0</v>
      </c>
      <c r="H17" s="178">
        <v>0</v>
      </c>
      <c r="I17" s="178">
        <v>0</v>
      </c>
      <c r="J17" s="178">
        <f t="shared" ref="J17:J22" si="2">K17+L17+M17+N17</f>
        <v>0</v>
      </c>
      <c r="K17" s="178">
        <v>0</v>
      </c>
      <c r="L17" s="178">
        <v>0</v>
      </c>
      <c r="M17" s="142">
        <v>0</v>
      </c>
      <c r="N17" s="142">
        <v>0</v>
      </c>
      <c r="O17" s="142">
        <f>P17+Q17+R17+S17</f>
        <v>0</v>
      </c>
      <c r="P17" s="142">
        <v>0</v>
      </c>
      <c r="Q17" s="142">
        <v>0</v>
      </c>
      <c r="R17" s="142">
        <v>0</v>
      </c>
      <c r="S17" s="142">
        <v>0</v>
      </c>
      <c r="T17" s="142">
        <f>U17+V17+W17+X17</f>
        <v>0</v>
      </c>
      <c r="U17" s="142">
        <v>0</v>
      </c>
      <c r="V17" s="142">
        <v>0</v>
      </c>
      <c r="W17" s="142">
        <v>0</v>
      </c>
      <c r="X17" s="142">
        <v>0</v>
      </c>
      <c r="Y17" s="142">
        <f>Z17+AA17+AB17+AC17</f>
        <v>0</v>
      </c>
      <c r="Z17" s="142">
        <v>0</v>
      </c>
      <c r="AA17" s="142">
        <v>0</v>
      </c>
      <c r="AB17" s="142">
        <v>0</v>
      </c>
      <c r="AC17" s="142">
        <v>0</v>
      </c>
      <c r="AD17" s="142">
        <f t="shared" si="0"/>
        <v>1192</v>
      </c>
    </row>
    <row r="18" spans="1:31" ht="75">
      <c r="A18" s="155" t="s">
        <v>163</v>
      </c>
      <c r="B18" s="175" t="s">
        <v>121</v>
      </c>
      <c r="C18" s="250" t="s">
        <v>94</v>
      </c>
      <c r="D18" s="141" t="s">
        <v>164</v>
      </c>
      <c r="E18" s="178">
        <f t="shared" si="1"/>
        <v>6060</v>
      </c>
      <c r="F18" s="178">
        <f>6183-123</f>
        <v>6060</v>
      </c>
      <c r="G18" s="178">
        <v>0</v>
      </c>
      <c r="H18" s="178">
        <v>0</v>
      </c>
      <c r="I18" s="178">
        <v>0</v>
      </c>
      <c r="J18" s="178">
        <f t="shared" si="2"/>
        <v>5832</v>
      </c>
      <c r="K18" s="178">
        <v>5832</v>
      </c>
      <c r="L18" s="178">
        <v>0</v>
      </c>
      <c r="M18" s="142">
        <v>0</v>
      </c>
      <c r="N18" s="142">
        <v>0</v>
      </c>
      <c r="O18" s="142">
        <f>P18+Q18+R18+S18</f>
        <v>0</v>
      </c>
      <c r="P18" s="142">
        <v>0</v>
      </c>
      <c r="Q18" s="142">
        <v>0</v>
      </c>
      <c r="R18" s="142">
        <v>0</v>
      </c>
      <c r="S18" s="142">
        <v>0</v>
      </c>
      <c r="T18" s="142">
        <f>U18+V18+W18+X18</f>
        <v>0</v>
      </c>
      <c r="U18" s="142">
        <v>0</v>
      </c>
      <c r="V18" s="142">
        <v>0</v>
      </c>
      <c r="W18" s="142">
        <v>0</v>
      </c>
      <c r="X18" s="142">
        <v>0</v>
      </c>
      <c r="Y18" s="142">
        <v>6150</v>
      </c>
      <c r="Z18" s="142">
        <v>6150</v>
      </c>
      <c r="AA18" s="142">
        <v>0</v>
      </c>
      <c r="AB18" s="142">
        <v>0</v>
      </c>
      <c r="AC18" s="142">
        <v>0</v>
      </c>
      <c r="AD18" s="142">
        <f t="shared" si="0"/>
        <v>18042</v>
      </c>
    </row>
    <row r="19" spans="1:31" ht="75">
      <c r="A19" s="155" t="s">
        <v>182</v>
      </c>
      <c r="B19" s="170" t="s">
        <v>124</v>
      </c>
      <c r="C19" s="250" t="s">
        <v>94</v>
      </c>
      <c r="D19" s="141" t="s">
        <v>282</v>
      </c>
      <c r="E19" s="178">
        <f t="shared" si="1"/>
        <v>785</v>
      </c>
      <c r="F19" s="178">
        <v>785</v>
      </c>
      <c r="G19" s="178">
        <v>0</v>
      </c>
      <c r="H19" s="178">
        <v>0</v>
      </c>
      <c r="I19" s="178">
        <v>0</v>
      </c>
      <c r="J19" s="178">
        <f t="shared" si="2"/>
        <v>90</v>
      </c>
      <c r="K19" s="178">
        <v>90</v>
      </c>
      <c r="L19" s="178">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f>E19+J19+O19+T19+Y19</f>
        <v>875</v>
      </c>
    </row>
    <row r="20" spans="1:31" ht="75">
      <c r="A20" s="155" t="s">
        <v>208</v>
      </c>
      <c r="B20" s="170" t="s">
        <v>126</v>
      </c>
      <c r="C20" s="250" t="s">
        <v>94</v>
      </c>
      <c r="D20" s="141">
        <v>2020</v>
      </c>
      <c r="E20" s="178">
        <f t="shared" si="1"/>
        <v>110</v>
      </c>
      <c r="F20" s="178">
        <v>110</v>
      </c>
      <c r="G20" s="178">
        <v>0</v>
      </c>
      <c r="H20" s="178">
        <v>0</v>
      </c>
      <c r="I20" s="178">
        <v>0</v>
      </c>
      <c r="J20" s="178">
        <f t="shared" si="2"/>
        <v>0</v>
      </c>
      <c r="K20" s="178">
        <v>0</v>
      </c>
      <c r="L20" s="178">
        <v>0</v>
      </c>
      <c r="M20" s="142">
        <v>0</v>
      </c>
      <c r="N20" s="142">
        <v>0</v>
      </c>
      <c r="O20" s="142">
        <f t="shared" ref="O20:O26" si="3">P20+Q20+R20+S20</f>
        <v>0</v>
      </c>
      <c r="P20" s="142">
        <v>0</v>
      </c>
      <c r="Q20" s="142">
        <v>0</v>
      </c>
      <c r="R20" s="142">
        <v>0</v>
      </c>
      <c r="S20" s="142">
        <v>0</v>
      </c>
      <c r="T20" s="142">
        <f t="shared" ref="T20:T26" si="4">U20+V20+W20+X20</f>
        <v>0</v>
      </c>
      <c r="U20" s="142">
        <v>0</v>
      </c>
      <c r="V20" s="142">
        <v>0</v>
      </c>
      <c r="W20" s="142">
        <v>0</v>
      </c>
      <c r="X20" s="142">
        <v>0</v>
      </c>
      <c r="Y20" s="142">
        <f>Z20+AA20+AB20+AC20</f>
        <v>0</v>
      </c>
      <c r="Z20" s="142">
        <v>0</v>
      </c>
      <c r="AA20" s="142">
        <v>0</v>
      </c>
      <c r="AB20" s="142">
        <v>0</v>
      </c>
      <c r="AC20" s="142">
        <v>0</v>
      </c>
      <c r="AD20" s="142">
        <f t="shared" ref="AD20:AD26" si="5">E20+J20+O20+T20+Y20</f>
        <v>110</v>
      </c>
    </row>
    <row r="21" spans="1:31" ht="75">
      <c r="A21" s="155" t="s">
        <v>211</v>
      </c>
      <c r="B21" s="170" t="s">
        <v>122</v>
      </c>
      <c r="C21" s="250" t="s">
        <v>94</v>
      </c>
      <c r="D21" s="141">
        <v>2020</v>
      </c>
      <c r="E21" s="178">
        <f t="shared" si="1"/>
        <v>53</v>
      </c>
      <c r="F21" s="178">
        <v>53</v>
      </c>
      <c r="G21" s="178">
        <v>0</v>
      </c>
      <c r="H21" s="178">
        <v>0</v>
      </c>
      <c r="I21" s="178">
        <v>0</v>
      </c>
      <c r="J21" s="178">
        <f t="shared" si="2"/>
        <v>0</v>
      </c>
      <c r="K21" s="178">
        <v>0</v>
      </c>
      <c r="L21" s="178">
        <v>0</v>
      </c>
      <c r="M21" s="142">
        <v>0</v>
      </c>
      <c r="N21" s="142">
        <v>0</v>
      </c>
      <c r="O21" s="142">
        <f t="shared" si="3"/>
        <v>0</v>
      </c>
      <c r="P21" s="142">
        <v>0</v>
      </c>
      <c r="Q21" s="142">
        <v>0</v>
      </c>
      <c r="R21" s="142">
        <v>0</v>
      </c>
      <c r="S21" s="142">
        <v>0</v>
      </c>
      <c r="T21" s="142">
        <f t="shared" si="4"/>
        <v>0</v>
      </c>
      <c r="U21" s="142">
        <v>0</v>
      </c>
      <c r="V21" s="142">
        <v>0</v>
      </c>
      <c r="W21" s="142">
        <v>0</v>
      </c>
      <c r="X21" s="142">
        <v>0</v>
      </c>
      <c r="Y21" s="142">
        <f>Z21+AA21+AB21+AC21</f>
        <v>0</v>
      </c>
      <c r="Z21" s="142">
        <v>0</v>
      </c>
      <c r="AA21" s="142">
        <v>0</v>
      </c>
      <c r="AB21" s="142">
        <v>0</v>
      </c>
      <c r="AC21" s="142">
        <v>0</v>
      </c>
      <c r="AD21" s="142">
        <f t="shared" si="5"/>
        <v>53</v>
      </c>
    </row>
    <row r="22" spans="1:31" ht="75">
      <c r="A22" s="155" t="s">
        <v>212</v>
      </c>
      <c r="B22" s="170" t="s">
        <v>123</v>
      </c>
      <c r="C22" s="250" t="s">
        <v>94</v>
      </c>
      <c r="D22" s="141">
        <v>2020</v>
      </c>
      <c r="E22" s="178">
        <f t="shared" si="1"/>
        <v>130</v>
      </c>
      <c r="F22" s="178">
        <f>112+18</f>
        <v>130</v>
      </c>
      <c r="G22" s="178">
        <v>0</v>
      </c>
      <c r="H22" s="178">
        <v>0</v>
      </c>
      <c r="I22" s="178">
        <v>0</v>
      </c>
      <c r="J22" s="178">
        <f t="shared" si="2"/>
        <v>0</v>
      </c>
      <c r="K22" s="178">
        <v>0</v>
      </c>
      <c r="L22" s="178">
        <v>0</v>
      </c>
      <c r="M22" s="142">
        <v>0</v>
      </c>
      <c r="N22" s="142">
        <v>0</v>
      </c>
      <c r="O22" s="142">
        <f t="shared" si="3"/>
        <v>0</v>
      </c>
      <c r="P22" s="142">
        <v>0</v>
      </c>
      <c r="Q22" s="142">
        <v>0</v>
      </c>
      <c r="R22" s="142">
        <v>0</v>
      </c>
      <c r="S22" s="142">
        <v>0</v>
      </c>
      <c r="T22" s="142">
        <f t="shared" si="4"/>
        <v>0</v>
      </c>
      <c r="U22" s="142">
        <v>0</v>
      </c>
      <c r="V22" s="142">
        <v>0</v>
      </c>
      <c r="W22" s="142">
        <v>0</v>
      </c>
      <c r="X22" s="142">
        <v>0</v>
      </c>
      <c r="Y22" s="142">
        <f>Z22+AA22+AB22+AC22</f>
        <v>0</v>
      </c>
      <c r="Z22" s="142">
        <v>0</v>
      </c>
      <c r="AA22" s="142">
        <v>0</v>
      </c>
      <c r="AB22" s="142">
        <v>0</v>
      </c>
      <c r="AC22" s="142">
        <v>0</v>
      </c>
      <c r="AD22" s="142">
        <f t="shared" si="5"/>
        <v>130</v>
      </c>
    </row>
    <row r="23" spans="1:31" ht="75">
      <c r="A23" s="155" t="s">
        <v>213</v>
      </c>
      <c r="B23" s="170" t="s">
        <v>125</v>
      </c>
      <c r="C23" s="250" t="s">
        <v>94</v>
      </c>
      <c r="D23" s="141" t="s">
        <v>164</v>
      </c>
      <c r="E23" s="178">
        <v>120</v>
      </c>
      <c r="F23" s="178">
        <v>120</v>
      </c>
      <c r="G23" s="178">
        <v>0</v>
      </c>
      <c r="H23" s="178">
        <v>0</v>
      </c>
      <c r="I23" s="178">
        <v>0</v>
      </c>
      <c r="J23" s="178">
        <f>K23+L23+M23+N23</f>
        <v>60</v>
      </c>
      <c r="K23" s="178">
        <v>60</v>
      </c>
      <c r="L23" s="178">
        <v>0</v>
      </c>
      <c r="M23" s="142">
        <v>0</v>
      </c>
      <c r="N23" s="142">
        <v>0</v>
      </c>
      <c r="O23" s="142">
        <f t="shared" si="3"/>
        <v>0</v>
      </c>
      <c r="P23" s="142">
        <v>0</v>
      </c>
      <c r="Q23" s="142">
        <v>0</v>
      </c>
      <c r="R23" s="142">
        <v>0</v>
      </c>
      <c r="S23" s="142">
        <v>0</v>
      </c>
      <c r="T23" s="142">
        <f t="shared" si="4"/>
        <v>0</v>
      </c>
      <c r="U23" s="142">
        <v>0</v>
      </c>
      <c r="V23" s="142">
        <v>0</v>
      </c>
      <c r="W23" s="142">
        <v>0</v>
      </c>
      <c r="X23" s="142">
        <v>0</v>
      </c>
      <c r="Y23" s="142">
        <v>90</v>
      </c>
      <c r="Z23" s="142">
        <v>90</v>
      </c>
      <c r="AA23" s="142">
        <v>0</v>
      </c>
      <c r="AB23" s="142">
        <v>0</v>
      </c>
      <c r="AC23" s="142">
        <v>0</v>
      </c>
      <c r="AD23" s="142">
        <f t="shared" si="5"/>
        <v>270</v>
      </c>
    </row>
    <row r="24" spans="1:31" ht="46.5">
      <c r="A24" s="155" t="s">
        <v>214</v>
      </c>
      <c r="B24" s="170" t="s">
        <v>205</v>
      </c>
      <c r="C24" s="250" t="s">
        <v>52</v>
      </c>
      <c r="D24" s="141" t="s">
        <v>287</v>
      </c>
      <c r="E24" s="178">
        <v>23068</v>
      </c>
      <c r="F24" s="178">
        <v>0</v>
      </c>
      <c r="G24" s="178">
        <v>23068</v>
      </c>
      <c r="H24" s="178">
        <v>0</v>
      </c>
      <c r="I24" s="178">
        <v>0</v>
      </c>
      <c r="J24" s="178">
        <f>K24+L24+M24+N24</f>
        <v>23742</v>
      </c>
      <c r="K24" s="178">
        <v>0</v>
      </c>
      <c r="L24" s="178">
        <v>23742</v>
      </c>
      <c r="M24" s="142">
        <v>0</v>
      </c>
      <c r="N24" s="142">
        <v>0</v>
      </c>
      <c r="O24" s="136">
        <f t="shared" si="3"/>
        <v>23742</v>
      </c>
      <c r="P24" s="142">
        <v>0</v>
      </c>
      <c r="Q24" s="136">
        <v>23742</v>
      </c>
      <c r="R24" s="142">
        <v>0</v>
      </c>
      <c r="S24" s="142">
        <v>0</v>
      </c>
      <c r="T24" s="136">
        <f t="shared" si="4"/>
        <v>23742</v>
      </c>
      <c r="U24" s="142">
        <v>0</v>
      </c>
      <c r="V24" s="136">
        <v>23742</v>
      </c>
      <c r="W24" s="142">
        <v>0</v>
      </c>
      <c r="X24" s="142">
        <v>0</v>
      </c>
      <c r="Y24" s="142">
        <v>0</v>
      </c>
      <c r="Z24" s="142">
        <v>0</v>
      </c>
      <c r="AA24" s="142">
        <v>0</v>
      </c>
      <c r="AB24" s="142">
        <v>0</v>
      </c>
      <c r="AC24" s="142">
        <v>0</v>
      </c>
      <c r="AD24" s="142">
        <f>E24+J24+O24+T24+Y24</f>
        <v>94294</v>
      </c>
    </row>
    <row r="25" spans="1:31" ht="46.5">
      <c r="A25" s="155" t="s">
        <v>215</v>
      </c>
      <c r="B25" s="170" t="s">
        <v>198</v>
      </c>
      <c r="C25" s="250" t="s">
        <v>52</v>
      </c>
      <c r="D25" s="141" t="s">
        <v>287</v>
      </c>
      <c r="E25" s="178">
        <v>238</v>
      </c>
      <c r="F25" s="179">
        <v>0</v>
      </c>
      <c r="G25" s="178">
        <v>238</v>
      </c>
      <c r="H25" s="178">
        <v>0</v>
      </c>
      <c r="I25" s="178">
        <v>0</v>
      </c>
      <c r="J25" s="178">
        <f>K25+L25+M25+N25</f>
        <v>476</v>
      </c>
      <c r="K25" s="178">
        <v>0</v>
      </c>
      <c r="L25" s="178">
        <v>476</v>
      </c>
      <c r="M25" s="142">
        <v>0</v>
      </c>
      <c r="N25" s="142">
        <v>0</v>
      </c>
      <c r="O25" s="136">
        <f t="shared" si="3"/>
        <v>476</v>
      </c>
      <c r="P25" s="142">
        <v>0</v>
      </c>
      <c r="Q25" s="136">
        <v>476</v>
      </c>
      <c r="R25" s="142">
        <v>0</v>
      </c>
      <c r="S25" s="142">
        <v>0</v>
      </c>
      <c r="T25" s="136">
        <f t="shared" si="4"/>
        <v>476</v>
      </c>
      <c r="U25" s="142">
        <v>0</v>
      </c>
      <c r="V25" s="136">
        <v>476</v>
      </c>
      <c r="W25" s="142">
        <v>0</v>
      </c>
      <c r="X25" s="142">
        <v>0</v>
      </c>
      <c r="Y25" s="142">
        <v>0</v>
      </c>
      <c r="Z25" s="142">
        <v>0</v>
      </c>
      <c r="AA25" s="142">
        <v>0</v>
      </c>
      <c r="AB25" s="142">
        <v>0</v>
      </c>
      <c r="AC25" s="142">
        <v>0</v>
      </c>
      <c r="AD25" s="142">
        <f>E25+J25+O25+T25+Y25</f>
        <v>1666</v>
      </c>
    </row>
    <row r="26" spans="1:31" ht="75">
      <c r="A26" s="155" t="s">
        <v>216</v>
      </c>
      <c r="B26" s="175" t="s">
        <v>217</v>
      </c>
      <c r="C26" s="250" t="s">
        <v>94</v>
      </c>
      <c r="D26" s="141">
        <v>2020</v>
      </c>
      <c r="E26" s="178">
        <f>F26+G26+H26+I26</f>
        <v>120</v>
      </c>
      <c r="F26" s="178">
        <f>300-180</f>
        <v>120</v>
      </c>
      <c r="G26" s="178">
        <v>0</v>
      </c>
      <c r="H26" s="178">
        <v>0</v>
      </c>
      <c r="I26" s="178">
        <v>0</v>
      </c>
      <c r="J26" s="178">
        <f>K26+L26+M26+N26</f>
        <v>0</v>
      </c>
      <c r="K26" s="178">
        <v>0</v>
      </c>
      <c r="L26" s="178">
        <v>0</v>
      </c>
      <c r="M26" s="142">
        <v>0</v>
      </c>
      <c r="N26" s="142">
        <v>0</v>
      </c>
      <c r="O26" s="142">
        <f t="shared" si="3"/>
        <v>0</v>
      </c>
      <c r="P26" s="142">
        <v>0</v>
      </c>
      <c r="Q26" s="142">
        <v>0</v>
      </c>
      <c r="R26" s="142">
        <v>0</v>
      </c>
      <c r="S26" s="142">
        <v>0</v>
      </c>
      <c r="T26" s="142">
        <f t="shared" si="4"/>
        <v>0</v>
      </c>
      <c r="U26" s="142">
        <v>0</v>
      </c>
      <c r="V26" s="142">
        <v>0</v>
      </c>
      <c r="W26" s="142">
        <v>0</v>
      </c>
      <c r="X26" s="142">
        <v>0</v>
      </c>
      <c r="Y26" s="142">
        <f>Z26+AA26+AB26+AC26</f>
        <v>0</v>
      </c>
      <c r="Z26" s="142">
        <v>0</v>
      </c>
      <c r="AA26" s="142">
        <v>0</v>
      </c>
      <c r="AB26" s="142">
        <v>0</v>
      </c>
      <c r="AC26" s="142">
        <v>0</v>
      </c>
      <c r="AD26" s="142">
        <f t="shared" si="5"/>
        <v>120</v>
      </c>
    </row>
    <row r="27" spans="1:31" ht="23.25">
      <c r="A27" s="575" t="s">
        <v>19</v>
      </c>
      <c r="B27" s="575"/>
      <c r="C27" s="575"/>
      <c r="D27" s="206"/>
      <c r="E27" s="148">
        <f>E28+E29+E30</f>
        <v>76431.37</v>
      </c>
      <c r="F27" s="148">
        <f>SUM(F13:F26)</f>
        <v>50955.7</v>
      </c>
      <c r="G27" s="148">
        <f>G28+G29+G30</f>
        <v>23306</v>
      </c>
      <c r="H27" s="148">
        <f>SUM(H13:H17)</f>
        <v>0</v>
      </c>
      <c r="I27" s="148">
        <f>SUM(I13:I17)</f>
        <v>2169.67</v>
      </c>
      <c r="J27" s="148">
        <f>J28+J29+J30</f>
        <v>61435</v>
      </c>
      <c r="K27" s="148">
        <f>K28+K29</f>
        <v>37217</v>
      </c>
      <c r="L27" s="148">
        <f>L13+L14+L15+L16+L17+L18+L19+L20+L21+L22+L23+L24+L25+L26</f>
        <v>24218</v>
      </c>
      <c r="M27" s="148">
        <f>SUM(M13:M17)</f>
        <v>0</v>
      </c>
      <c r="N27" s="148">
        <f>SUM(N13:N17)</f>
        <v>0</v>
      </c>
      <c r="O27" s="258">
        <f>O24+O25</f>
        <v>24218</v>
      </c>
      <c r="P27" s="148">
        <f>P28+P29</f>
        <v>0</v>
      </c>
      <c r="Q27" s="258">
        <f>Q28+Q29+Q30</f>
        <v>24218</v>
      </c>
      <c r="R27" s="148">
        <f>SUM(R13:R17)</f>
        <v>0</v>
      </c>
      <c r="S27" s="148">
        <f>SUM(S13:S17)</f>
        <v>0</v>
      </c>
      <c r="T27" s="258">
        <f>SUM(T13:T26)</f>
        <v>24218</v>
      </c>
      <c r="U27" s="148">
        <f>SUM(U13:U26)</f>
        <v>0</v>
      </c>
      <c r="V27" s="258">
        <f>V28+V29+V30</f>
        <v>24218</v>
      </c>
      <c r="W27" s="148">
        <f>SUM(W13:W16)</f>
        <v>0</v>
      </c>
      <c r="X27" s="148">
        <f>SUM(X13:X16)</f>
        <v>0</v>
      </c>
      <c r="Y27" s="148">
        <f>Y28+Y29</f>
        <v>54395.3</v>
      </c>
      <c r="Z27" s="148">
        <f>Z28+Z29+Z30</f>
        <v>54395.3</v>
      </c>
      <c r="AA27" s="148">
        <f>SUM(AA13:AA17)</f>
        <v>0</v>
      </c>
      <c r="AB27" s="148">
        <f>SUM(AB13:AB17)</f>
        <v>0</v>
      </c>
      <c r="AC27" s="148">
        <f>SUM(AC13:AC17)</f>
        <v>0</v>
      </c>
      <c r="AD27" s="148">
        <f>AD28+AD29+AD30</f>
        <v>240697.66999999998</v>
      </c>
    </row>
    <row r="28" spans="1:31" ht="23.25">
      <c r="A28" s="248" t="s">
        <v>14</v>
      </c>
      <c r="B28" s="256"/>
      <c r="C28" s="257"/>
      <c r="D28" s="157"/>
      <c r="E28" s="142">
        <f>F28+G28+H28+I28</f>
        <v>36295.369999999995</v>
      </c>
      <c r="F28" s="142">
        <f>F13+F14+F16</f>
        <v>34125.699999999997</v>
      </c>
      <c r="G28" s="142">
        <f>G13+G14+G16</f>
        <v>0</v>
      </c>
      <c r="H28" s="142">
        <f>G13+G14+G16</f>
        <v>0</v>
      </c>
      <c r="I28" s="142">
        <f>I14+I16</f>
        <v>2169.67</v>
      </c>
      <c r="J28" s="142">
        <f t="shared" ref="J28:V28" si="6">J13+J14+J16</f>
        <v>19722</v>
      </c>
      <c r="K28" s="142">
        <f t="shared" si="6"/>
        <v>19722</v>
      </c>
      <c r="L28" s="142">
        <f t="shared" si="6"/>
        <v>0</v>
      </c>
      <c r="M28" s="142">
        <f t="shared" si="6"/>
        <v>0</v>
      </c>
      <c r="N28" s="142">
        <f t="shared" si="6"/>
        <v>0</v>
      </c>
      <c r="O28" s="142">
        <f t="shared" si="6"/>
        <v>0</v>
      </c>
      <c r="P28" s="142">
        <f t="shared" si="6"/>
        <v>0</v>
      </c>
      <c r="Q28" s="142">
        <f t="shared" si="6"/>
        <v>0</v>
      </c>
      <c r="R28" s="142">
        <f t="shared" si="6"/>
        <v>0</v>
      </c>
      <c r="S28" s="142">
        <f t="shared" si="6"/>
        <v>0</v>
      </c>
      <c r="T28" s="142">
        <f t="shared" si="6"/>
        <v>0</v>
      </c>
      <c r="U28" s="142">
        <f t="shared" si="6"/>
        <v>0</v>
      </c>
      <c r="V28" s="142">
        <f t="shared" si="6"/>
        <v>0</v>
      </c>
      <c r="W28" s="142">
        <f>W13+W14+W16</f>
        <v>0</v>
      </c>
      <c r="X28" s="142">
        <f t="shared" ref="X28:AC28" si="7">X13+X14+X16</f>
        <v>0</v>
      </c>
      <c r="Y28" s="142">
        <f t="shared" si="7"/>
        <v>35500</v>
      </c>
      <c r="Z28" s="142">
        <f>Z13+Z14+Z16</f>
        <v>35500</v>
      </c>
      <c r="AA28" s="142">
        <f t="shared" si="7"/>
        <v>0</v>
      </c>
      <c r="AB28" s="142">
        <f t="shared" si="7"/>
        <v>0</v>
      </c>
      <c r="AC28" s="142">
        <f t="shared" si="7"/>
        <v>0</v>
      </c>
      <c r="AD28" s="142">
        <f>E28+J28+O28+T28+Y28</f>
        <v>91517.37</v>
      </c>
    </row>
    <row r="29" spans="1:31" ht="23.25">
      <c r="A29" s="248" t="s">
        <v>135</v>
      </c>
      <c r="B29" s="207"/>
      <c r="C29" s="208"/>
      <c r="D29" s="157"/>
      <c r="E29" s="142">
        <f>E15+E17+E18+E19+E20+E21+E22+E23+E26</f>
        <v>16830</v>
      </c>
      <c r="F29" s="142">
        <f>F15+F17+F18+F19+F20+F21+F22+F23+F26</f>
        <v>16830</v>
      </c>
      <c r="G29" s="142">
        <f>G15+G16</f>
        <v>0</v>
      </c>
      <c r="H29" s="142">
        <f>H15+H17+H18+H19+H20+H21+H22+H23+H26</f>
        <v>0</v>
      </c>
      <c r="I29" s="142">
        <f>I15+I17+I17+I18+I19+I20+I21+I22+I23+I26</f>
        <v>0</v>
      </c>
      <c r="J29" s="142">
        <f>J15+J17+J18+J19+J20+J21+J22+J23+J26</f>
        <v>17495</v>
      </c>
      <c r="K29" s="142">
        <f>K15+K17+K18+K19+K20+K21+K22+K23+K26</f>
        <v>17495</v>
      </c>
      <c r="L29" s="142">
        <f>L15+L17+L18+L19+L20+L21+L22+L23+L26</f>
        <v>0</v>
      </c>
      <c r="M29" s="142">
        <f>M24+M25</f>
        <v>0</v>
      </c>
      <c r="N29" s="142">
        <f>N24+N25</f>
        <v>0</v>
      </c>
      <c r="O29" s="142">
        <f>O26+O23+O13+O22+O21+O20+O19+O18+O17+O16+O15</f>
        <v>0</v>
      </c>
      <c r="P29" s="142">
        <f t="shared" ref="P29:AC29" si="8">P15+P17+P18+P19+P20+P21+P22+P23+P26</f>
        <v>0</v>
      </c>
      <c r="Q29" s="142">
        <f t="shared" si="8"/>
        <v>0</v>
      </c>
      <c r="R29" s="142">
        <f t="shared" si="8"/>
        <v>0</v>
      </c>
      <c r="S29" s="142">
        <f t="shared" si="8"/>
        <v>0</v>
      </c>
      <c r="T29" s="142">
        <f t="shared" si="8"/>
        <v>0</v>
      </c>
      <c r="U29" s="142">
        <f>U15+U17+U18+U19+U20+U21+U22+U23+U26</f>
        <v>0</v>
      </c>
      <c r="V29" s="142">
        <f t="shared" si="8"/>
        <v>0</v>
      </c>
      <c r="W29" s="142">
        <f t="shared" si="8"/>
        <v>0</v>
      </c>
      <c r="X29" s="142">
        <f t="shared" si="8"/>
        <v>0</v>
      </c>
      <c r="Y29" s="142">
        <f t="shared" si="8"/>
        <v>18895.3</v>
      </c>
      <c r="Z29" s="142">
        <f>Z15+Z17+Z18+Z19+Z20+Z21+Z22+Z23+Z26</f>
        <v>18895.3</v>
      </c>
      <c r="AA29" s="142">
        <f t="shared" si="8"/>
        <v>0</v>
      </c>
      <c r="AB29" s="142">
        <f t="shared" si="8"/>
        <v>0</v>
      </c>
      <c r="AC29" s="142">
        <f t="shared" si="8"/>
        <v>0</v>
      </c>
      <c r="AD29" s="142">
        <f>E29+J29+O29+T29+Y29</f>
        <v>53220.3</v>
      </c>
      <c r="AE29" s="209"/>
    </row>
    <row r="30" spans="1:31" ht="23.25">
      <c r="A30" s="256" t="s">
        <v>73</v>
      </c>
      <c r="B30" s="257"/>
      <c r="C30" s="257"/>
      <c r="D30" s="210"/>
      <c r="E30" s="142">
        <f t="shared" ref="E30:S30" si="9">E24+E25</f>
        <v>23306</v>
      </c>
      <c r="F30" s="142">
        <f t="shared" si="9"/>
        <v>0</v>
      </c>
      <c r="G30" s="142">
        <f t="shared" si="9"/>
        <v>23306</v>
      </c>
      <c r="H30" s="142">
        <f t="shared" si="9"/>
        <v>0</v>
      </c>
      <c r="I30" s="142">
        <f t="shared" si="9"/>
        <v>0</v>
      </c>
      <c r="J30" s="142">
        <f t="shared" si="9"/>
        <v>24218</v>
      </c>
      <c r="K30" s="142">
        <f t="shared" si="9"/>
        <v>0</v>
      </c>
      <c r="L30" s="142">
        <f t="shared" si="9"/>
        <v>24218</v>
      </c>
      <c r="M30" s="142">
        <f t="shared" si="9"/>
        <v>0</v>
      </c>
      <c r="N30" s="142">
        <f t="shared" si="9"/>
        <v>0</v>
      </c>
      <c r="O30" s="136">
        <f t="shared" si="9"/>
        <v>24218</v>
      </c>
      <c r="P30" s="142">
        <f t="shared" si="9"/>
        <v>0</v>
      </c>
      <c r="Q30" s="136">
        <f>Q24+Q25</f>
        <v>24218</v>
      </c>
      <c r="R30" s="142">
        <f t="shared" si="9"/>
        <v>0</v>
      </c>
      <c r="S30" s="142">
        <f t="shared" si="9"/>
        <v>0</v>
      </c>
      <c r="T30" s="136">
        <f>T24+T25</f>
        <v>24218</v>
      </c>
      <c r="U30" s="142">
        <f>U25+U24</f>
        <v>0</v>
      </c>
      <c r="V30" s="136">
        <f>V24+V25</f>
        <v>24218</v>
      </c>
      <c r="W30" s="142">
        <f t="shared" ref="W30:AC30" si="10">W24+W25</f>
        <v>0</v>
      </c>
      <c r="X30" s="142">
        <f t="shared" si="10"/>
        <v>0</v>
      </c>
      <c r="Y30" s="142">
        <f t="shared" si="10"/>
        <v>0</v>
      </c>
      <c r="Z30" s="142">
        <f t="shared" si="10"/>
        <v>0</v>
      </c>
      <c r="AA30" s="142">
        <f t="shared" si="10"/>
        <v>0</v>
      </c>
      <c r="AB30" s="142">
        <f t="shared" si="10"/>
        <v>0</v>
      </c>
      <c r="AC30" s="142">
        <f t="shared" si="10"/>
        <v>0</v>
      </c>
      <c r="AD30" s="142">
        <f>E30+J30+O30+T30+Y30</f>
        <v>95960</v>
      </c>
      <c r="AE30" s="209"/>
    </row>
    <row r="31" spans="1:31" ht="23.25">
      <c r="A31" s="41" t="s">
        <v>222</v>
      </c>
      <c r="B31" s="628" t="s">
        <v>276</v>
      </c>
      <c r="C31" s="629"/>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4"/>
    </row>
    <row r="32" spans="1:31" ht="116.25">
      <c r="A32" s="155" t="s">
        <v>21</v>
      </c>
      <c r="B32" s="185" t="s">
        <v>192</v>
      </c>
      <c r="C32" s="41" t="s">
        <v>94</v>
      </c>
      <c r="D32" s="41" t="s">
        <v>93</v>
      </c>
      <c r="E32" s="142">
        <f>F32+G32+H32+I32</f>
        <v>1892</v>
      </c>
      <c r="F32" s="142">
        <f>2664-772</f>
        <v>1892</v>
      </c>
      <c r="G32" s="142">
        <v>0</v>
      </c>
      <c r="H32" s="142">
        <v>0</v>
      </c>
      <c r="I32" s="142">
        <v>0</v>
      </c>
      <c r="J32" s="142">
        <f>K32+L32+M32+N32</f>
        <v>1892</v>
      </c>
      <c r="K32" s="142">
        <v>1892</v>
      </c>
      <c r="L32" s="142">
        <v>0</v>
      </c>
      <c r="M32" s="142">
        <v>0</v>
      </c>
      <c r="N32" s="142">
        <v>0</v>
      </c>
      <c r="O32" s="142">
        <f>P32+Q32+R32+S32</f>
        <v>0</v>
      </c>
      <c r="P32" s="142">
        <v>0</v>
      </c>
      <c r="Q32" s="142">
        <v>0</v>
      </c>
      <c r="R32" s="142">
        <v>0</v>
      </c>
      <c r="S32" s="142">
        <v>0</v>
      </c>
      <c r="T32" s="142">
        <f>U32+V32+W32+X32</f>
        <v>0</v>
      </c>
      <c r="U32" s="142">
        <v>0</v>
      </c>
      <c r="V32" s="142">
        <v>0</v>
      </c>
      <c r="W32" s="142">
        <v>0</v>
      </c>
      <c r="X32" s="142">
        <v>0</v>
      </c>
      <c r="Y32" s="142">
        <f>Z32+AA32+AB32+AC32</f>
        <v>2664</v>
      </c>
      <c r="Z32" s="142">
        <v>2664</v>
      </c>
      <c r="AA32" s="142">
        <v>0</v>
      </c>
      <c r="AB32" s="142">
        <v>0</v>
      </c>
      <c r="AC32" s="142">
        <v>0</v>
      </c>
      <c r="AD32" s="142">
        <f>E32+J32+O32+T32+Y32</f>
        <v>6448</v>
      </c>
    </row>
    <row r="33" spans="1:31" ht="20.25">
      <c r="A33" s="602" t="s">
        <v>22</v>
      </c>
      <c r="B33" s="603"/>
      <c r="C33" s="604"/>
      <c r="D33" s="255"/>
      <c r="E33" s="148">
        <f>E32</f>
        <v>1892</v>
      </c>
      <c r="F33" s="148">
        <f>SUM(F32)</f>
        <v>1892</v>
      </c>
      <c r="G33" s="148">
        <f t="shared" ref="G33:AD33" si="11">SUM(G32:G32)</f>
        <v>0</v>
      </c>
      <c r="H33" s="148">
        <f t="shared" si="11"/>
        <v>0</v>
      </c>
      <c r="I33" s="148">
        <f t="shared" si="11"/>
        <v>0</v>
      </c>
      <c r="J33" s="148">
        <f>J32</f>
        <v>1892</v>
      </c>
      <c r="K33" s="148">
        <f t="shared" si="11"/>
        <v>1892</v>
      </c>
      <c r="L33" s="148">
        <f t="shared" si="11"/>
        <v>0</v>
      </c>
      <c r="M33" s="148">
        <f t="shared" si="11"/>
        <v>0</v>
      </c>
      <c r="N33" s="148">
        <f t="shared" si="11"/>
        <v>0</v>
      </c>
      <c r="O33" s="148">
        <f t="shared" si="11"/>
        <v>0</v>
      </c>
      <c r="P33" s="148">
        <f t="shared" si="11"/>
        <v>0</v>
      </c>
      <c r="Q33" s="148">
        <f t="shared" si="11"/>
        <v>0</v>
      </c>
      <c r="R33" s="148">
        <f t="shared" si="11"/>
        <v>0</v>
      </c>
      <c r="S33" s="148">
        <f t="shared" si="11"/>
        <v>0</v>
      </c>
      <c r="T33" s="148">
        <f t="shared" si="11"/>
        <v>0</v>
      </c>
      <c r="U33" s="148">
        <f t="shared" si="11"/>
        <v>0</v>
      </c>
      <c r="V33" s="148">
        <f t="shared" si="11"/>
        <v>0</v>
      </c>
      <c r="W33" s="148">
        <f t="shared" si="11"/>
        <v>0</v>
      </c>
      <c r="X33" s="148">
        <f t="shared" si="11"/>
        <v>0</v>
      </c>
      <c r="Y33" s="148">
        <f t="shared" si="11"/>
        <v>2664</v>
      </c>
      <c r="Z33" s="148">
        <f t="shared" si="11"/>
        <v>2664</v>
      </c>
      <c r="AA33" s="148">
        <f t="shared" si="11"/>
        <v>0</v>
      </c>
      <c r="AB33" s="148">
        <f t="shared" si="11"/>
        <v>0</v>
      </c>
      <c r="AC33" s="148">
        <f t="shared" si="11"/>
        <v>0</v>
      </c>
      <c r="AD33" s="148">
        <f t="shared" si="11"/>
        <v>6448</v>
      </c>
    </row>
    <row r="34" spans="1:31" ht="20.25">
      <c r="A34" s="41" t="s">
        <v>229</v>
      </c>
      <c r="B34" s="605" t="s">
        <v>277</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7"/>
    </row>
    <row r="35" spans="1:31" ht="75">
      <c r="A35" s="155" t="s">
        <v>24</v>
      </c>
      <c r="B35" s="185" t="s">
        <v>288</v>
      </c>
      <c r="C35" s="205" t="s">
        <v>94</v>
      </c>
      <c r="D35" s="41" t="s">
        <v>93</v>
      </c>
      <c r="E35" s="142">
        <f>F35+G35+H35+I35</f>
        <v>2949</v>
      </c>
      <c r="F35" s="142">
        <v>2949</v>
      </c>
      <c r="G35" s="142">
        <v>0</v>
      </c>
      <c r="H35" s="142">
        <v>0</v>
      </c>
      <c r="I35" s="142">
        <v>0</v>
      </c>
      <c r="J35" s="142">
        <f>1775+0+0+0+0</f>
        <v>1775</v>
      </c>
      <c r="K35" s="142">
        <v>1775</v>
      </c>
      <c r="L35" s="142">
        <v>0</v>
      </c>
      <c r="M35" s="142">
        <v>0</v>
      </c>
      <c r="N35" s="142">
        <v>0</v>
      </c>
      <c r="O35" s="142">
        <f xml:space="preserve"> SUM(P35:S35)</f>
        <v>0</v>
      </c>
      <c r="P35" s="142">
        <v>0</v>
      </c>
      <c r="Q35" s="142">
        <f>SUM(Q36,Q37,Q38,Q39)</f>
        <v>0</v>
      </c>
      <c r="R35" s="142">
        <f>SUM(R36,R37,R38,R39)</f>
        <v>0</v>
      </c>
      <c r="S35" s="142">
        <f>SUM(S36,S37,S38,S39)</f>
        <v>0</v>
      </c>
      <c r="T35" s="142">
        <f xml:space="preserve"> SUM(U35:X35)</f>
        <v>0</v>
      </c>
      <c r="U35" s="142">
        <v>0</v>
      </c>
      <c r="V35" s="142">
        <f>SUM(V36,V37,V38,V39)</f>
        <v>0</v>
      </c>
      <c r="W35" s="142">
        <f>SUM(W36,W37,W38,W39)</f>
        <v>0</v>
      </c>
      <c r="X35" s="142">
        <f>SUM(X36,X37,X38,X39)</f>
        <v>0</v>
      </c>
      <c r="Y35" s="142">
        <f xml:space="preserve"> SUM(Z35:AC35)</f>
        <v>3306</v>
      </c>
      <c r="Z35" s="142">
        <v>3306</v>
      </c>
      <c r="AA35" s="142">
        <f>SUM(AA36,AA37,AA38,AA39)</f>
        <v>0</v>
      </c>
      <c r="AB35" s="142">
        <f>SUM(AB36,AB37,AB38,AB39)</f>
        <v>0</v>
      </c>
      <c r="AC35" s="142">
        <f>SUM(AC36,AC37,AC38,AC39)</f>
        <v>0</v>
      </c>
      <c r="AD35" s="142">
        <f>E35+J35+O35+T35+Y35</f>
        <v>8030</v>
      </c>
    </row>
    <row r="36" spans="1:31" ht="186">
      <c r="A36" s="155" t="s">
        <v>151</v>
      </c>
      <c r="B36" s="175" t="s">
        <v>76</v>
      </c>
      <c r="C36" s="205" t="s">
        <v>94</v>
      </c>
      <c r="D36" s="41" t="s">
        <v>93</v>
      </c>
      <c r="E36" s="142">
        <f t="shared" ref="E36:E46" si="12">F36+G36+H36+I36</f>
        <v>9</v>
      </c>
      <c r="F36" s="142">
        <v>9</v>
      </c>
      <c r="G36" s="142">
        <v>0</v>
      </c>
      <c r="H36" s="142">
        <v>0</v>
      </c>
      <c r="I36" s="142">
        <v>0</v>
      </c>
      <c r="J36" s="142">
        <f t="shared" ref="J36:J46" si="13">K36+L36+M36+N36</f>
        <v>9</v>
      </c>
      <c r="K36" s="142">
        <v>9</v>
      </c>
      <c r="L36" s="142">
        <v>0</v>
      </c>
      <c r="M36" s="142">
        <v>0</v>
      </c>
      <c r="N36" s="142">
        <v>0</v>
      </c>
      <c r="O36" s="142">
        <f t="shared" ref="O36:O46" si="14">P36+Q36+R36+S36</f>
        <v>0</v>
      </c>
      <c r="P36" s="142">
        <v>0</v>
      </c>
      <c r="Q36" s="142">
        <v>0</v>
      </c>
      <c r="R36" s="142">
        <v>0</v>
      </c>
      <c r="S36" s="142">
        <v>0</v>
      </c>
      <c r="T36" s="142">
        <f t="shared" ref="T36:T46" si="15">U36+V36+W36+X36</f>
        <v>0</v>
      </c>
      <c r="U36" s="142">
        <v>0</v>
      </c>
      <c r="V36" s="142">
        <v>0</v>
      </c>
      <c r="W36" s="142">
        <v>0</v>
      </c>
      <c r="X36" s="142">
        <v>0</v>
      </c>
      <c r="Y36" s="142">
        <f t="shared" ref="Y36:Y46" si="16">Z36+AA36+AB36+AC36</f>
        <v>9</v>
      </c>
      <c r="Z36" s="142">
        <v>9</v>
      </c>
      <c r="AA36" s="142">
        <v>0</v>
      </c>
      <c r="AB36" s="142">
        <v>0</v>
      </c>
      <c r="AC36" s="142">
        <v>0</v>
      </c>
      <c r="AD36" s="142">
        <f t="shared" ref="AD36:AD48" si="17">E36+J36+O36+T36+Y36</f>
        <v>27</v>
      </c>
    </row>
    <row r="37" spans="1:31" ht="75">
      <c r="A37" s="155" t="s">
        <v>235</v>
      </c>
      <c r="B37" s="175" t="s">
        <v>71</v>
      </c>
      <c r="C37" s="41" t="s">
        <v>94</v>
      </c>
      <c r="D37" s="41" t="s">
        <v>168</v>
      </c>
      <c r="E37" s="142">
        <f t="shared" si="12"/>
        <v>426</v>
      </c>
      <c r="F37" s="142">
        <v>426</v>
      </c>
      <c r="G37" s="142">
        <v>0</v>
      </c>
      <c r="H37" s="142">
        <v>0</v>
      </c>
      <c r="I37" s="142">
        <v>0</v>
      </c>
      <c r="J37" s="142">
        <f t="shared" si="13"/>
        <v>0</v>
      </c>
      <c r="K37" s="142">
        <v>0</v>
      </c>
      <c r="L37" s="142">
        <v>0</v>
      </c>
      <c r="M37" s="142">
        <v>0</v>
      </c>
      <c r="N37" s="142">
        <v>0</v>
      </c>
      <c r="O37" s="142">
        <f t="shared" si="14"/>
        <v>0</v>
      </c>
      <c r="P37" s="142">
        <v>0</v>
      </c>
      <c r="Q37" s="142">
        <v>0</v>
      </c>
      <c r="R37" s="142">
        <v>0</v>
      </c>
      <c r="S37" s="142">
        <v>0</v>
      </c>
      <c r="T37" s="142">
        <f t="shared" si="15"/>
        <v>0</v>
      </c>
      <c r="U37" s="142">
        <v>0</v>
      </c>
      <c r="V37" s="142">
        <v>0</v>
      </c>
      <c r="W37" s="142">
        <v>0</v>
      </c>
      <c r="X37" s="142">
        <v>0</v>
      </c>
      <c r="Y37" s="142">
        <f t="shared" si="16"/>
        <v>0</v>
      </c>
      <c r="Z37" s="142">
        <v>0</v>
      </c>
      <c r="AA37" s="142">
        <v>0</v>
      </c>
      <c r="AB37" s="142">
        <v>0</v>
      </c>
      <c r="AC37" s="142">
        <v>0</v>
      </c>
      <c r="AD37" s="142">
        <f>E37+J37+O37+T37+Y37</f>
        <v>426</v>
      </c>
    </row>
    <row r="38" spans="1:31" ht="46.5">
      <c r="A38" s="155" t="s">
        <v>236</v>
      </c>
      <c r="B38" s="175" t="s">
        <v>110</v>
      </c>
      <c r="C38" s="608" t="s">
        <v>105</v>
      </c>
      <c r="D38" s="41" t="s">
        <v>93</v>
      </c>
      <c r="E38" s="142">
        <f t="shared" si="12"/>
        <v>3304</v>
      </c>
      <c r="F38" s="142">
        <v>3304</v>
      </c>
      <c r="G38" s="142">
        <v>0</v>
      </c>
      <c r="H38" s="142">
        <v>0</v>
      </c>
      <c r="I38" s="142">
        <v>0</v>
      </c>
      <c r="J38" s="142">
        <f t="shared" si="13"/>
        <v>3304</v>
      </c>
      <c r="K38" s="142">
        <v>3304</v>
      </c>
      <c r="L38" s="142">
        <v>0</v>
      </c>
      <c r="M38" s="142">
        <v>0</v>
      </c>
      <c r="N38" s="142">
        <v>0</v>
      </c>
      <c r="O38" s="142">
        <f t="shared" si="14"/>
        <v>0</v>
      </c>
      <c r="P38" s="142">
        <v>0</v>
      </c>
      <c r="Q38" s="142">
        <v>0</v>
      </c>
      <c r="R38" s="142">
        <v>0</v>
      </c>
      <c r="S38" s="142">
        <v>0</v>
      </c>
      <c r="T38" s="142">
        <f t="shared" si="15"/>
        <v>0</v>
      </c>
      <c r="U38" s="142">
        <v>0</v>
      </c>
      <c r="V38" s="142">
        <v>0</v>
      </c>
      <c r="W38" s="142">
        <v>0</v>
      </c>
      <c r="X38" s="142">
        <v>0</v>
      </c>
      <c r="Y38" s="142">
        <f t="shared" si="16"/>
        <v>3304</v>
      </c>
      <c r="Z38" s="142">
        <v>3304</v>
      </c>
      <c r="AA38" s="142">
        <v>0</v>
      </c>
      <c r="AB38" s="142">
        <v>0</v>
      </c>
      <c r="AC38" s="142">
        <v>0</v>
      </c>
      <c r="AD38" s="142">
        <f>E38+J38+O38+T38+Y38</f>
        <v>9912</v>
      </c>
    </row>
    <row r="39" spans="1:31" ht="93">
      <c r="A39" s="155" t="s">
        <v>237</v>
      </c>
      <c r="B39" s="175" t="s">
        <v>191</v>
      </c>
      <c r="C39" s="609"/>
      <c r="D39" s="41" t="s">
        <v>283</v>
      </c>
      <c r="E39" s="142">
        <f t="shared" si="12"/>
        <v>378</v>
      </c>
      <c r="F39" s="142">
        <v>378</v>
      </c>
      <c r="G39" s="142">
        <v>0</v>
      </c>
      <c r="H39" s="142">
        <v>0</v>
      </c>
      <c r="I39" s="142">
        <v>0</v>
      </c>
      <c r="J39" s="142">
        <f t="shared" si="13"/>
        <v>324</v>
      </c>
      <c r="K39" s="142">
        <v>324</v>
      </c>
      <c r="L39" s="142">
        <v>0</v>
      </c>
      <c r="M39" s="142">
        <v>0</v>
      </c>
      <c r="N39" s="142">
        <v>0</v>
      </c>
      <c r="O39" s="142">
        <f t="shared" si="14"/>
        <v>0</v>
      </c>
      <c r="P39" s="142">
        <v>0</v>
      </c>
      <c r="Q39" s="142">
        <v>0</v>
      </c>
      <c r="R39" s="142">
        <v>0</v>
      </c>
      <c r="S39" s="142">
        <v>0</v>
      </c>
      <c r="T39" s="142">
        <f t="shared" si="15"/>
        <v>0</v>
      </c>
      <c r="U39" s="142">
        <v>0</v>
      </c>
      <c r="V39" s="142">
        <v>0</v>
      </c>
      <c r="W39" s="142">
        <v>0</v>
      </c>
      <c r="X39" s="142">
        <v>0</v>
      </c>
      <c r="Y39" s="142">
        <f t="shared" si="16"/>
        <v>378</v>
      </c>
      <c r="Z39" s="142">
        <v>378</v>
      </c>
      <c r="AA39" s="142">
        <v>0</v>
      </c>
      <c r="AB39" s="142">
        <v>0</v>
      </c>
      <c r="AC39" s="142">
        <v>0</v>
      </c>
      <c r="AD39" s="142">
        <f>E39+J39+O39+T39+Y39</f>
        <v>1080</v>
      </c>
    </row>
    <row r="40" spans="1:31" ht="116.25">
      <c r="A40" s="155" t="s">
        <v>238</v>
      </c>
      <c r="B40" s="175" t="s">
        <v>77</v>
      </c>
      <c r="C40" s="205" t="s">
        <v>94</v>
      </c>
      <c r="D40" s="41" t="s">
        <v>93</v>
      </c>
      <c r="E40" s="142">
        <f t="shared" si="12"/>
        <v>12</v>
      </c>
      <c r="F40" s="142">
        <v>12</v>
      </c>
      <c r="G40" s="142">
        <v>0</v>
      </c>
      <c r="H40" s="142">
        <v>0</v>
      </c>
      <c r="I40" s="142">
        <v>0</v>
      </c>
      <c r="J40" s="142">
        <f t="shared" si="13"/>
        <v>12</v>
      </c>
      <c r="K40" s="142">
        <v>12</v>
      </c>
      <c r="L40" s="142">
        <v>0</v>
      </c>
      <c r="M40" s="142">
        <v>0</v>
      </c>
      <c r="N40" s="142">
        <v>0</v>
      </c>
      <c r="O40" s="142">
        <f t="shared" si="14"/>
        <v>0</v>
      </c>
      <c r="P40" s="142">
        <v>0</v>
      </c>
      <c r="Q40" s="142">
        <v>0</v>
      </c>
      <c r="R40" s="142">
        <v>0</v>
      </c>
      <c r="S40" s="142">
        <v>0</v>
      </c>
      <c r="T40" s="142">
        <f t="shared" si="15"/>
        <v>0</v>
      </c>
      <c r="U40" s="142">
        <v>0</v>
      </c>
      <c r="V40" s="142">
        <v>0</v>
      </c>
      <c r="W40" s="142">
        <v>0</v>
      </c>
      <c r="X40" s="142">
        <v>0</v>
      </c>
      <c r="Y40" s="142">
        <f t="shared" si="16"/>
        <v>12</v>
      </c>
      <c r="Z40" s="142">
        <v>12</v>
      </c>
      <c r="AA40" s="142">
        <v>0</v>
      </c>
      <c r="AB40" s="142">
        <v>0</v>
      </c>
      <c r="AC40" s="142">
        <v>0</v>
      </c>
      <c r="AD40" s="142">
        <f t="shared" si="17"/>
        <v>36</v>
      </c>
    </row>
    <row r="41" spans="1:31" ht="116.25">
      <c r="A41" s="155" t="s">
        <v>239</v>
      </c>
      <c r="B41" s="175" t="s">
        <v>265</v>
      </c>
      <c r="C41" s="610" t="s">
        <v>105</v>
      </c>
      <c r="D41" s="41" t="s">
        <v>168</v>
      </c>
      <c r="E41" s="142">
        <f t="shared" si="12"/>
        <v>50</v>
      </c>
      <c r="F41" s="142">
        <v>50</v>
      </c>
      <c r="G41" s="142">
        <v>0</v>
      </c>
      <c r="H41" s="142">
        <v>0</v>
      </c>
      <c r="I41" s="142">
        <v>0</v>
      </c>
      <c r="J41" s="142">
        <f t="shared" si="13"/>
        <v>0</v>
      </c>
      <c r="K41" s="142">
        <v>0</v>
      </c>
      <c r="L41" s="142">
        <v>0</v>
      </c>
      <c r="M41" s="142">
        <v>0</v>
      </c>
      <c r="N41" s="142">
        <v>0</v>
      </c>
      <c r="O41" s="142">
        <f t="shared" si="14"/>
        <v>0</v>
      </c>
      <c r="P41" s="142">
        <v>0</v>
      </c>
      <c r="Q41" s="142">
        <v>0</v>
      </c>
      <c r="R41" s="142">
        <v>0</v>
      </c>
      <c r="S41" s="142">
        <v>0</v>
      </c>
      <c r="T41" s="142">
        <f t="shared" si="15"/>
        <v>0</v>
      </c>
      <c r="U41" s="142">
        <v>0</v>
      </c>
      <c r="V41" s="142">
        <v>0</v>
      </c>
      <c r="W41" s="142">
        <v>0</v>
      </c>
      <c r="X41" s="142">
        <v>0</v>
      </c>
      <c r="Y41" s="142">
        <f t="shared" si="16"/>
        <v>0</v>
      </c>
      <c r="Z41" s="142">
        <v>0</v>
      </c>
      <c r="AA41" s="142">
        <v>0</v>
      </c>
      <c r="AB41" s="142">
        <v>0</v>
      </c>
      <c r="AC41" s="142">
        <v>0</v>
      </c>
      <c r="AD41" s="142">
        <f t="shared" si="17"/>
        <v>50</v>
      </c>
    </row>
    <row r="42" spans="1:31" ht="93">
      <c r="A42" s="155" t="s">
        <v>240</v>
      </c>
      <c r="B42" s="175" t="s">
        <v>111</v>
      </c>
      <c r="C42" s="611"/>
      <c r="D42" s="41" t="s">
        <v>168</v>
      </c>
      <c r="E42" s="142">
        <f t="shared" si="12"/>
        <v>50</v>
      </c>
      <c r="F42" s="142">
        <v>50</v>
      </c>
      <c r="G42" s="142">
        <v>0</v>
      </c>
      <c r="H42" s="142">
        <v>0</v>
      </c>
      <c r="I42" s="142">
        <v>0</v>
      </c>
      <c r="J42" s="142">
        <f t="shared" si="13"/>
        <v>50</v>
      </c>
      <c r="K42" s="142">
        <v>50</v>
      </c>
      <c r="L42" s="142">
        <v>0</v>
      </c>
      <c r="M42" s="142">
        <v>0</v>
      </c>
      <c r="N42" s="142">
        <v>0</v>
      </c>
      <c r="O42" s="142">
        <f t="shared" si="14"/>
        <v>0</v>
      </c>
      <c r="P42" s="142">
        <v>0</v>
      </c>
      <c r="Q42" s="142">
        <v>0</v>
      </c>
      <c r="R42" s="142">
        <v>0</v>
      </c>
      <c r="S42" s="142">
        <v>0</v>
      </c>
      <c r="T42" s="142">
        <f t="shared" si="15"/>
        <v>0</v>
      </c>
      <c r="U42" s="142">
        <v>0</v>
      </c>
      <c r="V42" s="142">
        <v>0</v>
      </c>
      <c r="W42" s="142">
        <v>0</v>
      </c>
      <c r="X42" s="142">
        <v>0</v>
      </c>
      <c r="Y42" s="142">
        <f t="shared" si="16"/>
        <v>0</v>
      </c>
      <c r="Z42" s="142">
        <v>0</v>
      </c>
      <c r="AA42" s="142">
        <v>0</v>
      </c>
      <c r="AB42" s="142">
        <v>0</v>
      </c>
      <c r="AC42" s="142">
        <v>0</v>
      </c>
      <c r="AD42" s="142">
        <f t="shared" si="17"/>
        <v>100</v>
      </c>
    </row>
    <row r="43" spans="1:31" ht="116.25">
      <c r="A43" s="155" t="s">
        <v>241</v>
      </c>
      <c r="B43" s="175" t="s">
        <v>112</v>
      </c>
      <c r="C43" s="611"/>
      <c r="D43" s="41" t="s">
        <v>93</v>
      </c>
      <c r="E43" s="142">
        <f t="shared" si="12"/>
        <v>810</v>
      </c>
      <c r="F43" s="142">
        <f>480+330</f>
        <v>810</v>
      </c>
      <c r="G43" s="142">
        <v>0</v>
      </c>
      <c r="H43" s="142">
        <v>0</v>
      </c>
      <c r="I43" s="142">
        <v>0</v>
      </c>
      <c r="J43" s="142">
        <f t="shared" si="13"/>
        <v>720</v>
      </c>
      <c r="K43" s="142">
        <v>720</v>
      </c>
      <c r="L43" s="142">
        <v>0</v>
      </c>
      <c r="M43" s="142">
        <v>0</v>
      </c>
      <c r="N43" s="142">
        <v>0</v>
      </c>
      <c r="O43" s="142">
        <f t="shared" si="14"/>
        <v>0</v>
      </c>
      <c r="P43" s="142">
        <v>0</v>
      </c>
      <c r="Q43" s="142">
        <v>0</v>
      </c>
      <c r="R43" s="142">
        <v>0</v>
      </c>
      <c r="S43" s="142">
        <v>0</v>
      </c>
      <c r="T43" s="142">
        <f t="shared" si="15"/>
        <v>0</v>
      </c>
      <c r="U43" s="142">
        <v>0</v>
      </c>
      <c r="V43" s="142">
        <v>0</v>
      </c>
      <c r="W43" s="142">
        <v>0</v>
      </c>
      <c r="X43" s="142">
        <v>0</v>
      </c>
      <c r="Y43" s="142">
        <f t="shared" si="16"/>
        <v>480</v>
      </c>
      <c r="Z43" s="142">
        <v>480</v>
      </c>
      <c r="AA43" s="142">
        <v>0</v>
      </c>
      <c r="AB43" s="142">
        <v>0</v>
      </c>
      <c r="AC43" s="142">
        <v>0</v>
      </c>
      <c r="AD43" s="142">
        <f>E43+J43+O43+T43+Y43</f>
        <v>2010</v>
      </c>
    </row>
    <row r="44" spans="1:31" ht="139.5">
      <c r="A44" s="211" t="s">
        <v>242</v>
      </c>
      <c r="B44" s="175" t="s">
        <v>113</v>
      </c>
      <c r="C44" s="611"/>
      <c r="D44" s="41" t="s">
        <v>168</v>
      </c>
      <c r="E44" s="142">
        <f t="shared" si="12"/>
        <v>30</v>
      </c>
      <c r="F44" s="142">
        <v>30</v>
      </c>
      <c r="G44" s="142">
        <v>0</v>
      </c>
      <c r="H44" s="142">
        <v>0</v>
      </c>
      <c r="I44" s="142">
        <v>0</v>
      </c>
      <c r="J44" s="142">
        <f t="shared" si="13"/>
        <v>10</v>
      </c>
      <c r="K44" s="142">
        <v>10</v>
      </c>
      <c r="L44" s="142">
        <v>0</v>
      </c>
      <c r="M44" s="142">
        <v>0</v>
      </c>
      <c r="N44" s="142">
        <v>0</v>
      </c>
      <c r="O44" s="142">
        <f t="shared" si="14"/>
        <v>0</v>
      </c>
      <c r="P44" s="142">
        <v>0</v>
      </c>
      <c r="Q44" s="142">
        <v>0</v>
      </c>
      <c r="R44" s="142">
        <v>0</v>
      </c>
      <c r="S44" s="142">
        <v>0</v>
      </c>
      <c r="T44" s="142">
        <f t="shared" si="15"/>
        <v>0</v>
      </c>
      <c r="U44" s="142">
        <v>0</v>
      </c>
      <c r="V44" s="142">
        <v>0</v>
      </c>
      <c r="W44" s="142">
        <v>0</v>
      </c>
      <c r="X44" s="142">
        <v>0</v>
      </c>
      <c r="Y44" s="142">
        <f t="shared" si="16"/>
        <v>0</v>
      </c>
      <c r="Z44" s="142">
        <v>0</v>
      </c>
      <c r="AA44" s="142">
        <v>0</v>
      </c>
      <c r="AB44" s="142">
        <v>0</v>
      </c>
      <c r="AC44" s="142">
        <v>0</v>
      </c>
      <c r="AD44" s="142">
        <f t="shared" si="17"/>
        <v>40</v>
      </c>
    </row>
    <row r="45" spans="1:31" ht="69.75">
      <c r="A45" s="155" t="s">
        <v>243</v>
      </c>
      <c r="B45" s="175" t="s">
        <v>114</v>
      </c>
      <c r="C45" s="612"/>
      <c r="D45" s="41" t="s">
        <v>168</v>
      </c>
      <c r="E45" s="142">
        <f t="shared" si="12"/>
        <v>50</v>
      </c>
      <c r="F45" s="142">
        <v>50</v>
      </c>
      <c r="G45" s="142">
        <v>0</v>
      </c>
      <c r="H45" s="142">
        <v>0</v>
      </c>
      <c r="I45" s="142">
        <v>0</v>
      </c>
      <c r="J45" s="142">
        <f t="shared" si="13"/>
        <v>50</v>
      </c>
      <c r="K45" s="142">
        <v>50</v>
      </c>
      <c r="L45" s="142">
        <v>0</v>
      </c>
      <c r="M45" s="142">
        <v>0</v>
      </c>
      <c r="N45" s="142">
        <v>0</v>
      </c>
      <c r="O45" s="142">
        <f t="shared" si="14"/>
        <v>0</v>
      </c>
      <c r="P45" s="142">
        <v>0</v>
      </c>
      <c r="Q45" s="142">
        <v>0</v>
      </c>
      <c r="R45" s="142">
        <v>0</v>
      </c>
      <c r="S45" s="142">
        <v>0</v>
      </c>
      <c r="T45" s="142">
        <f t="shared" si="15"/>
        <v>0</v>
      </c>
      <c r="U45" s="142">
        <v>0</v>
      </c>
      <c r="V45" s="142">
        <v>0</v>
      </c>
      <c r="W45" s="142">
        <v>0</v>
      </c>
      <c r="X45" s="142">
        <v>0</v>
      </c>
      <c r="Y45" s="142">
        <f t="shared" si="16"/>
        <v>0</v>
      </c>
      <c r="Z45" s="142">
        <v>0</v>
      </c>
      <c r="AA45" s="142">
        <v>0</v>
      </c>
      <c r="AB45" s="142">
        <v>0</v>
      </c>
      <c r="AC45" s="142">
        <v>0</v>
      </c>
      <c r="AD45" s="142">
        <f t="shared" si="17"/>
        <v>100</v>
      </c>
    </row>
    <row r="46" spans="1:31" ht="93">
      <c r="A46" s="155" t="s">
        <v>244</v>
      </c>
      <c r="B46" s="175" t="s">
        <v>78</v>
      </c>
      <c r="C46" s="41" t="s">
        <v>18</v>
      </c>
      <c r="D46" s="41" t="s">
        <v>93</v>
      </c>
      <c r="E46" s="142">
        <f t="shared" si="12"/>
        <v>96</v>
      </c>
      <c r="F46" s="142">
        <f>96</f>
        <v>96</v>
      </c>
      <c r="G46" s="142">
        <v>0</v>
      </c>
      <c r="H46" s="142">
        <v>0</v>
      </c>
      <c r="I46" s="142">
        <v>0</v>
      </c>
      <c r="J46" s="142">
        <f t="shared" si="13"/>
        <v>68</v>
      </c>
      <c r="K46" s="142">
        <v>68</v>
      </c>
      <c r="L46" s="142">
        <v>0</v>
      </c>
      <c r="M46" s="142">
        <v>0</v>
      </c>
      <c r="N46" s="142">
        <v>0</v>
      </c>
      <c r="O46" s="142">
        <f t="shared" si="14"/>
        <v>0</v>
      </c>
      <c r="P46" s="142">
        <v>0</v>
      </c>
      <c r="Q46" s="142">
        <v>0</v>
      </c>
      <c r="R46" s="142">
        <v>0</v>
      </c>
      <c r="S46" s="142">
        <v>0</v>
      </c>
      <c r="T46" s="142">
        <f t="shared" si="15"/>
        <v>0</v>
      </c>
      <c r="U46" s="142">
        <v>0</v>
      </c>
      <c r="V46" s="142">
        <v>0</v>
      </c>
      <c r="W46" s="142">
        <v>0</v>
      </c>
      <c r="X46" s="142">
        <v>0</v>
      </c>
      <c r="Y46" s="142">
        <f t="shared" si="16"/>
        <v>96</v>
      </c>
      <c r="Z46" s="142">
        <v>96</v>
      </c>
      <c r="AA46" s="142">
        <v>0</v>
      </c>
      <c r="AB46" s="142">
        <v>0</v>
      </c>
      <c r="AC46" s="142">
        <v>0</v>
      </c>
      <c r="AD46" s="142">
        <f t="shared" si="17"/>
        <v>260</v>
      </c>
    </row>
    <row r="47" spans="1:31" ht="116.25">
      <c r="A47" s="155" t="s">
        <v>245</v>
      </c>
      <c r="B47" s="175" t="s">
        <v>145</v>
      </c>
      <c r="C47" s="41" t="s">
        <v>94</v>
      </c>
      <c r="D47" s="41" t="s">
        <v>93</v>
      </c>
      <c r="E47" s="142">
        <f>F47+G47+H47+I47</f>
        <v>28325</v>
      </c>
      <c r="F47" s="142">
        <f>6567-902</f>
        <v>5665</v>
      </c>
      <c r="G47" s="142">
        <f>26268-3608</f>
        <v>22660</v>
      </c>
      <c r="H47" s="142">
        <v>0</v>
      </c>
      <c r="I47" s="142">
        <v>0</v>
      </c>
      <c r="J47" s="142">
        <f>K47+L47+M47+N47</f>
        <v>550</v>
      </c>
      <c r="K47" s="142">
        <v>550</v>
      </c>
      <c r="L47" s="142">
        <v>0</v>
      </c>
      <c r="M47" s="142">
        <v>0</v>
      </c>
      <c r="N47" s="142">
        <v>0</v>
      </c>
      <c r="O47" s="142">
        <f>P47+Q47+R47+S47</f>
        <v>0</v>
      </c>
      <c r="P47" s="142">
        <v>0</v>
      </c>
      <c r="Q47" s="142">
        <v>0</v>
      </c>
      <c r="R47" s="142">
        <v>0</v>
      </c>
      <c r="S47" s="142">
        <v>0</v>
      </c>
      <c r="T47" s="142">
        <f>U47+V47+W47+X47</f>
        <v>0</v>
      </c>
      <c r="U47" s="142">
        <v>0</v>
      </c>
      <c r="V47" s="142">
        <v>0</v>
      </c>
      <c r="W47" s="142">
        <v>0</v>
      </c>
      <c r="X47" s="142">
        <v>0</v>
      </c>
      <c r="Y47" s="142">
        <v>2321</v>
      </c>
      <c r="Z47" s="142">
        <v>2321</v>
      </c>
      <c r="AA47" s="142">
        <v>0</v>
      </c>
      <c r="AB47" s="142">
        <v>0</v>
      </c>
      <c r="AC47" s="142">
        <v>0</v>
      </c>
      <c r="AD47" s="142">
        <f>E47+J47+O47+T47+Y47</f>
        <v>31196</v>
      </c>
      <c r="AE47" s="212"/>
    </row>
    <row r="48" spans="1:31" ht="46.5">
      <c r="A48" s="213" t="s">
        <v>246</v>
      </c>
      <c r="B48" s="187" t="s">
        <v>87</v>
      </c>
      <c r="C48" s="249" t="s">
        <v>52</v>
      </c>
      <c r="D48" s="41" t="s">
        <v>93</v>
      </c>
      <c r="E48" s="142">
        <f>F48+G48+H48+I48</f>
        <v>384.8</v>
      </c>
      <c r="F48" s="142">
        <f>387-2.2</f>
        <v>384.8</v>
      </c>
      <c r="G48" s="142">
        <v>0</v>
      </c>
      <c r="H48" s="142">
        <v>0</v>
      </c>
      <c r="I48" s="142">
        <v>0</v>
      </c>
      <c r="J48" s="142">
        <v>387</v>
      </c>
      <c r="K48" s="142">
        <v>387</v>
      </c>
      <c r="L48" s="142">
        <v>0</v>
      </c>
      <c r="M48" s="142">
        <v>0</v>
      </c>
      <c r="N48" s="142">
        <v>0</v>
      </c>
      <c r="O48" s="136">
        <v>387</v>
      </c>
      <c r="P48" s="136">
        <v>387</v>
      </c>
      <c r="Q48" s="142">
        <v>0</v>
      </c>
      <c r="R48" s="142">
        <v>0</v>
      </c>
      <c r="S48" s="142">
        <v>0</v>
      </c>
      <c r="T48" s="136">
        <f>U48+V48+W48+X48</f>
        <v>387</v>
      </c>
      <c r="U48" s="136">
        <v>387</v>
      </c>
      <c r="V48" s="142">
        <v>0</v>
      </c>
      <c r="W48" s="142">
        <v>0</v>
      </c>
      <c r="X48" s="142">
        <v>0</v>
      </c>
      <c r="Y48" s="136">
        <f>Z48+AA48+AB48+AC48</f>
        <v>387</v>
      </c>
      <c r="Z48" s="136">
        <v>387</v>
      </c>
      <c r="AA48" s="142">
        <v>0</v>
      </c>
      <c r="AB48" s="142">
        <v>0</v>
      </c>
      <c r="AC48" s="142">
        <v>0</v>
      </c>
      <c r="AD48" s="142">
        <f t="shared" si="17"/>
        <v>1932.8</v>
      </c>
    </row>
    <row r="49" spans="1:32" ht="112.5">
      <c r="A49" s="213" t="s">
        <v>247</v>
      </c>
      <c r="B49" s="187" t="s">
        <v>132</v>
      </c>
      <c r="C49" s="249" t="s">
        <v>147</v>
      </c>
      <c r="D49" s="204">
        <v>2020</v>
      </c>
      <c r="E49" s="142">
        <f>F49+G49+H49+I49</f>
        <v>1248</v>
      </c>
      <c r="F49" s="142">
        <f>1248</f>
        <v>1248</v>
      </c>
      <c r="G49" s="142">
        <v>0</v>
      </c>
      <c r="H49" s="142">
        <v>0</v>
      </c>
      <c r="I49" s="142">
        <v>0</v>
      </c>
      <c r="J49" s="142">
        <f>K49+L49+M49+N49</f>
        <v>0</v>
      </c>
      <c r="K49" s="142">
        <v>0</v>
      </c>
      <c r="L49" s="142">
        <v>0</v>
      </c>
      <c r="M49" s="142">
        <v>0</v>
      </c>
      <c r="N49" s="142">
        <v>0</v>
      </c>
      <c r="O49" s="142">
        <f>P49+Q49+R49+S49</f>
        <v>0</v>
      </c>
      <c r="P49" s="142">
        <v>0</v>
      </c>
      <c r="Q49" s="142">
        <v>0</v>
      </c>
      <c r="R49" s="142">
        <v>0</v>
      </c>
      <c r="S49" s="142">
        <v>0</v>
      </c>
      <c r="T49" s="142">
        <f>U49+V49+W49+X49</f>
        <v>0</v>
      </c>
      <c r="U49" s="142">
        <v>0</v>
      </c>
      <c r="V49" s="142">
        <v>0</v>
      </c>
      <c r="W49" s="142">
        <v>0</v>
      </c>
      <c r="X49" s="142">
        <v>0</v>
      </c>
      <c r="Y49" s="142">
        <f>Z49+AA49+AB49+AC49</f>
        <v>0</v>
      </c>
      <c r="Z49" s="142">
        <v>0</v>
      </c>
      <c r="AA49" s="142">
        <v>0</v>
      </c>
      <c r="AB49" s="142">
        <v>0</v>
      </c>
      <c r="AC49" s="142">
        <v>0</v>
      </c>
      <c r="AD49" s="142">
        <f>E49+J49+O49+T49+Y49</f>
        <v>1248</v>
      </c>
    </row>
    <row r="50" spans="1:32" ht="23.25">
      <c r="A50" s="575" t="s">
        <v>25</v>
      </c>
      <c r="B50" s="575"/>
      <c r="C50" s="575"/>
      <c r="D50" s="255"/>
      <c r="E50" s="148">
        <f t="shared" ref="E50:K50" si="18">E51+E52</f>
        <v>38121.800000000003</v>
      </c>
      <c r="F50" s="148">
        <f t="shared" si="18"/>
        <v>15461.8</v>
      </c>
      <c r="G50" s="148">
        <f t="shared" si="18"/>
        <v>22660</v>
      </c>
      <c r="H50" s="148">
        <f t="shared" si="18"/>
        <v>0</v>
      </c>
      <c r="I50" s="148">
        <f t="shared" si="18"/>
        <v>0</v>
      </c>
      <c r="J50" s="148">
        <f>J52+J51</f>
        <v>7259</v>
      </c>
      <c r="K50" s="148">
        <f t="shared" si="18"/>
        <v>7259</v>
      </c>
      <c r="L50" s="148">
        <f>SUM(L35,L36:L48)</f>
        <v>0</v>
      </c>
      <c r="M50" s="148">
        <f>SUM(M35,M36:M48)</f>
        <v>0</v>
      </c>
      <c r="N50" s="148">
        <f>SUM(N35,N36:N48)</f>
        <v>0</v>
      </c>
      <c r="O50" s="148">
        <f>O51+O52</f>
        <v>387</v>
      </c>
      <c r="P50" s="148">
        <f>P51+P52</f>
        <v>387</v>
      </c>
      <c r="Q50" s="148">
        <f>SUM(Q35,Q36:Q48)</f>
        <v>0</v>
      </c>
      <c r="R50" s="148">
        <f>SUM(R35,R36:R48)</f>
        <v>0</v>
      </c>
      <c r="S50" s="148">
        <f>SUM(S35,S36:S48)</f>
        <v>0</v>
      </c>
      <c r="T50" s="148">
        <f>T51+T52</f>
        <v>387</v>
      </c>
      <c r="U50" s="148">
        <f>U51+U52</f>
        <v>387</v>
      </c>
      <c r="V50" s="148">
        <f>SUM(V35,V36:V48)</f>
        <v>0</v>
      </c>
      <c r="W50" s="148">
        <f>SUM(W35,W36:W48)</f>
        <v>0</v>
      </c>
      <c r="X50" s="148">
        <f>SUM(X35,X36:X48)</f>
        <v>0</v>
      </c>
      <c r="Y50" s="148">
        <f>Y51+Y52</f>
        <v>10293</v>
      </c>
      <c r="Z50" s="148">
        <f>Z51+Z52</f>
        <v>10293</v>
      </c>
      <c r="AA50" s="148">
        <f>SUM(AA35,AA36:AA48)</f>
        <v>0</v>
      </c>
      <c r="AB50" s="148">
        <f>SUM(AB35,AB36:AB48)</f>
        <v>0</v>
      </c>
      <c r="AC50" s="148">
        <f>SUM(AC35,AC36:AC48)</f>
        <v>0</v>
      </c>
      <c r="AD50" s="148">
        <f>E50+J50+O50+T50+Y50</f>
        <v>56447.8</v>
      </c>
    </row>
    <row r="51" spans="1:32" ht="23.25">
      <c r="A51" s="248" t="s">
        <v>73</v>
      </c>
      <c r="B51" s="248"/>
      <c r="C51" s="257"/>
      <c r="D51" s="157"/>
      <c r="E51" s="152">
        <f t="shared" ref="E51:AC51" si="19">E48</f>
        <v>384.8</v>
      </c>
      <c r="F51" s="152">
        <f t="shared" si="19"/>
        <v>384.8</v>
      </c>
      <c r="G51" s="152">
        <v>0</v>
      </c>
      <c r="H51" s="152">
        <f t="shared" si="19"/>
        <v>0</v>
      </c>
      <c r="I51" s="152">
        <f t="shared" si="19"/>
        <v>0</v>
      </c>
      <c r="J51" s="152">
        <f t="shared" si="19"/>
        <v>387</v>
      </c>
      <c r="K51" s="152">
        <f t="shared" si="19"/>
        <v>387</v>
      </c>
      <c r="L51" s="152">
        <f t="shared" si="19"/>
        <v>0</v>
      </c>
      <c r="M51" s="152">
        <f t="shared" si="19"/>
        <v>0</v>
      </c>
      <c r="N51" s="152">
        <f t="shared" si="19"/>
        <v>0</v>
      </c>
      <c r="O51" s="152">
        <f t="shared" si="19"/>
        <v>387</v>
      </c>
      <c r="P51" s="152">
        <f t="shared" si="19"/>
        <v>387</v>
      </c>
      <c r="Q51" s="152">
        <f t="shared" si="19"/>
        <v>0</v>
      </c>
      <c r="R51" s="152">
        <f t="shared" si="19"/>
        <v>0</v>
      </c>
      <c r="S51" s="152">
        <f t="shared" si="19"/>
        <v>0</v>
      </c>
      <c r="T51" s="152">
        <f t="shared" si="19"/>
        <v>387</v>
      </c>
      <c r="U51" s="152">
        <f t="shared" si="19"/>
        <v>387</v>
      </c>
      <c r="V51" s="152">
        <f t="shared" si="19"/>
        <v>0</v>
      </c>
      <c r="W51" s="152">
        <f t="shared" si="19"/>
        <v>0</v>
      </c>
      <c r="X51" s="152">
        <f t="shared" si="19"/>
        <v>0</v>
      </c>
      <c r="Y51" s="152">
        <f t="shared" si="19"/>
        <v>387</v>
      </c>
      <c r="Z51" s="152">
        <f t="shared" si="19"/>
        <v>387</v>
      </c>
      <c r="AA51" s="152">
        <f t="shared" si="19"/>
        <v>0</v>
      </c>
      <c r="AB51" s="152">
        <f t="shared" si="19"/>
        <v>0</v>
      </c>
      <c r="AC51" s="152">
        <f t="shared" si="19"/>
        <v>0</v>
      </c>
      <c r="AD51" s="158">
        <f>E51+J51+O51+T51+Y51</f>
        <v>1932.8</v>
      </c>
    </row>
    <row r="52" spans="1:32" ht="23.25">
      <c r="A52" s="248" t="s">
        <v>135</v>
      </c>
      <c r="B52" s="248"/>
      <c r="C52" s="257"/>
      <c r="D52" s="157"/>
      <c r="E52" s="142">
        <f>E35+E36+E37+E38+E39+E40+E41+E42+E43+E44+E45+E46+E47+E49</f>
        <v>37737</v>
      </c>
      <c r="F52" s="142">
        <f>F35+F36+F37+F38+F39+F40+F41+F42+F43+F44+F45+F46+F47+F49</f>
        <v>15077</v>
      </c>
      <c r="G52" s="142">
        <v>22660</v>
      </c>
      <c r="H52" s="142">
        <f>0</f>
        <v>0</v>
      </c>
      <c r="I52" s="142">
        <v>0</v>
      </c>
      <c r="J52" s="142">
        <f>J35+J36+J37+J38+J39+J40+J41+J42+J43+J44+J45+J46+J47+J49</f>
        <v>6872</v>
      </c>
      <c r="K52" s="142">
        <f>K35+K36+K37+K38+K39+K40+K41+K42+K43+K44+K45+K46+K47+K49</f>
        <v>6872</v>
      </c>
      <c r="L52" s="142">
        <v>0</v>
      </c>
      <c r="M52" s="142">
        <v>0</v>
      </c>
      <c r="N52" s="142">
        <v>0</v>
      </c>
      <c r="O52" s="142">
        <f>O35+O36+O37+O38+O39+O40+O42+O41+O43+O44+O45+O46+O47+O49</f>
        <v>0</v>
      </c>
      <c r="P52" s="142">
        <f>P35+P36+P37+P38+P39+P40+P41+P42+P43+P44+P45+P46+P47+P49</f>
        <v>0</v>
      </c>
      <c r="Q52" s="142">
        <v>0</v>
      </c>
      <c r="R52" s="142">
        <v>0</v>
      </c>
      <c r="S52" s="142">
        <v>0</v>
      </c>
      <c r="T52" s="142">
        <f>T35+T36+T37+T38+T39+T40+T41+T42+T43+T44+T45+T46+T47+T49</f>
        <v>0</v>
      </c>
      <c r="U52" s="142">
        <f>U35+U36+U37+U38+U39+U40+U41+U42+U43+U44+U45+U46+U47+U49</f>
        <v>0</v>
      </c>
      <c r="V52" s="142">
        <v>0</v>
      </c>
      <c r="W52" s="142">
        <v>0</v>
      </c>
      <c r="X52" s="142">
        <v>0</v>
      </c>
      <c r="Y52" s="142">
        <f>Y35+Y36+Y37+Y38+Y39+Y40+Y41+Y42+Y43+Y44+Y45+Y46+Y47+Y49</f>
        <v>9906</v>
      </c>
      <c r="Z52" s="142">
        <f>Z35+Z36+Z37+Z38+Z39+Z40+Z41+Z42+Z43+Z44+Z45+Z46+Z47+Z49</f>
        <v>9906</v>
      </c>
      <c r="AA52" s="142">
        <v>0</v>
      </c>
      <c r="AB52" s="142">
        <v>0</v>
      </c>
      <c r="AC52" s="142">
        <v>0</v>
      </c>
      <c r="AD52" s="142">
        <f>E52+J52+O52+T52+Y52</f>
        <v>54515</v>
      </c>
    </row>
    <row r="53" spans="1:32" ht="23.25">
      <c r="A53" s="41" t="s">
        <v>223</v>
      </c>
      <c r="B53" s="572" t="s">
        <v>248</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4"/>
    </row>
    <row r="54" spans="1:32" ht="75">
      <c r="A54" s="155" t="s">
        <v>27</v>
      </c>
      <c r="B54" s="175" t="s">
        <v>120</v>
      </c>
      <c r="C54" s="41" t="s">
        <v>94</v>
      </c>
      <c r="D54" s="41" t="s">
        <v>93</v>
      </c>
      <c r="E54" s="142">
        <f>F54+G54+H54+I54</f>
        <v>700</v>
      </c>
      <c r="F54" s="142">
        <f>700</f>
        <v>700</v>
      </c>
      <c r="G54" s="142">
        <v>0</v>
      </c>
      <c r="H54" s="142">
        <v>0</v>
      </c>
      <c r="I54" s="142">
        <v>0</v>
      </c>
      <c r="J54" s="142">
        <f>K54+L54+M54+N54</f>
        <v>600</v>
      </c>
      <c r="K54" s="142">
        <v>600</v>
      </c>
      <c r="L54" s="142">
        <v>0</v>
      </c>
      <c r="M54" s="142">
        <v>0</v>
      </c>
      <c r="N54" s="142">
        <v>0</v>
      </c>
      <c r="O54" s="142">
        <f>P54+Q54+R54+S54</f>
        <v>0</v>
      </c>
      <c r="P54" s="142">
        <v>0</v>
      </c>
      <c r="Q54" s="142">
        <v>0</v>
      </c>
      <c r="R54" s="142">
        <v>0</v>
      </c>
      <c r="S54" s="142">
        <v>0</v>
      </c>
      <c r="T54" s="142">
        <f>U54+V54+W54+X54</f>
        <v>0</v>
      </c>
      <c r="U54" s="142">
        <v>0</v>
      </c>
      <c r="V54" s="142">
        <v>0</v>
      </c>
      <c r="W54" s="142">
        <v>0</v>
      </c>
      <c r="X54" s="142">
        <v>0</v>
      </c>
      <c r="Y54" s="142">
        <f>Z54+AA54+AB54+AC54</f>
        <v>700</v>
      </c>
      <c r="Z54" s="142">
        <v>700</v>
      </c>
      <c r="AA54" s="142">
        <v>0</v>
      </c>
      <c r="AB54" s="142">
        <v>0</v>
      </c>
      <c r="AC54" s="142">
        <v>0</v>
      </c>
      <c r="AD54" s="142">
        <f>E54+J54+O54+T54+Y54</f>
        <v>2000</v>
      </c>
    </row>
    <row r="55" spans="1:32" ht="23.25">
      <c r="A55" s="575" t="s">
        <v>44</v>
      </c>
      <c r="B55" s="575"/>
      <c r="C55" s="575"/>
      <c r="D55" s="255"/>
      <c r="E55" s="148">
        <f t="shared" ref="E55:AD55" si="20">SUM(E54:E54)</f>
        <v>700</v>
      </c>
      <c r="F55" s="148">
        <f>SUM(F54)</f>
        <v>700</v>
      </c>
      <c r="G55" s="148">
        <f t="shared" si="20"/>
        <v>0</v>
      </c>
      <c r="H55" s="148">
        <f t="shared" si="20"/>
        <v>0</v>
      </c>
      <c r="I55" s="148">
        <f t="shared" si="20"/>
        <v>0</v>
      </c>
      <c r="J55" s="148">
        <f>J54</f>
        <v>600</v>
      </c>
      <c r="K55" s="148">
        <f t="shared" si="20"/>
        <v>600</v>
      </c>
      <c r="L55" s="148">
        <f t="shared" si="20"/>
        <v>0</v>
      </c>
      <c r="M55" s="148">
        <f t="shared" si="20"/>
        <v>0</v>
      </c>
      <c r="N55" s="148">
        <f t="shared" si="20"/>
        <v>0</v>
      </c>
      <c r="O55" s="148">
        <f t="shared" si="20"/>
        <v>0</v>
      </c>
      <c r="P55" s="148">
        <f t="shared" si="20"/>
        <v>0</v>
      </c>
      <c r="Q55" s="148">
        <f t="shared" si="20"/>
        <v>0</v>
      </c>
      <c r="R55" s="148">
        <f t="shared" si="20"/>
        <v>0</v>
      </c>
      <c r="S55" s="148">
        <f t="shared" si="20"/>
        <v>0</v>
      </c>
      <c r="T55" s="148">
        <f t="shared" si="20"/>
        <v>0</v>
      </c>
      <c r="U55" s="148">
        <f t="shared" si="20"/>
        <v>0</v>
      </c>
      <c r="V55" s="148">
        <f t="shared" si="20"/>
        <v>0</v>
      </c>
      <c r="W55" s="148">
        <f t="shared" si="20"/>
        <v>0</v>
      </c>
      <c r="X55" s="148">
        <f t="shared" si="20"/>
        <v>0</v>
      </c>
      <c r="Y55" s="148">
        <f t="shared" si="20"/>
        <v>700</v>
      </c>
      <c r="Z55" s="148">
        <f t="shared" si="20"/>
        <v>700</v>
      </c>
      <c r="AA55" s="148">
        <f t="shared" si="20"/>
        <v>0</v>
      </c>
      <c r="AB55" s="148">
        <f t="shared" si="20"/>
        <v>0</v>
      </c>
      <c r="AC55" s="148">
        <f t="shared" si="20"/>
        <v>0</v>
      </c>
      <c r="AD55" s="148">
        <f t="shared" si="20"/>
        <v>2000</v>
      </c>
    </row>
    <row r="56" spans="1:32" ht="23.25">
      <c r="A56" s="41" t="s">
        <v>249</v>
      </c>
      <c r="B56" s="572" t="s">
        <v>250</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4"/>
    </row>
    <row r="57" spans="1:32" ht="111" customHeight="1">
      <c r="A57" s="626" t="s">
        <v>46</v>
      </c>
      <c r="B57" s="613" t="s">
        <v>291</v>
      </c>
      <c r="C57" s="41" t="s">
        <v>285</v>
      </c>
      <c r="D57" s="224">
        <v>2020</v>
      </c>
      <c r="E57" s="142">
        <f>F57+G57+H57+I57</f>
        <v>1449</v>
      </c>
      <c r="F57" s="142">
        <f>1656-207</f>
        <v>1449</v>
      </c>
      <c r="G57" s="142">
        <v>0</v>
      </c>
      <c r="H57" s="142">
        <v>0</v>
      </c>
      <c r="I57" s="142">
        <v>0</v>
      </c>
      <c r="J57" s="142">
        <f>K57+L57+M57+N57</f>
        <v>0</v>
      </c>
      <c r="K57" s="142">
        <v>0</v>
      </c>
      <c r="L57" s="142">
        <v>0</v>
      </c>
      <c r="M57" s="142">
        <v>0</v>
      </c>
      <c r="N57" s="142">
        <v>0</v>
      </c>
      <c r="O57" s="142">
        <f>P57+Q57+R57+S57</f>
        <v>0</v>
      </c>
      <c r="P57" s="142">
        <v>0</v>
      </c>
      <c r="Q57" s="142">
        <v>0</v>
      </c>
      <c r="R57" s="142">
        <v>0</v>
      </c>
      <c r="S57" s="142">
        <v>0</v>
      </c>
      <c r="T57" s="142">
        <f>U57+V57+W57+X57</f>
        <v>0</v>
      </c>
      <c r="U57" s="142">
        <v>0</v>
      </c>
      <c r="V57" s="142">
        <v>0</v>
      </c>
      <c r="W57" s="142">
        <v>0</v>
      </c>
      <c r="X57" s="142">
        <v>0</v>
      </c>
      <c r="Y57" s="142">
        <f>Z57+AA57+AB57+AC57</f>
        <v>0</v>
      </c>
      <c r="Z57" s="142">
        <v>0</v>
      </c>
      <c r="AA57" s="142">
        <v>0</v>
      </c>
      <c r="AB57" s="142">
        <v>0</v>
      </c>
      <c r="AC57" s="142">
        <v>0</v>
      </c>
      <c r="AD57" s="142">
        <f>E57+I57+O57+T57+0</f>
        <v>1449</v>
      </c>
    </row>
    <row r="58" spans="1:32" ht="76.5" customHeight="1">
      <c r="A58" s="627"/>
      <c r="B58" s="614"/>
      <c r="C58" s="41" t="s">
        <v>286</v>
      </c>
      <c r="D58" s="224" t="s">
        <v>284</v>
      </c>
      <c r="E58" s="142">
        <f>F58+G58+H58+I58</f>
        <v>0</v>
      </c>
      <c r="F58" s="142">
        <v>0</v>
      </c>
      <c r="G58" s="142">
        <v>0</v>
      </c>
      <c r="H58" s="142">
        <v>0</v>
      </c>
      <c r="I58" s="142">
        <v>0</v>
      </c>
      <c r="J58" s="142">
        <f>K58+L58+M58+N58</f>
        <v>1437</v>
      </c>
      <c r="K58" s="142">
        <v>1437</v>
      </c>
      <c r="L58" s="142">
        <v>0</v>
      </c>
      <c r="M58" s="142">
        <v>0</v>
      </c>
      <c r="N58" s="142">
        <v>0</v>
      </c>
      <c r="O58" s="142">
        <f>P58+Q58+R58+S58</f>
        <v>1437</v>
      </c>
      <c r="P58" s="142">
        <v>1437</v>
      </c>
      <c r="Q58" s="142">
        <v>0</v>
      </c>
      <c r="R58" s="142">
        <v>0</v>
      </c>
      <c r="S58" s="142">
        <v>0</v>
      </c>
      <c r="T58" s="142">
        <f>U58+V58+W58+X58</f>
        <v>1437</v>
      </c>
      <c r="U58" s="142">
        <v>1437</v>
      </c>
      <c r="V58" s="142">
        <v>0</v>
      </c>
      <c r="W58" s="142">
        <v>0</v>
      </c>
      <c r="X58" s="142">
        <v>0</v>
      </c>
      <c r="Y58" s="142">
        <f>Z58+AA58+AB58+AC58</f>
        <v>1656</v>
      </c>
      <c r="Z58" s="142">
        <v>1656</v>
      </c>
      <c r="AA58" s="142">
        <v>0</v>
      </c>
      <c r="AB58" s="142">
        <v>0</v>
      </c>
      <c r="AC58" s="142">
        <v>0</v>
      </c>
      <c r="AD58" s="142">
        <f>E58+J58+O58+T58+Y58</f>
        <v>5967</v>
      </c>
    </row>
    <row r="59" spans="1:32" ht="93">
      <c r="A59" s="155" t="s">
        <v>251</v>
      </c>
      <c r="B59" s="175" t="s">
        <v>292</v>
      </c>
      <c r="C59" s="41" t="s">
        <v>52</v>
      </c>
      <c r="D59" s="41" t="s">
        <v>93</v>
      </c>
      <c r="E59" s="142">
        <f>F59+G59+H59+I59</f>
        <v>55</v>
      </c>
      <c r="F59" s="142">
        <f>86-31</f>
        <v>55</v>
      </c>
      <c r="G59" s="142">
        <v>0</v>
      </c>
      <c r="H59" s="142">
        <v>0</v>
      </c>
      <c r="I59" s="142">
        <v>0</v>
      </c>
      <c r="J59" s="142">
        <f>K59+L59+M59+N59</f>
        <v>70</v>
      </c>
      <c r="K59" s="142">
        <v>70</v>
      </c>
      <c r="L59" s="142">
        <v>0</v>
      </c>
      <c r="M59" s="142">
        <v>0</v>
      </c>
      <c r="N59" s="142">
        <v>0</v>
      </c>
      <c r="O59" s="142">
        <f>P59+Q59+R59+S59</f>
        <v>70</v>
      </c>
      <c r="P59" s="142">
        <v>70</v>
      </c>
      <c r="Q59" s="142">
        <v>0</v>
      </c>
      <c r="R59" s="142">
        <v>0</v>
      </c>
      <c r="S59" s="142">
        <v>0</v>
      </c>
      <c r="T59" s="142">
        <f>U59+V59+W59+X59</f>
        <v>70</v>
      </c>
      <c r="U59" s="142">
        <v>70</v>
      </c>
      <c r="V59" s="142">
        <v>0</v>
      </c>
      <c r="W59" s="142">
        <v>0</v>
      </c>
      <c r="X59" s="142">
        <v>0</v>
      </c>
      <c r="Y59" s="142">
        <f>Z59+AA59+AB59+AC59</f>
        <v>86</v>
      </c>
      <c r="Z59" s="142">
        <v>86</v>
      </c>
      <c r="AA59" s="142">
        <v>0</v>
      </c>
      <c r="AB59" s="142">
        <v>0</v>
      </c>
      <c r="AC59" s="142">
        <v>0</v>
      </c>
      <c r="AD59" s="142">
        <f>E59+J59+O59+T59+Y59</f>
        <v>351</v>
      </c>
    </row>
    <row r="60" spans="1:32" ht="23.25">
      <c r="A60" s="575" t="s">
        <v>47</v>
      </c>
      <c r="B60" s="575"/>
      <c r="C60" s="575"/>
      <c r="D60" s="255"/>
      <c r="E60" s="148">
        <f>E61+E62</f>
        <v>1504</v>
      </c>
      <c r="F60" s="148">
        <f>F61+F62</f>
        <v>1504</v>
      </c>
      <c r="G60" s="148">
        <f t="shared" ref="G60:AC60" si="21">SUM(G58:G59)</f>
        <v>0</v>
      </c>
      <c r="H60" s="148">
        <f t="shared" si="21"/>
        <v>0</v>
      </c>
      <c r="I60" s="148">
        <f t="shared" si="21"/>
        <v>0</v>
      </c>
      <c r="J60" s="148">
        <f t="shared" si="21"/>
        <v>1507</v>
      </c>
      <c r="K60" s="148">
        <f t="shared" si="21"/>
        <v>1507</v>
      </c>
      <c r="L60" s="148">
        <f t="shared" si="21"/>
        <v>0</v>
      </c>
      <c r="M60" s="148">
        <f t="shared" si="21"/>
        <v>0</v>
      </c>
      <c r="N60" s="148">
        <f t="shared" si="21"/>
        <v>0</v>
      </c>
      <c r="O60" s="148">
        <f t="shared" si="21"/>
        <v>1507</v>
      </c>
      <c r="P60" s="148">
        <f t="shared" si="21"/>
        <v>1507</v>
      </c>
      <c r="Q60" s="148">
        <f t="shared" si="21"/>
        <v>0</v>
      </c>
      <c r="R60" s="148">
        <f t="shared" si="21"/>
        <v>0</v>
      </c>
      <c r="S60" s="148">
        <f t="shared" si="21"/>
        <v>0</v>
      </c>
      <c r="T60" s="148">
        <f t="shared" si="21"/>
        <v>1507</v>
      </c>
      <c r="U60" s="148">
        <f t="shared" si="21"/>
        <v>1507</v>
      </c>
      <c r="V60" s="148">
        <f t="shared" si="21"/>
        <v>0</v>
      </c>
      <c r="W60" s="148">
        <f t="shared" si="21"/>
        <v>0</v>
      </c>
      <c r="X60" s="148">
        <f t="shared" si="21"/>
        <v>0</v>
      </c>
      <c r="Y60" s="148">
        <f t="shared" si="21"/>
        <v>1742</v>
      </c>
      <c r="Z60" s="148">
        <f t="shared" si="21"/>
        <v>1742</v>
      </c>
      <c r="AA60" s="148">
        <f t="shared" si="21"/>
        <v>0</v>
      </c>
      <c r="AB60" s="148">
        <f t="shared" si="21"/>
        <v>0</v>
      </c>
      <c r="AC60" s="148">
        <f t="shared" si="21"/>
        <v>0</v>
      </c>
      <c r="AD60" s="148">
        <f>AD61+AD62</f>
        <v>7767</v>
      </c>
    </row>
    <row r="61" spans="1:32" ht="23.25">
      <c r="A61" s="248" t="s">
        <v>73</v>
      </c>
      <c r="B61" s="248"/>
      <c r="C61" s="257"/>
      <c r="D61" s="157"/>
      <c r="E61" s="152">
        <f>E59</f>
        <v>55</v>
      </c>
      <c r="F61" s="152">
        <f>F59</f>
        <v>55</v>
      </c>
      <c r="G61" s="152">
        <v>0</v>
      </c>
      <c r="H61" s="152">
        <v>0</v>
      </c>
      <c r="I61" s="152">
        <v>0</v>
      </c>
      <c r="J61" s="152">
        <f>K61+L61+M61+N61</f>
        <v>1507</v>
      </c>
      <c r="K61" s="152">
        <f>K58+K59</f>
        <v>1507</v>
      </c>
      <c r="L61" s="152">
        <v>0</v>
      </c>
      <c r="M61" s="152">
        <v>0</v>
      </c>
      <c r="N61" s="152">
        <v>0</v>
      </c>
      <c r="O61" s="152">
        <f>O58+O59</f>
        <v>1507</v>
      </c>
      <c r="P61" s="152">
        <f>P58+P59</f>
        <v>1507</v>
      </c>
      <c r="Q61" s="152">
        <v>0</v>
      </c>
      <c r="R61" s="152">
        <v>0</v>
      </c>
      <c r="S61" s="152">
        <v>0</v>
      </c>
      <c r="T61" s="152">
        <f>T58+T59</f>
        <v>1507</v>
      </c>
      <c r="U61" s="152">
        <f>U58+U59</f>
        <v>1507</v>
      </c>
      <c r="V61" s="152">
        <v>0</v>
      </c>
      <c r="W61" s="152">
        <v>0</v>
      </c>
      <c r="X61" s="152">
        <v>0</v>
      </c>
      <c r="Y61" s="152">
        <f>Y58+Y59</f>
        <v>1742</v>
      </c>
      <c r="Z61" s="152">
        <f>Z58+Z59</f>
        <v>1742</v>
      </c>
      <c r="AA61" s="152">
        <v>0</v>
      </c>
      <c r="AB61" s="152">
        <v>0</v>
      </c>
      <c r="AC61" s="152">
        <v>0</v>
      </c>
      <c r="AD61" s="158">
        <f>AD58+AD59</f>
        <v>6318</v>
      </c>
    </row>
    <row r="62" spans="1:32" ht="23.25">
      <c r="A62" s="248" t="s">
        <v>135</v>
      </c>
      <c r="B62" s="248"/>
      <c r="C62" s="257"/>
      <c r="D62" s="157"/>
      <c r="E62" s="152">
        <f>F62+G62+H62+I62</f>
        <v>1449</v>
      </c>
      <c r="F62" s="152">
        <f>F57</f>
        <v>1449</v>
      </c>
      <c r="G62" s="152">
        <v>0</v>
      </c>
      <c r="H62" s="152">
        <v>0</v>
      </c>
      <c r="I62" s="152">
        <v>0</v>
      </c>
      <c r="J62" s="152">
        <v>0</v>
      </c>
      <c r="K62" s="152">
        <v>0</v>
      </c>
      <c r="L62" s="152">
        <v>0</v>
      </c>
      <c r="M62" s="152">
        <v>0</v>
      </c>
      <c r="N62" s="152">
        <v>0</v>
      </c>
      <c r="O62" s="152">
        <v>0</v>
      </c>
      <c r="P62" s="152">
        <v>0</v>
      </c>
      <c r="Q62" s="152">
        <v>0</v>
      </c>
      <c r="R62" s="152">
        <v>0</v>
      </c>
      <c r="S62" s="152">
        <v>0</v>
      </c>
      <c r="T62" s="152">
        <v>0</v>
      </c>
      <c r="U62" s="152">
        <v>0</v>
      </c>
      <c r="V62" s="152">
        <v>0</v>
      </c>
      <c r="W62" s="152">
        <v>0</v>
      </c>
      <c r="X62" s="152">
        <v>0</v>
      </c>
      <c r="Y62" s="152">
        <v>0</v>
      </c>
      <c r="Z62" s="152">
        <v>0</v>
      </c>
      <c r="AA62" s="152">
        <v>0</v>
      </c>
      <c r="AB62" s="152">
        <v>0</v>
      </c>
      <c r="AC62" s="152">
        <v>0</v>
      </c>
      <c r="AD62" s="158">
        <f>AD57</f>
        <v>1449</v>
      </c>
    </row>
    <row r="63" spans="1:32" ht="23.25">
      <c r="A63" s="41" t="s">
        <v>224</v>
      </c>
      <c r="B63" s="572" t="s">
        <v>278</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4"/>
    </row>
    <row r="64" spans="1:32" ht="144" customHeight="1">
      <c r="A64" s="155" t="s">
        <v>48</v>
      </c>
      <c r="B64" s="170" t="s">
        <v>108</v>
      </c>
      <c r="C64" s="41" t="s">
        <v>94</v>
      </c>
      <c r="D64" s="41" t="s">
        <v>93</v>
      </c>
      <c r="E64" s="142">
        <f>F64+G64+H64+I64</f>
        <v>766</v>
      </c>
      <c r="F64" s="142">
        <f>409+357</f>
        <v>766</v>
      </c>
      <c r="G64" s="142">
        <v>0</v>
      </c>
      <c r="H64" s="142">
        <v>0</v>
      </c>
      <c r="I64" s="142">
        <v>0</v>
      </c>
      <c r="J64" s="142">
        <f>K64+L64+M64+N64</f>
        <v>655</v>
      </c>
      <c r="K64" s="142">
        <v>655</v>
      </c>
      <c r="L64" s="142">
        <v>0</v>
      </c>
      <c r="M64" s="142">
        <v>0</v>
      </c>
      <c r="N64" s="142">
        <v>0</v>
      </c>
      <c r="O64" s="142">
        <f>P64+Q64+R64+S64</f>
        <v>0</v>
      </c>
      <c r="P64" s="142">
        <v>0</v>
      </c>
      <c r="Q64" s="142">
        <v>0</v>
      </c>
      <c r="R64" s="142">
        <v>0</v>
      </c>
      <c r="S64" s="142">
        <v>0</v>
      </c>
      <c r="T64" s="142">
        <v>0</v>
      </c>
      <c r="U64" s="142">
        <v>0</v>
      </c>
      <c r="V64" s="142">
        <v>0</v>
      </c>
      <c r="W64" s="142">
        <v>0</v>
      </c>
      <c r="X64" s="142">
        <v>0</v>
      </c>
      <c r="Y64" s="142">
        <v>510</v>
      </c>
      <c r="Z64" s="142">
        <v>510</v>
      </c>
      <c r="AA64" s="142">
        <v>0</v>
      </c>
      <c r="AB64" s="142">
        <v>0</v>
      </c>
      <c r="AC64" s="142">
        <v>0</v>
      </c>
      <c r="AD64" s="142">
        <f>E64+J64+O64+T64+Y64</f>
        <v>1931</v>
      </c>
      <c r="AF64" s="200" t="s">
        <v>131</v>
      </c>
    </row>
    <row r="65" spans="1:30">
      <c r="A65" s="631" t="s">
        <v>49</v>
      </c>
      <c r="B65" s="631"/>
      <c r="C65" s="631"/>
      <c r="D65" s="255"/>
      <c r="E65" s="148">
        <f t="shared" ref="E65:AD65" si="22">SUM(E64:E64)</f>
        <v>766</v>
      </c>
      <c r="F65" s="148">
        <f>SUM(F64)</f>
        <v>766</v>
      </c>
      <c r="G65" s="148">
        <f t="shared" si="22"/>
        <v>0</v>
      </c>
      <c r="H65" s="148">
        <f t="shared" si="22"/>
        <v>0</v>
      </c>
      <c r="I65" s="148">
        <f t="shared" si="22"/>
        <v>0</v>
      </c>
      <c r="J65" s="148">
        <f>J64</f>
        <v>655</v>
      </c>
      <c r="K65" s="148">
        <f t="shared" si="22"/>
        <v>655</v>
      </c>
      <c r="L65" s="148">
        <f t="shared" si="22"/>
        <v>0</v>
      </c>
      <c r="M65" s="148">
        <f t="shared" si="22"/>
        <v>0</v>
      </c>
      <c r="N65" s="148">
        <f t="shared" si="22"/>
        <v>0</v>
      </c>
      <c r="O65" s="148">
        <f t="shared" si="22"/>
        <v>0</v>
      </c>
      <c r="P65" s="148">
        <f t="shared" si="22"/>
        <v>0</v>
      </c>
      <c r="Q65" s="148">
        <f t="shared" si="22"/>
        <v>0</v>
      </c>
      <c r="R65" s="148">
        <f t="shared" si="22"/>
        <v>0</v>
      </c>
      <c r="S65" s="148">
        <f t="shared" si="22"/>
        <v>0</v>
      </c>
      <c r="T65" s="148">
        <f t="shared" si="22"/>
        <v>0</v>
      </c>
      <c r="U65" s="148">
        <f t="shared" si="22"/>
        <v>0</v>
      </c>
      <c r="V65" s="148">
        <f t="shared" si="22"/>
        <v>0</v>
      </c>
      <c r="W65" s="148">
        <f t="shared" si="22"/>
        <v>0</v>
      </c>
      <c r="X65" s="148">
        <f t="shared" si="22"/>
        <v>0</v>
      </c>
      <c r="Y65" s="148">
        <f t="shared" si="22"/>
        <v>510</v>
      </c>
      <c r="Z65" s="148">
        <f t="shared" si="22"/>
        <v>510</v>
      </c>
      <c r="AA65" s="148">
        <f t="shared" si="22"/>
        <v>0</v>
      </c>
      <c r="AB65" s="148">
        <f t="shared" si="22"/>
        <v>0</v>
      </c>
      <c r="AC65" s="148">
        <f t="shared" si="22"/>
        <v>0</v>
      </c>
      <c r="AD65" s="148">
        <f t="shared" si="22"/>
        <v>1931</v>
      </c>
    </row>
    <row r="66" spans="1:30" ht="23.25">
      <c r="A66" s="255" t="s">
        <v>252</v>
      </c>
      <c r="B66" s="572" t="s">
        <v>279</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4"/>
    </row>
    <row r="67" spans="1:30" ht="131.25">
      <c r="A67" s="255" t="s">
        <v>50</v>
      </c>
      <c r="B67" s="170" t="s">
        <v>115</v>
      </c>
      <c r="C67" s="41" t="s">
        <v>106</v>
      </c>
      <c r="D67" s="41" t="s">
        <v>93</v>
      </c>
      <c r="E67" s="142">
        <f>F67+G67+H67+I67</f>
        <v>25286</v>
      </c>
      <c r="F67" s="142">
        <f>27786-2500</f>
        <v>25286</v>
      </c>
      <c r="G67" s="142">
        <v>0</v>
      </c>
      <c r="H67" s="142">
        <v>0</v>
      </c>
      <c r="I67" s="142">
        <v>0</v>
      </c>
      <c r="J67" s="136">
        <f>K67+L67+M67+N67</f>
        <v>40010</v>
      </c>
      <c r="K67" s="136">
        <f>40120-110</f>
        <v>40010</v>
      </c>
      <c r="L67" s="142">
        <v>0</v>
      </c>
      <c r="M67" s="142">
        <v>0</v>
      </c>
      <c r="N67" s="142">
        <v>0</v>
      </c>
      <c r="O67" s="142">
        <f>P67+Q67+R67+S67</f>
        <v>0</v>
      </c>
      <c r="P67" s="142">
        <v>0</v>
      </c>
      <c r="Q67" s="142">
        <v>0</v>
      </c>
      <c r="R67" s="142">
        <v>0</v>
      </c>
      <c r="S67" s="142">
        <v>0</v>
      </c>
      <c r="T67" s="142">
        <f>U67+V67+W67+X67</f>
        <v>0</v>
      </c>
      <c r="U67" s="142">
        <v>0</v>
      </c>
      <c r="V67" s="142">
        <v>0</v>
      </c>
      <c r="W67" s="142">
        <v>0</v>
      </c>
      <c r="X67" s="142">
        <v>0</v>
      </c>
      <c r="Y67" s="142">
        <v>40120</v>
      </c>
      <c r="Z67" s="142">
        <v>40120</v>
      </c>
      <c r="AA67" s="142">
        <v>0</v>
      </c>
      <c r="AB67" s="142">
        <v>0</v>
      </c>
      <c r="AC67" s="142">
        <v>0</v>
      </c>
      <c r="AD67" s="142">
        <f>E67+J67+O67+T67+Y67</f>
        <v>105416</v>
      </c>
    </row>
    <row r="68" spans="1:30" ht="23.25">
      <c r="A68" s="632" t="s">
        <v>53</v>
      </c>
      <c r="B68" s="633"/>
      <c r="C68" s="634"/>
      <c r="D68" s="255"/>
      <c r="E68" s="148">
        <f t="shared" ref="E68:AD68" si="23">SUM(E67:E67)</f>
        <v>25286</v>
      </c>
      <c r="F68" s="148">
        <f>SUM(F67)</f>
        <v>25286</v>
      </c>
      <c r="G68" s="148">
        <f t="shared" si="23"/>
        <v>0</v>
      </c>
      <c r="H68" s="148">
        <f t="shared" si="23"/>
        <v>0</v>
      </c>
      <c r="I68" s="148">
        <f t="shared" si="23"/>
        <v>0</v>
      </c>
      <c r="J68" s="148">
        <f>J67</f>
        <v>40010</v>
      </c>
      <c r="K68" s="148">
        <f t="shared" si="23"/>
        <v>40010</v>
      </c>
      <c r="L68" s="148">
        <f t="shared" si="23"/>
        <v>0</v>
      </c>
      <c r="M68" s="148">
        <f t="shared" si="23"/>
        <v>0</v>
      </c>
      <c r="N68" s="148">
        <f t="shared" si="23"/>
        <v>0</v>
      </c>
      <c r="O68" s="148">
        <f t="shared" si="23"/>
        <v>0</v>
      </c>
      <c r="P68" s="148">
        <f t="shared" si="23"/>
        <v>0</v>
      </c>
      <c r="Q68" s="148">
        <f t="shared" si="23"/>
        <v>0</v>
      </c>
      <c r="R68" s="148">
        <f t="shared" si="23"/>
        <v>0</v>
      </c>
      <c r="S68" s="148">
        <f t="shared" si="23"/>
        <v>0</v>
      </c>
      <c r="T68" s="148">
        <f t="shared" si="23"/>
        <v>0</v>
      </c>
      <c r="U68" s="148">
        <f t="shared" si="23"/>
        <v>0</v>
      </c>
      <c r="V68" s="148">
        <f t="shared" si="23"/>
        <v>0</v>
      </c>
      <c r="W68" s="148">
        <f t="shared" si="23"/>
        <v>0</v>
      </c>
      <c r="X68" s="148">
        <f t="shared" si="23"/>
        <v>0</v>
      </c>
      <c r="Y68" s="148">
        <f t="shared" si="23"/>
        <v>40120</v>
      </c>
      <c r="Z68" s="148">
        <f t="shared" si="23"/>
        <v>40120</v>
      </c>
      <c r="AA68" s="148">
        <f t="shared" si="23"/>
        <v>0</v>
      </c>
      <c r="AB68" s="148">
        <f t="shared" si="23"/>
        <v>0</v>
      </c>
      <c r="AC68" s="148">
        <f t="shared" si="23"/>
        <v>0</v>
      </c>
      <c r="AD68" s="148">
        <f t="shared" si="23"/>
        <v>105416</v>
      </c>
    </row>
    <row r="69" spans="1:30" ht="23.25">
      <c r="A69" s="255" t="s">
        <v>254</v>
      </c>
      <c r="B69" s="572" t="s">
        <v>280</v>
      </c>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4"/>
    </row>
    <row r="70" spans="1:30" ht="75">
      <c r="A70" s="255" t="s">
        <v>55</v>
      </c>
      <c r="B70" s="191" t="s">
        <v>96</v>
      </c>
      <c r="C70" s="41" t="s">
        <v>94</v>
      </c>
      <c r="D70" s="41" t="s">
        <v>93</v>
      </c>
      <c r="E70" s="142">
        <f>F70+G70+H70+I70</f>
        <v>7420</v>
      </c>
      <c r="F70" s="142">
        <f>6486+934</f>
        <v>7420</v>
      </c>
      <c r="G70" s="142">
        <v>0</v>
      </c>
      <c r="H70" s="142">
        <v>0</v>
      </c>
      <c r="I70" s="142">
        <v>0</v>
      </c>
      <c r="J70" s="142">
        <f>K70+L70+M70+N70</f>
        <v>7350</v>
      </c>
      <c r="K70" s="142">
        <v>7350</v>
      </c>
      <c r="L70" s="142">
        <v>0</v>
      </c>
      <c r="M70" s="142">
        <v>0</v>
      </c>
      <c r="N70" s="142">
        <v>0</v>
      </c>
      <c r="O70" s="142">
        <f>P70+Q70+R70+S70</f>
        <v>0</v>
      </c>
      <c r="P70" s="142">
        <v>0</v>
      </c>
      <c r="Q70" s="142">
        <v>0</v>
      </c>
      <c r="R70" s="142">
        <v>0</v>
      </c>
      <c r="S70" s="142">
        <v>0</v>
      </c>
      <c r="T70" s="142">
        <f>U70+V70+W70+X70</f>
        <v>0</v>
      </c>
      <c r="U70" s="142">
        <v>0</v>
      </c>
      <c r="V70" s="142">
        <v>0</v>
      </c>
      <c r="W70" s="142">
        <v>0</v>
      </c>
      <c r="X70" s="142">
        <v>0</v>
      </c>
      <c r="Y70" s="142">
        <f>Z70+AA70+AB70+AC70</f>
        <v>6486</v>
      </c>
      <c r="Z70" s="142">
        <v>6486</v>
      </c>
      <c r="AA70" s="142">
        <v>0</v>
      </c>
      <c r="AB70" s="142">
        <v>0</v>
      </c>
      <c r="AC70" s="142">
        <v>0</v>
      </c>
      <c r="AD70" s="142">
        <f>E70+J70+O70+T70+Y70</f>
        <v>21256</v>
      </c>
    </row>
    <row r="71" spans="1:30" ht="75">
      <c r="A71" s="255" t="s">
        <v>256</v>
      </c>
      <c r="B71" s="170" t="s">
        <v>209</v>
      </c>
      <c r="C71" s="41" t="s">
        <v>94</v>
      </c>
      <c r="D71" s="41" t="s">
        <v>93</v>
      </c>
      <c r="E71" s="142">
        <f>SUM(F71:I71)</f>
        <v>681</v>
      </c>
      <c r="F71" s="142">
        <v>681</v>
      </c>
      <c r="G71" s="142">
        <v>0</v>
      </c>
      <c r="H71" s="142">
        <v>0</v>
      </c>
      <c r="I71" s="142">
        <v>0</v>
      </c>
      <c r="J71" s="142">
        <f>K71+L71+M71+N71</f>
        <v>684</v>
      </c>
      <c r="K71" s="142">
        <v>684</v>
      </c>
      <c r="L71" s="142">
        <v>0</v>
      </c>
      <c r="M71" s="142">
        <v>0</v>
      </c>
      <c r="N71" s="142">
        <v>0</v>
      </c>
      <c r="O71" s="142">
        <f>P71+Q71+R71+S71</f>
        <v>0</v>
      </c>
      <c r="P71" s="142">
        <v>0</v>
      </c>
      <c r="Q71" s="142">
        <v>0</v>
      </c>
      <c r="R71" s="142">
        <v>0</v>
      </c>
      <c r="S71" s="142">
        <v>0</v>
      </c>
      <c r="T71" s="142">
        <f>U71+V71+W71+X71</f>
        <v>0</v>
      </c>
      <c r="U71" s="142">
        <v>0</v>
      </c>
      <c r="V71" s="142">
        <v>0</v>
      </c>
      <c r="W71" s="142">
        <v>0</v>
      </c>
      <c r="X71" s="142">
        <v>0</v>
      </c>
      <c r="Y71" s="142">
        <f>Z71+AA71+AB71+AC71</f>
        <v>660</v>
      </c>
      <c r="Z71" s="142">
        <v>660</v>
      </c>
      <c r="AA71" s="142">
        <v>0</v>
      </c>
      <c r="AB71" s="142">
        <v>0</v>
      </c>
      <c r="AC71" s="142">
        <v>0</v>
      </c>
      <c r="AD71" s="142">
        <f>E71+J71+O71+T71+Y71</f>
        <v>2025</v>
      </c>
    </row>
    <row r="72" spans="1:30" ht="139.5">
      <c r="A72" s="255" t="s">
        <v>257</v>
      </c>
      <c r="B72" s="170" t="s">
        <v>271</v>
      </c>
      <c r="C72" s="41" t="s">
        <v>266</v>
      </c>
      <c r="D72" s="41">
        <v>2020</v>
      </c>
      <c r="E72" s="142">
        <f>F72+G72+H72+I72</f>
        <v>774</v>
      </c>
      <c r="F72" s="142">
        <v>774</v>
      </c>
      <c r="G72" s="142">
        <v>0</v>
      </c>
      <c r="H72" s="142">
        <v>0</v>
      </c>
      <c r="I72" s="142">
        <v>0</v>
      </c>
      <c r="J72" s="142">
        <f>K72+L72+M72+N72</f>
        <v>350</v>
      </c>
      <c r="K72" s="142">
        <v>350</v>
      </c>
      <c r="L72" s="142">
        <v>0</v>
      </c>
      <c r="M72" s="142">
        <v>0</v>
      </c>
      <c r="N72" s="142">
        <v>0</v>
      </c>
      <c r="O72" s="142">
        <f>P72+Q72+R72+S72</f>
        <v>0</v>
      </c>
      <c r="P72" s="142">
        <v>0</v>
      </c>
      <c r="Q72" s="142">
        <v>0</v>
      </c>
      <c r="R72" s="142">
        <v>0</v>
      </c>
      <c r="S72" s="142">
        <v>0</v>
      </c>
      <c r="T72" s="142">
        <f>U72+V72+W72+X72</f>
        <v>0</v>
      </c>
      <c r="U72" s="142">
        <v>0</v>
      </c>
      <c r="V72" s="142">
        <v>0</v>
      </c>
      <c r="W72" s="142">
        <v>0</v>
      </c>
      <c r="X72" s="142">
        <v>0</v>
      </c>
      <c r="Y72" s="142">
        <f>Z72+AA72+AB72+AC72</f>
        <v>774</v>
      </c>
      <c r="Z72" s="142">
        <v>774</v>
      </c>
      <c r="AA72" s="142">
        <v>0</v>
      </c>
      <c r="AB72" s="142">
        <v>0</v>
      </c>
      <c r="AC72" s="142">
        <v>0</v>
      </c>
      <c r="AD72" s="148">
        <f>E72+J72+O72+T72+Y72</f>
        <v>1898</v>
      </c>
    </row>
    <row r="73" spans="1:30" ht="23.25">
      <c r="A73" s="632" t="s">
        <v>56</v>
      </c>
      <c r="B73" s="633"/>
      <c r="C73" s="634"/>
      <c r="D73" s="255"/>
      <c r="E73" s="148">
        <f>E70+E71+E72</f>
        <v>8875</v>
      </c>
      <c r="F73" s="148">
        <f>F70+F71+F72</f>
        <v>8875</v>
      </c>
      <c r="G73" s="148">
        <f>SUM(G70:G70)</f>
        <v>0</v>
      </c>
      <c r="H73" s="148">
        <f>SUM(H70:H70)</f>
        <v>0</v>
      </c>
      <c r="I73" s="148">
        <f>SUM(I70:I70)</f>
        <v>0</v>
      </c>
      <c r="J73" s="148">
        <f>J70+J71+J72</f>
        <v>8384</v>
      </c>
      <c r="K73" s="148">
        <f>K70+K71+K72</f>
        <v>8384</v>
      </c>
      <c r="L73" s="148">
        <f>SUM(L70:L70)</f>
        <v>0</v>
      </c>
      <c r="M73" s="148">
        <f>SUM(M70:M70)</f>
        <v>0</v>
      </c>
      <c r="N73" s="148">
        <f>SUM(N70:N70)</f>
        <v>0</v>
      </c>
      <c r="O73" s="148">
        <f>O70+O71+O72</f>
        <v>0</v>
      </c>
      <c r="P73" s="148">
        <f>P70+P71+P72</f>
        <v>0</v>
      </c>
      <c r="Q73" s="148">
        <f>SUM(Q70:Q70)</f>
        <v>0</v>
      </c>
      <c r="R73" s="148">
        <f>SUM(R70:R70)</f>
        <v>0</v>
      </c>
      <c r="S73" s="148">
        <f>SUM(S70:S70)</f>
        <v>0</v>
      </c>
      <c r="T73" s="148">
        <f>T70+T71+T72</f>
        <v>0</v>
      </c>
      <c r="U73" s="148">
        <f>U70+U71+U72</f>
        <v>0</v>
      </c>
      <c r="V73" s="148">
        <f>SUM(V70:V70)</f>
        <v>0</v>
      </c>
      <c r="W73" s="148">
        <f>SUM(W70:W70)</f>
        <v>0</v>
      </c>
      <c r="X73" s="148">
        <f>SUM(X70:X70)</f>
        <v>0</v>
      </c>
      <c r="Y73" s="148">
        <f>Y70+Y71+Y72</f>
        <v>7920</v>
      </c>
      <c r="Z73" s="148">
        <f>Z70+Z71+Z72</f>
        <v>7920</v>
      </c>
      <c r="AA73" s="148">
        <f>SUM(AA70:AA70)</f>
        <v>0</v>
      </c>
      <c r="AB73" s="148">
        <f>SUM(AB70:AB70)</f>
        <v>0</v>
      </c>
      <c r="AC73" s="148">
        <f>SUM(AC70:AC70)</f>
        <v>0</v>
      </c>
      <c r="AD73" s="148">
        <f>SUM(AD70:AD72)</f>
        <v>25179</v>
      </c>
    </row>
    <row r="74" spans="1:30" ht="23.25">
      <c r="A74" s="248" t="s">
        <v>135</v>
      </c>
      <c r="B74" s="248"/>
      <c r="C74" s="257"/>
      <c r="D74" s="157"/>
      <c r="E74" s="152">
        <f>E70+E71+E72</f>
        <v>8875</v>
      </c>
      <c r="F74" s="152">
        <f>F70+F71+F72</f>
        <v>8875</v>
      </c>
      <c r="G74" s="152">
        <v>0</v>
      </c>
      <c r="H74" s="152">
        <v>0</v>
      </c>
      <c r="I74" s="152">
        <v>0</v>
      </c>
      <c r="J74" s="152">
        <f>J70+J71+J72</f>
        <v>8384</v>
      </c>
      <c r="K74" s="152">
        <f>K70+K71+K72</f>
        <v>8384</v>
      </c>
      <c r="L74" s="152">
        <v>0</v>
      </c>
      <c r="M74" s="152">
        <v>0</v>
      </c>
      <c r="N74" s="152">
        <v>0</v>
      </c>
      <c r="O74" s="152">
        <f>O73</f>
        <v>0</v>
      </c>
      <c r="P74" s="152">
        <f>P73</f>
        <v>0</v>
      </c>
      <c r="Q74" s="152">
        <v>0</v>
      </c>
      <c r="R74" s="152">
        <v>0</v>
      </c>
      <c r="S74" s="152">
        <v>0</v>
      </c>
      <c r="T74" s="152">
        <f>T70+T71+T72</f>
        <v>0</v>
      </c>
      <c r="U74" s="152">
        <f>U70+U71+U72</f>
        <v>0</v>
      </c>
      <c r="V74" s="152">
        <v>0</v>
      </c>
      <c r="W74" s="152">
        <v>0</v>
      </c>
      <c r="X74" s="152">
        <v>0</v>
      </c>
      <c r="Y74" s="152">
        <f>Y70+Y71+Y72</f>
        <v>7920</v>
      </c>
      <c r="Z74" s="152">
        <f>Z70+Z71+Z72</f>
        <v>7920</v>
      </c>
      <c r="AA74" s="152">
        <v>0</v>
      </c>
      <c r="AB74" s="152">
        <v>0</v>
      </c>
      <c r="AC74" s="152">
        <v>0</v>
      </c>
      <c r="AD74" s="158">
        <f>AD70+AD71</f>
        <v>23281</v>
      </c>
    </row>
    <row r="75" spans="1:30" ht="23.25">
      <c r="A75" s="255" t="s">
        <v>97</v>
      </c>
      <c r="B75" s="572" t="s">
        <v>281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4"/>
    </row>
    <row r="76" spans="1:30" ht="162.75">
      <c r="A76" s="214" t="s">
        <v>57</v>
      </c>
      <c r="B76" s="191" t="s">
        <v>290</v>
      </c>
      <c r="C76" s="41" t="s">
        <v>73</v>
      </c>
      <c r="D76" s="41" t="s">
        <v>93</v>
      </c>
      <c r="E76" s="142">
        <f xml:space="preserve"> SUM(F76:I76)</f>
        <v>136.19999999999999</v>
      </c>
      <c r="F76" s="142">
        <f>74.6+61.6</f>
        <v>136.19999999999999</v>
      </c>
      <c r="G76" s="142">
        <v>0</v>
      </c>
      <c r="H76" s="142">
        <v>0</v>
      </c>
      <c r="I76" s="142">
        <v>0</v>
      </c>
      <c r="J76" s="142">
        <f xml:space="preserve"> SUM(K76:N76)</f>
        <v>142</v>
      </c>
      <c r="K76" s="142">
        <v>142</v>
      </c>
      <c r="L76" s="142">
        <v>0</v>
      </c>
      <c r="M76" s="142">
        <v>0</v>
      </c>
      <c r="N76" s="142">
        <v>0</v>
      </c>
      <c r="O76" s="142">
        <f xml:space="preserve"> SUM(P76:S76)</f>
        <v>142</v>
      </c>
      <c r="P76" s="142">
        <v>142</v>
      </c>
      <c r="Q76" s="142">
        <v>0</v>
      </c>
      <c r="R76" s="142">
        <v>0</v>
      </c>
      <c r="S76" s="142">
        <v>0</v>
      </c>
      <c r="T76" s="142">
        <f xml:space="preserve"> SUM(U76:X76)</f>
        <v>142</v>
      </c>
      <c r="U76" s="142">
        <v>142</v>
      </c>
      <c r="V76" s="142">
        <v>0</v>
      </c>
      <c r="W76" s="142">
        <v>0</v>
      </c>
      <c r="X76" s="142">
        <v>0</v>
      </c>
      <c r="Y76" s="142">
        <f xml:space="preserve"> SUM(Z76:AC76)</f>
        <v>145</v>
      </c>
      <c r="Z76" s="142">
        <v>145</v>
      </c>
      <c r="AA76" s="142">
        <v>0</v>
      </c>
      <c r="AB76" s="142">
        <v>0</v>
      </c>
      <c r="AC76" s="142">
        <v>0</v>
      </c>
      <c r="AD76" s="142">
        <f>E76+J76+O76+T76+Y76</f>
        <v>707.2</v>
      </c>
    </row>
    <row r="77" spans="1:30" ht="23.25">
      <c r="A77" s="575" t="s">
        <v>58</v>
      </c>
      <c r="B77" s="575"/>
      <c r="C77" s="575"/>
      <c r="D77" s="255"/>
      <c r="E77" s="148">
        <f>E76</f>
        <v>136.19999999999999</v>
      </c>
      <c r="F77" s="148">
        <f>F76</f>
        <v>136.19999999999999</v>
      </c>
      <c r="G77" s="148">
        <v>0</v>
      </c>
      <c r="H77" s="148">
        <v>0</v>
      </c>
      <c r="I77" s="148">
        <v>0</v>
      </c>
      <c r="J77" s="148">
        <f t="shared" ref="J77:AC77" si="24">J76</f>
        <v>142</v>
      </c>
      <c r="K77" s="148">
        <f t="shared" si="24"/>
        <v>142</v>
      </c>
      <c r="L77" s="148">
        <f t="shared" si="24"/>
        <v>0</v>
      </c>
      <c r="M77" s="148">
        <f t="shared" si="24"/>
        <v>0</v>
      </c>
      <c r="N77" s="148">
        <f t="shared" si="24"/>
        <v>0</v>
      </c>
      <c r="O77" s="148">
        <f t="shared" si="24"/>
        <v>142</v>
      </c>
      <c r="P77" s="148">
        <f t="shared" si="24"/>
        <v>142</v>
      </c>
      <c r="Q77" s="148">
        <f t="shared" si="24"/>
        <v>0</v>
      </c>
      <c r="R77" s="148">
        <f t="shared" si="24"/>
        <v>0</v>
      </c>
      <c r="S77" s="148">
        <f t="shared" si="24"/>
        <v>0</v>
      </c>
      <c r="T77" s="148">
        <f t="shared" si="24"/>
        <v>142</v>
      </c>
      <c r="U77" s="148">
        <f t="shared" si="24"/>
        <v>142</v>
      </c>
      <c r="V77" s="148">
        <f t="shared" si="24"/>
        <v>0</v>
      </c>
      <c r="W77" s="148">
        <f t="shared" si="24"/>
        <v>0</v>
      </c>
      <c r="X77" s="148">
        <f t="shared" si="24"/>
        <v>0</v>
      </c>
      <c r="Y77" s="148">
        <f t="shared" si="24"/>
        <v>145</v>
      </c>
      <c r="Z77" s="148">
        <f t="shared" si="24"/>
        <v>145</v>
      </c>
      <c r="AA77" s="148">
        <f t="shared" si="24"/>
        <v>0</v>
      </c>
      <c r="AB77" s="148">
        <f t="shared" si="24"/>
        <v>0</v>
      </c>
      <c r="AC77" s="148">
        <f t="shared" si="24"/>
        <v>0</v>
      </c>
      <c r="AD77" s="148">
        <f>E77+J77+O77+T77+Y77</f>
        <v>707.2</v>
      </c>
    </row>
    <row r="78" spans="1:30" ht="23.25">
      <c r="A78" s="206">
        <v>10</v>
      </c>
      <c r="B78" s="562" t="s">
        <v>259</v>
      </c>
      <c r="C78" s="563"/>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4"/>
    </row>
    <row r="79" spans="1:30" ht="139.5">
      <c r="A79" s="215" t="s">
        <v>59</v>
      </c>
      <c r="B79" s="191" t="s">
        <v>186</v>
      </c>
      <c r="C79" s="252" t="s">
        <v>107</v>
      </c>
      <c r="D79" s="41" t="s">
        <v>93</v>
      </c>
      <c r="E79" s="216">
        <v>500</v>
      </c>
      <c r="F79" s="216">
        <v>500</v>
      </c>
      <c r="G79" s="216">
        <v>0</v>
      </c>
      <c r="H79" s="216">
        <v>0</v>
      </c>
      <c r="I79" s="216">
        <v>0</v>
      </c>
      <c r="J79" s="216">
        <f>K79+L79+M79+N79</f>
        <v>24</v>
      </c>
      <c r="K79" s="216">
        <v>24</v>
      </c>
      <c r="L79" s="216">
        <v>0</v>
      </c>
      <c r="M79" s="216">
        <v>0</v>
      </c>
      <c r="N79" s="216">
        <v>0</v>
      </c>
      <c r="O79" s="216">
        <v>0</v>
      </c>
      <c r="P79" s="216">
        <v>0</v>
      </c>
      <c r="Q79" s="216">
        <v>0</v>
      </c>
      <c r="R79" s="216">
        <v>0</v>
      </c>
      <c r="S79" s="216">
        <v>0</v>
      </c>
      <c r="T79" s="216">
        <f>U79+V79+W79+X79</f>
        <v>0</v>
      </c>
      <c r="U79" s="216">
        <v>0</v>
      </c>
      <c r="V79" s="216">
        <v>0</v>
      </c>
      <c r="W79" s="216">
        <v>0</v>
      </c>
      <c r="X79" s="216">
        <v>0</v>
      </c>
      <c r="Y79" s="216">
        <v>6480</v>
      </c>
      <c r="Z79" s="216">
        <v>6480</v>
      </c>
      <c r="AA79" s="216">
        <v>0</v>
      </c>
      <c r="AB79" s="216">
        <v>0</v>
      </c>
      <c r="AC79" s="216">
        <v>0</v>
      </c>
      <c r="AD79" s="107">
        <f>E79+J79+O79+T79+Y79</f>
        <v>7004</v>
      </c>
    </row>
    <row r="80" spans="1:30" ht="93.75">
      <c r="A80" s="215" t="s">
        <v>98</v>
      </c>
      <c r="B80" s="170" t="s">
        <v>159</v>
      </c>
      <c r="C80" s="163" t="s">
        <v>107</v>
      </c>
      <c r="D80" s="41" t="s">
        <v>93</v>
      </c>
      <c r="E80" s="216">
        <v>2880</v>
      </c>
      <c r="F80" s="216">
        <v>2880</v>
      </c>
      <c r="G80" s="216">
        <v>0</v>
      </c>
      <c r="H80" s="216">
        <v>0</v>
      </c>
      <c r="I80" s="216">
        <v>0</v>
      </c>
      <c r="J80" s="216">
        <f>K80+L80+M80+N80</f>
        <v>2880</v>
      </c>
      <c r="K80" s="216">
        <v>2880</v>
      </c>
      <c r="L80" s="216">
        <v>0</v>
      </c>
      <c r="M80" s="216">
        <v>0</v>
      </c>
      <c r="N80" s="216">
        <v>0</v>
      </c>
      <c r="O80" s="216">
        <v>0</v>
      </c>
      <c r="P80" s="216">
        <v>0</v>
      </c>
      <c r="Q80" s="216">
        <v>0</v>
      </c>
      <c r="R80" s="216">
        <v>0</v>
      </c>
      <c r="S80" s="216">
        <v>0</v>
      </c>
      <c r="T80" s="216">
        <f>U80+V80+W80+X80</f>
        <v>0</v>
      </c>
      <c r="U80" s="216">
        <v>0</v>
      </c>
      <c r="V80" s="216">
        <v>0</v>
      </c>
      <c r="W80" s="216">
        <v>0</v>
      </c>
      <c r="X80" s="216">
        <v>0</v>
      </c>
      <c r="Y80" s="216">
        <v>5760</v>
      </c>
      <c r="Z80" s="216">
        <v>5760</v>
      </c>
      <c r="AA80" s="216">
        <v>0</v>
      </c>
      <c r="AB80" s="216">
        <v>0</v>
      </c>
      <c r="AC80" s="216">
        <v>0</v>
      </c>
      <c r="AD80" s="107">
        <f>E80+J80+O80+T80+Y80</f>
        <v>11520</v>
      </c>
    </row>
    <row r="81" spans="1:30" ht="23.25">
      <c r="A81" s="632" t="s">
        <v>60</v>
      </c>
      <c r="B81" s="633"/>
      <c r="C81" s="634"/>
      <c r="D81" s="215"/>
      <c r="E81" s="107">
        <f>E79+E80</f>
        <v>3380</v>
      </c>
      <c r="F81" s="107">
        <f>SUM(F79:F80)</f>
        <v>3380</v>
      </c>
      <c r="G81" s="107">
        <f>G79</f>
        <v>0</v>
      </c>
      <c r="H81" s="107">
        <f>I79</f>
        <v>0</v>
      </c>
      <c r="I81" s="107">
        <f t="shared" ref="I81:V81" si="25">I79</f>
        <v>0</v>
      </c>
      <c r="J81" s="107">
        <f>K81+L81+M81+N81</f>
        <v>2904</v>
      </c>
      <c r="K81" s="107">
        <f>K79+K80</f>
        <v>2904</v>
      </c>
      <c r="L81" s="107">
        <f t="shared" si="25"/>
        <v>0</v>
      </c>
      <c r="M81" s="107">
        <f t="shared" si="25"/>
        <v>0</v>
      </c>
      <c r="N81" s="107">
        <f t="shared" si="25"/>
        <v>0</v>
      </c>
      <c r="O81" s="107">
        <f>P81+Q81+R81+S81</f>
        <v>0</v>
      </c>
      <c r="P81" s="107">
        <f>P79+P80</f>
        <v>0</v>
      </c>
      <c r="Q81" s="107">
        <f t="shared" si="25"/>
        <v>0</v>
      </c>
      <c r="R81" s="107">
        <f t="shared" si="25"/>
        <v>0</v>
      </c>
      <c r="S81" s="107">
        <f t="shared" si="25"/>
        <v>0</v>
      </c>
      <c r="T81" s="107">
        <f>U81+V81+W81+X81</f>
        <v>0</v>
      </c>
      <c r="U81" s="107">
        <f>T79+T80</f>
        <v>0</v>
      </c>
      <c r="V81" s="107">
        <f t="shared" si="25"/>
        <v>0</v>
      </c>
      <c r="W81" s="107">
        <f>V79</f>
        <v>0</v>
      </c>
      <c r="X81" s="107">
        <f t="shared" ref="X81:AC81" si="26">X79</f>
        <v>0</v>
      </c>
      <c r="Y81" s="107">
        <f>Z81+AA81+AB81+AC81</f>
        <v>12240</v>
      </c>
      <c r="Z81" s="107">
        <f>Z79+Z80</f>
        <v>12240</v>
      </c>
      <c r="AA81" s="107">
        <f t="shared" si="26"/>
        <v>0</v>
      </c>
      <c r="AB81" s="107">
        <f t="shared" si="26"/>
        <v>0</v>
      </c>
      <c r="AC81" s="107">
        <f t="shared" si="26"/>
        <v>0</v>
      </c>
      <c r="AD81" s="107">
        <f>E81+J81+O81+T81+Y81</f>
        <v>18524</v>
      </c>
    </row>
    <row r="82" spans="1:30" ht="23.25">
      <c r="A82" s="630" t="s">
        <v>67</v>
      </c>
      <c r="B82" s="630"/>
      <c r="C82" s="630"/>
      <c r="D82" s="215"/>
      <c r="E82" s="107">
        <f>E27+E33+E50+E55+E60+E65+E68+E73+E77+E81</f>
        <v>157092.37</v>
      </c>
      <c r="F82" s="107">
        <f>F27+F33+F50+F55+F60+F65+F68+F73+F77+F81</f>
        <v>108956.7</v>
      </c>
      <c r="G82" s="107">
        <f t="shared" ref="G82:N82" si="27">G27+G33+G50+G55+G60+G65+G68+G73+G77+G81</f>
        <v>45966</v>
      </c>
      <c r="H82" s="107">
        <f t="shared" si="27"/>
        <v>0</v>
      </c>
      <c r="I82" s="107">
        <f t="shared" si="27"/>
        <v>2169.67</v>
      </c>
      <c r="J82" s="107">
        <f>K82+L82+M82+N82</f>
        <v>124788</v>
      </c>
      <c r="K82" s="107">
        <f t="shared" si="27"/>
        <v>100570</v>
      </c>
      <c r="L82" s="107">
        <f t="shared" si="27"/>
        <v>24218</v>
      </c>
      <c r="M82" s="107">
        <f t="shared" si="27"/>
        <v>0</v>
      </c>
      <c r="N82" s="107">
        <f t="shared" si="27"/>
        <v>0</v>
      </c>
      <c r="O82" s="107">
        <f>P82+Q82+R82+S82</f>
        <v>26254</v>
      </c>
      <c r="P82" s="107">
        <f>P27+P33+P50+P55+P60+P65+P68+P73+P77+P81</f>
        <v>2036</v>
      </c>
      <c r="Q82" s="107">
        <f>Q27+Q33+Q50+Q55+Q60+Q65+Q68+Q73+Q77+Q81</f>
        <v>24218</v>
      </c>
      <c r="R82" s="107">
        <f>R27+R33+R50+R55+R60+R65+R68+R73+R77+R81</f>
        <v>0</v>
      </c>
      <c r="S82" s="107">
        <f>S27+S33+S50+S55+S60+S65+S68+S73+S77+S81</f>
        <v>0</v>
      </c>
      <c r="T82" s="107">
        <f>U82+V82+W82+X82</f>
        <v>26254</v>
      </c>
      <c r="U82" s="107">
        <f>U27+U33+U50+U60+U65+U68+U73+U77+U81</f>
        <v>2036</v>
      </c>
      <c r="V82" s="107">
        <f>V27+V33+V50+V55+V60+V65+V68+V73+V77+V81</f>
        <v>24218</v>
      </c>
      <c r="W82" s="107">
        <f>W27+W33+W50+W55+W60+W65+W68+W73+W77+W81</f>
        <v>0</v>
      </c>
      <c r="X82" s="107">
        <f>X27+X33+X50+X55+X60+X65+X68+X73+X77+X81</f>
        <v>0</v>
      </c>
      <c r="Y82" s="107">
        <f>Z82+AA82+AB82+AC82</f>
        <v>130729.3</v>
      </c>
      <c r="Z82" s="107">
        <f>Z27+Z33+Z50+Z55+Z60+Z65+Z68+Z73+Z77+Z81</f>
        <v>130729.3</v>
      </c>
      <c r="AA82" s="107">
        <f>AA27+AA33+AA50+AA55+AA60+AA65+AA68+AA73+AA77+AA81</f>
        <v>0</v>
      </c>
      <c r="AB82" s="107">
        <f>AB27+AB33+AB50+AB55+AB60+AB65+AB68+AB73+AB77+AB81</f>
        <v>0</v>
      </c>
      <c r="AC82" s="107">
        <f>AC27+AC33+AC50+AC55+AC60+AC65+AC68+AC73+AC77+AC81</f>
        <v>0</v>
      </c>
      <c r="AD82" s="107">
        <f>AD27+AD33+AD50+AD55+AD60+AD65+AD68+AD73+AD77+AD81</f>
        <v>465117.67</v>
      </c>
    </row>
    <row r="83" spans="1:30">
      <c r="E83" s="217"/>
      <c r="F83" s="217"/>
      <c r="G83" s="217"/>
      <c r="H83" s="217"/>
      <c r="I83" s="217"/>
      <c r="J83" s="217"/>
    </row>
    <row r="84" spans="1:30">
      <c r="A84" s="253" t="s">
        <v>202</v>
      </c>
      <c r="K84" s="223"/>
      <c r="L84" s="252"/>
      <c r="M84" s="252"/>
      <c r="N84" s="252"/>
      <c r="O84" s="252"/>
      <c r="P84" s="252"/>
      <c r="Q84" s="252"/>
      <c r="R84" s="252"/>
      <c r="S84" s="252"/>
      <c r="T84" s="252"/>
      <c r="U84" s="252"/>
      <c r="V84" s="252"/>
      <c r="W84" s="252"/>
    </row>
    <row r="85" spans="1:30">
      <c r="C85" s="199">
        <v>2020</v>
      </c>
      <c r="E85" s="218"/>
      <c r="J85" s="199">
        <v>2021</v>
      </c>
      <c r="O85" s="199">
        <v>2022</v>
      </c>
      <c r="T85" s="199">
        <v>2023</v>
      </c>
      <c r="Y85" s="199">
        <v>2024</v>
      </c>
    </row>
    <row r="86" spans="1:30" ht="225">
      <c r="A86" s="222" t="s">
        <v>201</v>
      </c>
      <c r="B86" s="219" t="s">
        <v>134</v>
      </c>
      <c r="C86" s="218">
        <f>E29+E33+E52+E55+E62+E65+E68+E74+E81</f>
        <v>96915</v>
      </c>
      <c r="F86" s="218" t="s">
        <v>134</v>
      </c>
      <c r="I86" s="199" t="s">
        <v>134</v>
      </c>
      <c r="J86" s="218">
        <f>J29+J33+J52+J55+J65+J68+J74+J81</f>
        <v>78812</v>
      </c>
      <c r="N86" s="199" t="s">
        <v>134</v>
      </c>
      <c r="O86" s="218">
        <f>O29+O33+O52+O55+O65+O68+O74+O81</f>
        <v>0</v>
      </c>
      <c r="S86" s="199" t="s">
        <v>134</v>
      </c>
      <c r="T86" s="218">
        <f>T29+T33+T52+T55+T62+T65+T68+T74+T81</f>
        <v>0</v>
      </c>
      <c r="X86" s="199" t="s">
        <v>134</v>
      </c>
      <c r="Y86" s="218">
        <f>Y29+Y33+Y52+Y55+Y62+Y65+Y68+Y74+Y81</f>
        <v>92955.3</v>
      </c>
      <c r="AC86" s="218">
        <f>C86+J86+O86+T86+Y86</f>
        <v>268682.3</v>
      </c>
    </row>
    <row r="87" spans="1:30">
      <c r="B87" s="219" t="s">
        <v>137</v>
      </c>
      <c r="C87" s="218">
        <f>E30+E51+E61+E77</f>
        <v>23882</v>
      </c>
      <c r="F87" s="199" t="s">
        <v>137</v>
      </c>
      <c r="I87" s="199" t="s">
        <v>137</v>
      </c>
      <c r="J87" s="218">
        <f>J30+J51+J60+J77</f>
        <v>26254</v>
      </c>
      <c r="N87" s="199" t="s">
        <v>137</v>
      </c>
      <c r="O87" s="218">
        <f>O30+O51+O61+O77</f>
        <v>26254</v>
      </c>
      <c r="S87" s="199" t="s">
        <v>137</v>
      </c>
      <c r="T87" s="218">
        <f>T30+T51+T61+T77</f>
        <v>26254</v>
      </c>
      <c r="X87" s="199" t="s">
        <v>137</v>
      </c>
      <c r="Y87" s="218">
        <f>Y30+Y51+Y61+Y77</f>
        <v>2274</v>
      </c>
      <c r="AC87" s="218">
        <f>C87+J87+O87+T87+Y87</f>
        <v>104918</v>
      </c>
    </row>
    <row r="88" spans="1:30">
      <c r="B88" s="219" t="s">
        <v>138</v>
      </c>
      <c r="C88" s="218">
        <f>E28</f>
        <v>36295.369999999995</v>
      </c>
      <c r="F88" s="199" t="s">
        <v>289</v>
      </c>
      <c r="I88" s="199" t="s">
        <v>140</v>
      </c>
      <c r="J88" s="218">
        <f>K28</f>
        <v>19722</v>
      </c>
      <c r="N88" s="199" t="s">
        <v>140</v>
      </c>
      <c r="O88" s="218">
        <f>P28</f>
        <v>0</v>
      </c>
      <c r="S88" s="199" t="s">
        <v>140</v>
      </c>
      <c r="T88" s="218">
        <f>T28</f>
        <v>0</v>
      </c>
      <c r="X88" s="199" t="s">
        <v>140</v>
      </c>
      <c r="Y88" s="218">
        <f>Y28</f>
        <v>35500</v>
      </c>
      <c r="AC88" s="218">
        <f>C88+J88+O88+T88+Y88</f>
        <v>91517.37</v>
      </c>
    </row>
    <row r="89" spans="1:30">
      <c r="C89" s="218"/>
      <c r="J89" s="218"/>
      <c r="O89" s="218">
        <f>O86+O87</f>
        <v>26254</v>
      </c>
      <c r="T89" s="218"/>
      <c r="Y89" s="218"/>
      <c r="AC89" s="218"/>
    </row>
    <row r="90" spans="1:30">
      <c r="B90" s="219"/>
      <c r="C90" s="218">
        <f>C86+C87+C88</f>
        <v>157092.37</v>
      </c>
      <c r="J90" s="218">
        <f>J86+J87+J88</f>
        <v>124788</v>
      </c>
      <c r="K90" s="218"/>
      <c r="N90" s="199" t="s">
        <v>137</v>
      </c>
      <c r="O90" s="218"/>
      <c r="S90" s="199" t="s">
        <v>137</v>
      </c>
      <c r="T90" s="218"/>
      <c r="X90" s="199" t="s">
        <v>173</v>
      </c>
      <c r="Y90" s="218"/>
      <c r="AC90" s="218"/>
    </row>
    <row r="91" spans="1:30">
      <c r="C91" s="218"/>
      <c r="J91" s="218"/>
      <c r="O91" s="218"/>
      <c r="T91" s="218"/>
      <c r="Y91" s="218">
        <f>Y86+Y87+Y88</f>
        <v>130729.3</v>
      </c>
      <c r="AC91" s="218">
        <f>AC86+AC87+AC88</f>
        <v>465117.67</v>
      </c>
    </row>
    <row r="92" spans="1:30">
      <c r="C92" s="218"/>
      <c r="J92" s="218"/>
      <c r="O92" s="218"/>
      <c r="T92" s="218"/>
      <c r="Y92" s="218"/>
    </row>
    <row r="94" spans="1:30">
      <c r="B94" s="219" t="s">
        <v>195</v>
      </c>
      <c r="C94" s="218">
        <f>I82+N82+S82+X82+AC82</f>
        <v>2169.67</v>
      </c>
    </row>
    <row r="95" spans="1:30">
      <c r="B95" s="220" t="s">
        <v>196</v>
      </c>
      <c r="C95" s="218">
        <f>F82+K82+P82+U82+Z82</f>
        <v>344328</v>
      </c>
    </row>
    <row r="96" spans="1:30">
      <c r="B96" s="220" t="s">
        <v>197</v>
      </c>
      <c r="C96" s="218">
        <f>G82+L82+Q82+V82+AA82</f>
        <v>118620</v>
      </c>
    </row>
    <row r="97" spans="2:29">
      <c r="C97" s="218">
        <f>C94+C95+C96</f>
        <v>465117.67</v>
      </c>
      <c r="AC97" s="218">
        <f>AC91-865014</f>
        <v>-399896.33</v>
      </c>
    </row>
    <row r="99" spans="2:29">
      <c r="B99" s="218">
        <f>127165-F82</f>
        <v>18208.300000000003</v>
      </c>
    </row>
    <row r="101" spans="2:29">
      <c r="Y101" s="221">
        <f>973249000-19710000-88655000</f>
        <v>864884000</v>
      </c>
    </row>
    <row r="104" spans="2:29">
      <c r="D104" s="221"/>
      <c r="E104" s="221"/>
    </row>
    <row r="105" spans="2:29">
      <c r="D105" s="221"/>
      <c r="E105" s="221"/>
    </row>
    <row r="110" spans="2:29">
      <c r="D110" s="218">
        <f>G82+L82+Q82+V82+AA82</f>
        <v>118620</v>
      </c>
    </row>
  </sheetData>
  <mergeCells count="41">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A57:A58"/>
    <mergeCell ref="B57:B58"/>
    <mergeCell ref="C13:C14"/>
    <mergeCell ref="A27:C27"/>
    <mergeCell ref="B31:AD31"/>
    <mergeCell ref="A33:C33"/>
    <mergeCell ref="B34:AD34"/>
    <mergeCell ref="C38:C39"/>
    <mergeCell ref="C41:C45"/>
    <mergeCell ref="A50:C50"/>
    <mergeCell ref="B53:AD53"/>
    <mergeCell ref="A55:C55"/>
    <mergeCell ref="B56:AD56"/>
    <mergeCell ref="A82:C82"/>
    <mergeCell ref="A60:C60"/>
    <mergeCell ref="B63:AD63"/>
    <mergeCell ref="A65:C65"/>
    <mergeCell ref="B66:AD66"/>
    <mergeCell ref="A68:C68"/>
    <mergeCell ref="B69:AD69"/>
    <mergeCell ref="A73:C73"/>
    <mergeCell ref="B75:AD75"/>
    <mergeCell ref="A77:C77"/>
    <mergeCell ref="B78:AD78"/>
    <mergeCell ref="A81:C81"/>
  </mergeCells>
  <pageMargins left="0.17" right="0.16" top="0.17" bottom="0.16" header="0.17" footer="0.16"/>
  <pageSetup paperSize="9" scale="23" orientation="landscape" r:id="rId1"/>
  <rowBreaks count="1" manualBreakCount="1">
    <brk id="37" max="16383" man="1"/>
  </rowBreaks>
  <colBreaks count="1" manualBreakCount="1">
    <brk id="30" max="1048575" man="1"/>
  </colBreaks>
  <legacyDrawing r:id="rId2"/>
</worksheet>
</file>

<file path=xl/worksheets/sheet7.xml><?xml version="1.0" encoding="utf-8"?>
<worksheet xmlns="http://schemas.openxmlformats.org/spreadsheetml/2006/main" xmlns:r="http://schemas.openxmlformats.org/officeDocument/2006/relationships">
  <dimension ref="A1:AF110"/>
  <sheetViews>
    <sheetView view="pageBreakPreview" zoomScale="60" workbookViewId="0">
      <pane xSplit="5" ySplit="14" topLeftCell="F15" activePane="bottomRight" state="frozen"/>
      <selection pane="topRight" activeCell="F1" sqref="F1"/>
      <selection pane="bottomLeft" activeCell="A15" sqref="A15"/>
      <selection pane="bottomRight" sqref="A1:AD82"/>
    </sheetView>
  </sheetViews>
  <sheetFormatPr defaultRowHeight="18.75"/>
  <cols>
    <col min="1" max="1" width="6.140625" style="264" customWidth="1"/>
    <col min="2" max="2" width="133.5703125" style="199" customWidth="1"/>
    <col min="3" max="3" width="22.42578125" style="199" customWidth="1"/>
    <col min="4" max="4" width="22.7109375" style="199" customWidth="1"/>
    <col min="5" max="5" width="18.85546875" style="199" customWidth="1"/>
    <col min="6" max="6" width="22.42578125" style="199" customWidth="1"/>
    <col min="7" max="7" width="16.140625" style="199" customWidth="1"/>
    <col min="8" max="8" width="16.85546875" style="199" customWidth="1"/>
    <col min="9" max="9" width="15" style="199" customWidth="1"/>
    <col min="10" max="10" width="21.140625" style="199" customWidth="1"/>
    <col min="11" max="11" width="13.28515625" style="199" customWidth="1"/>
    <col min="12" max="12" width="15" style="199" customWidth="1"/>
    <col min="13" max="13" width="14.7109375" style="199" customWidth="1"/>
    <col min="14" max="14" width="14.28515625" style="199" customWidth="1"/>
    <col min="15" max="15" width="17.140625" style="199" customWidth="1"/>
    <col min="16" max="16" width="16.28515625" style="199" customWidth="1"/>
    <col min="17" max="17" width="17.28515625" style="199" customWidth="1"/>
    <col min="18" max="18" width="19" style="199" customWidth="1"/>
    <col min="19" max="19" width="13" style="199" customWidth="1"/>
    <col min="20" max="20" width="14.140625" style="199" customWidth="1"/>
    <col min="21" max="21" width="12.7109375" style="199" customWidth="1"/>
    <col min="22" max="22" width="11.85546875" style="199" customWidth="1"/>
    <col min="23" max="23" width="11.7109375" style="199" customWidth="1"/>
    <col min="24" max="24" width="10.28515625" style="199" customWidth="1"/>
    <col min="25" max="25" width="18.140625" style="199" customWidth="1"/>
    <col min="26" max="26" width="14.5703125" style="199" customWidth="1"/>
    <col min="27" max="27" width="13" style="199" customWidth="1"/>
    <col min="28" max="28" width="12.7109375" style="199" customWidth="1"/>
    <col min="29" max="29" width="14.28515625" style="199" customWidth="1"/>
    <col min="30" max="30" width="13.140625" style="199" customWidth="1"/>
    <col min="31" max="16384" width="9.140625" style="200"/>
  </cols>
  <sheetData>
    <row r="1" spans="1:30">
      <c r="Z1" s="199" t="s">
        <v>260</v>
      </c>
    </row>
    <row r="2" spans="1:30">
      <c r="Z2" s="199" t="s">
        <v>261</v>
      </c>
    </row>
    <row r="3" spans="1:30">
      <c r="L3" s="262"/>
      <c r="M3" s="262"/>
      <c r="N3" s="262"/>
      <c r="O3" s="262"/>
      <c r="P3" s="262"/>
      <c r="Q3" s="262"/>
      <c r="R3" s="262"/>
      <c r="S3" s="262"/>
      <c r="T3" s="262"/>
      <c r="U3" s="262"/>
      <c r="V3" s="262"/>
      <c r="W3" s="262"/>
      <c r="X3" s="262"/>
      <c r="Y3" s="262"/>
      <c r="Z3" s="615" t="s">
        <v>262</v>
      </c>
      <c r="AA3" s="615"/>
      <c r="AB3" s="615"/>
      <c r="AC3" s="615"/>
      <c r="AD3" s="615"/>
    </row>
    <row r="4" spans="1:30">
      <c r="V4" s="616" t="s">
        <v>272</v>
      </c>
      <c r="W4" s="616"/>
      <c r="X4" s="616"/>
      <c r="Y4" s="616"/>
      <c r="Z4" s="616"/>
      <c r="AA4" s="616"/>
      <c r="AB4" s="616"/>
      <c r="AC4" s="616"/>
      <c r="AD4" s="616"/>
    </row>
    <row r="5" spans="1:30">
      <c r="A5" s="617" t="s">
        <v>0</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row>
    <row r="7" spans="1:30" ht="19.5">
      <c r="A7" s="618" t="s">
        <v>1</v>
      </c>
      <c r="B7" s="618" t="s">
        <v>219</v>
      </c>
      <c r="C7" s="618" t="s">
        <v>2</v>
      </c>
      <c r="D7" s="619" t="s">
        <v>3</v>
      </c>
      <c r="E7" s="622" t="s">
        <v>273</v>
      </c>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row>
    <row r="8" spans="1:30">
      <c r="A8" s="618"/>
      <c r="B8" s="618"/>
      <c r="C8" s="618"/>
      <c r="D8" s="620"/>
      <c r="E8" s="618" t="s">
        <v>88</v>
      </c>
      <c r="F8" s="618"/>
      <c r="G8" s="618"/>
      <c r="H8" s="618"/>
      <c r="I8" s="618"/>
      <c r="J8" s="618" t="s">
        <v>89</v>
      </c>
      <c r="K8" s="618"/>
      <c r="L8" s="618"/>
      <c r="M8" s="618"/>
      <c r="N8" s="618"/>
      <c r="O8" s="618" t="s">
        <v>90</v>
      </c>
      <c r="P8" s="618"/>
      <c r="Q8" s="618"/>
      <c r="R8" s="618"/>
      <c r="S8" s="618"/>
      <c r="T8" s="618" t="s">
        <v>91</v>
      </c>
      <c r="U8" s="618"/>
      <c r="V8" s="618"/>
      <c r="W8" s="618"/>
      <c r="X8" s="618"/>
      <c r="Y8" s="618" t="s">
        <v>92</v>
      </c>
      <c r="Z8" s="618"/>
      <c r="AA8" s="618"/>
      <c r="AB8" s="618"/>
      <c r="AC8" s="618"/>
      <c r="AD8" s="618" t="s">
        <v>5</v>
      </c>
    </row>
    <row r="9" spans="1:30" ht="87.75">
      <c r="A9" s="618"/>
      <c r="B9" s="618"/>
      <c r="C9" s="618"/>
      <c r="D9" s="621"/>
      <c r="E9" s="265" t="s">
        <v>6</v>
      </c>
      <c r="F9" s="201" t="s">
        <v>7</v>
      </c>
      <c r="G9" s="201" t="s">
        <v>8</v>
      </c>
      <c r="H9" s="201" t="s">
        <v>9</v>
      </c>
      <c r="I9" s="202" t="s">
        <v>10</v>
      </c>
      <c r="J9" s="265" t="s">
        <v>6</v>
      </c>
      <c r="K9" s="201" t="s">
        <v>7</v>
      </c>
      <c r="L9" s="201" t="s">
        <v>8</v>
      </c>
      <c r="M9" s="201" t="s">
        <v>9</v>
      </c>
      <c r="N9" s="202" t="s">
        <v>10</v>
      </c>
      <c r="O9" s="265" t="s">
        <v>6</v>
      </c>
      <c r="P9" s="201" t="s">
        <v>7</v>
      </c>
      <c r="Q9" s="201" t="s">
        <v>8</v>
      </c>
      <c r="R9" s="201" t="s">
        <v>9</v>
      </c>
      <c r="S9" s="202" t="s">
        <v>10</v>
      </c>
      <c r="T9" s="265" t="s">
        <v>6</v>
      </c>
      <c r="U9" s="201" t="s">
        <v>7</v>
      </c>
      <c r="V9" s="201" t="s">
        <v>8</v>
      </c>
      <c r="W9" s="201" t="s">
        <v>9</v>
      </c>
      <c r="X9" s="202" t="s">
        <v>10</v>
      </c>
      <c r="Y9" s="265" t="s">
        <v>6</v>
      </c>
      <c r="Z9" s="201" t="s">
        <v>7</v>
      </c>
      <c r="AA9" s="201" t="s">
        <v>8</v>
      </c>
      <c r="AB9" s="201" t="s">
        <v>9</v>
      </c>
      <c r="AC9" s="202" t="s">
        <v>10</v>
      </c>
      <c r="AD9" s="618"/>
    </row>
    <row r="10" spans="1:30">
      <c r="A10" s="203">
        <v>1</v>
      </c>
      <c r="B10" s="203">
        <v>2</v>
      </c>
      <c r="C10" s="203">
        <v>3</v>
      </c>
      <c r="D10" s="203">
        <v>4</v>
      </c>
      <c r="E10" s="203">
        <v>5</v>
      </c>
      <c r="F10" s="203">
        <v>6</v>
      </c>
      <c r="G10" s="203">
        <v>7</v>
      </c>
      <c r="H10" s="203">
        <v>8</v>
      </c>
      <c r="I10" s="203">
        <v>9</v>
      </c>
      <c r="J10" s="203">
        <v>10</v>
      </c>
      <c r="K10" s="203">
        <v>11</v>
      </c>
      <c r="L10" s="203">
        <v>12</v>
      </c>
      <c r="M10" s="203">
        <v>13</v>
      </c>
      <c r="N10" s="203">
        <v>14</v>
      </c>
      <c r="O10" s="203">
        <v>15</v>
      </c>
      <c r="P10" s="203">
        <v>16</v>
      </c>
      <c r="Q10" s="203">
        <v>17</v>
      </c>
      <c r="R10" s="203">
        <v>18</v>
      </c>
      <c r="S10" s="203">
        <v>19</v>
      </c>
      <c r="T10" s="203">
        <v>20</v>
      </c>
      <c r="U10" s="203">
        <v>21</v>
      </c>
      <c r="V10" s="203">
        <v>22</v>
      </c>
      <c r="W10" s="203">
        <v>23</v>
      </c>
      <c r="X10" s="203">
        <v>24</v>
      </c>
      <c r="Y10" s="203">
        <v>25</v>
      </c>
      <c r="Z10" s="203">
        <v>26</v>
      </c>
      <c r="AA10" s="203">
        <v>27</v>
      </c>
      <c r="AB10" s="203">
        <v>28</v>
      </c>
      <c r="AC10" s="203">
        <v>29</v>
      </c>
      <c r="AD10" s="203">
        <v>30</v>
      </c>
    </row>
    <row r="11" spans="1:30">
      <c r="A11" s="623" t="s">
        <v>274</v>
      </c>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5"/>
    </row>
    <row r="12" spans="1:30" ht="23.25">
      <c r="A12" s="41" t="s">
        <v>221</v>
      </c>
      <c r="B12" s="600" t="s">
        <v>275</v>
      </c>
      <c r="C12" s="601"/>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4"/>
    </row>
    <row r="13" spans="1:30" ht="116.25">
      <c r="A13" s="155" t="s">
        <v>12</v>
      </c>
      <c r="B13" s="173" t="s">
        <v>81</v>
      </c>
      <c r="C13" s="610" t="s">
        <v>14</v>
      </c>
      <c r="D13" s="204" t="s">
        <v>93</v>
      </c>
      <c r="E13" s="178">
        <f>SUM(F13:I13)</f>
        <v>28350</v>
      </c>
      <c r="F13" s="178">
        <f>43350-15000</f>
        <v>28350</v>
      </c>
      <c r="G13" s="178">
        <v>0</v>
      </c>
      <c r="H13" s="178">
        <v>0</v>
      </c>
      <c r="I13" s="178">
        <v>0</v>
      </c>
      <c r="J13" s="176">
        <f>K13+L13+M13+N13</f>
        <v>35500</v>
      </c>
      <c r="K13" s="176">
        <f>19722+15778</f>
        <v>35500</v>
      </c>
      <c r="L13" s="178">
        <v>0</v>
      </c>
      <c r="M13" s="142">
        <v>0</v>
      </c>
      <c r="N13" s="142">
        <v>0</v>
      </c>
      <c r="O13" s="142">
        <v>0</v>
      </c>
      <c r="P13" s="142">
        <v>0</v>
      </c>
      <c r="Q13" s="142">
        <v>0</v>
      </c>
      <c r="R13" s="142">
        <v>0</v>
      </c>
      <c r="S13" s="142">
        <v>0</v>
      </c>
      <c r="T13" s="142">
        <f>U13+V13+W13+X13</f>
        <v>0</v>
      </c>
      <c r="U13" s="142">
        <v>0</v>
      </c>
      <c r="V13" s="142">
        <v>0</v>
      </c>
      <c r="W13" s="142">
        <v>0</v>
      </c>
      <c r="X13" s="142">
        <v>0</v>
      </c>
      <c r="Y13" s="142">
        <f>Z13+AA13+AB13+AC13</f>
        <v>35500</v>
      </c>
      <c r="Z13" s="142">
        <v>35500</v>
      </c>
      <c r="AA13" s="142">
        <v>0</v>
      </c>
      <c r="AB13" s="142">
        <v>0</v>
      </c>
      <c r="AC13" s="142">
        <v>0</v>
      </c>
      <c r="AD13" s="148">
        <f t="shared" ref="AD13:AD18" si="0">E13+J13+O13+T13+Y13</f>
        <v>99350</v>
      </c>
    </row>
    <row r="14" spans="1:30" ht="139.5">
      <c r="A14" s="155" t="s">
        <v>13</v>
      </c>
      <c r="B14" s="174" t="s">
        <v>268</v>
      </c>
      <c r="C14" s="612"/>
      <c r="D14" s="204" t="s">
        <v>93</v>
      </c>
      <c r="E14" s="178">
        <f>SUM(F14:I14)</f>
        <v>7359</v>
      </c>
      <c r="F14" s="178">
        <f>12748-5387-2060</f>
        <v>5301</v>
      </c>
      <c r="G14" s="178">
        <v>0</v>
      </c>
      <c r="H14" s="178">
        <v>0</v>
      </c>
      <c r="I14" s="178">
        <f>4602-2544</f>
        <v>2058</v>
      </c>
      <c r="J14" s="178">
        <v>0</v>
      </c>
      <c r="K14" s="178">
        <v>0</v>
      </c>
      <c r="L14" s="178">
        <v>0</v>
      </c>
      <c r="M14" s="142">
        <v>0</v>
      </c>
      <c r="N14" s="142">
        <v>0</v>
      </c>
      <c r="O14" s="142">
        <v>0</v>
      </c>
      <c r="P14" s="142">
        <v>0</v>
      </c>
      <c r="Q14" s="142">
        <v>0</v>
      </c>
      <c r="R14" s="142">
        <v>0</v>
      </c>
      <c r="S14" s="142">
        <v>0</v>
      </c>
      <c r="T14" s="142">
        <f>U14+V14+W14+X14</f>
        <v>0</v>
      </c>
      <c r="U14" s="142">
        <v>0</v>
      </c>
      <c r="V14" s="142">
        <v>0</v>
      </c>
      <c r="W14" s="142">
        <v>0</v>
      </c>
      <c r="X14" s="142">
        <v>0</v>
      </c>
      <c r="Y14" s="142">
        <f>Z14+AA14+AB14+AC14</f>
        <v>0</v>
      </c>
      <c r="Z14" s="142">
        <v>0</v>
      </c>
      <c r="AA14" s="142">
        <v>0</v>
      </c>
      <c r="AB14" s="142">
        <v>0</v>
      </c>
      <c r="AC14" s="142">
        <v>0</v>
      </c>
      <c r="AD14" s="148">
        <f t="shared" si="0"/>
        <v>7359</v>
      </c>
    </row>
    <row r="15" spans="1:30" ht="116.25">
      <c r="A15" s="155" t="s">
        <v>15</v>
      </c>
      <c r="B15" s="191" t="s">
        <v>117</v>
      </c>
      <c r="C15" s="266" t="s">
        <v>218</v>
      </c>
      <c r="D15" s="41" t="s">
        <v>93</v>
      </c>
      <c r="E15" s="178">
        <f>F15+G15+H15+I15</f>
        <v>8260</v>
      </c>
      <c r="F15" s="178">
        <f>8260</f>
        <v>8260</v>
      </c>
      <c r="G15" s="178">
        <v>0</v>
      </c>
      <c r="H15" s="178">
        <v>0</v>
      </c>
      <c r="I15" s="178">
        <v>0</v>
      </c>
      <c r="J15" s="178">
        <f>K15+L15+M15+N15</f>
        <v>11513</v>
      </c>
      <c r="K15" s="178">
        <v>11513</v>
      </c>
      <c r="L15" s="178">
        <v>0</v>
      </c>
      <c r="M15" s="142">
        <v>0</v>
      </c>
      <c r="N15" s="142">
        <v>0</v>
      </c>
      <c r="O15" s="142">
        <f>P15+Q15+R15+S15</f>
        <v>0</v>
      </c>
      <c r="P15" s="142">
        <v>0</v>
      </c>
      <c r="Q15" s="142">
        <v>0</v>
      </c>
      <c r="R15" s="142">
        <v>0</v>
      </c>
      <c r="S15" s="142">
        <v>0</v>
      </c>
      <c r="T15" s="142">
        <f>U15+V15+W15+X15</f>
        <v>0</v>
      </c>
      <c r="U15" s="142">
        <v>0</v>
      </c>
      <c r="V15" s="142">
        <v>0</v>
      </c>
      <c r="W15" s="142">
        <v>0</v>
      </c>
      <c r="X15" s="142">
        <v>0</v>
      </c>
      <c r="Y15" s="142">
        <v>12655.3</v>
      </c>
      <c r="Z15" s="142">
        <v>12655.3</v>
      </c>
      <c r="AA15" s="142">
        <v>0</v>
      </c>
      <c r="AB15" s="142">
        <v>0</v>
      </c>
      <c r="AC15" s="142">
        <v>0</v>
      </c>
      <c r="AD15" s="148">
        <f t="shared" si="0"/>
        <v>32428.3</v>
      </c>
    </row>
    <row r="16" spans="1:30" ht="93">
      <c r="A16" s="155" t="s">
        <v>16</v>
      </c>
      <c r="B16" s="175" t="s">
        <v>270</v>
      </c>
      <c r="C16" s="205" t="s">
        <v>14</v>
      </c>
      <c r="D16" s="41" t="s">
        <v>93</v>
      </c>
      <c r="E16" s="178">
        <f>F16+G16+H16+I16</f>
        <v>586.36999999999978</v>
      </c>
      <c r="F16" s="178">
        <f>3300-2825.3</f>
        <v>474.69999999999982</v>
      </c>
      <c r="G16" s="178">
        <v>0</v>
      </c>
      <c r="H16" s="178">
        <v>0</v>
      </c>
      <c r="I16" s="178">
        <f>775-663.33</f>
        <v>111.66999999999996</v>
      </c>
      <c r="J16" s="178">
        <v>0</v>
      </c>
      <c r="K16" s="178">
        <v>0</v>
      </c>
      <c r="L16" s="178">
        <v>0</v>
      </c>
      <c r="M16" s="142">
        <v>0</v>
      </c>
      <c r="N16" s="142">
        <v>0</v>
      </c>
      <c r="O16" s="142">
        <v>0</v>
      </c>
      <c r="P16" s="142">
        <v>0</v>
      </c>
      <c r="Q16" s="142">
        <v>0</v>
      </c>
      <c r="R16" s="142">
        <v>0</v>
      </c>
      <c r="S16" s="142">
        <v>0</v>
      </c>
      <c r="T16" s="142">
        <v>0</v>
      </c>
      <c r="U16" s="142">
        <v>0</v>
      </c>
      <c r="V16" s="142">
        <v>0</v>
      </c>
      <c r="W16" s="142">
        <v>0</v>
      </c>
      <c r="X16" s="142">
        <v>0</v>
      </c>
      <c r="Y16" s="142">
        <v>0</v>
      </c>
      <c r="Z16" s="142">
        <v>0</v>
      </c>
      <c r="AA16" s="142">
        <v>0</v>
      </c>
      <c r="AB16" s="142">
        <v>0</v>
      </c>
      <c r="AC16" s="142">
        <v>0</v>
      </c>
      <c r="AD16" s="148">
        <f t="shared" si="0"/>
        <v>586.36999999999978</v>
      </c>
    </row>
    <row r="17" spans="1:31" ht="93.75">
      <c r="A17" s="155" t="s">
        <v>17</v>
      </c>
      <c r="B17" s="175" t="s">
        <v>210</v>
      </c>
      <c r="C17" s="266" t="s">
        <v>94</v>
      </c>
      <c r="D17" s="141">
        <v>2020</v>
      </c>
      <c r="E17" s="178">
        <f t="shared" ref="E17:E22" si="1">F17+G17+H17+I17</f>
        <v>1192</v>
      </c>
      <c r="F17" s="178">
        <v>1192</v>
      </c>
      <c r="G17" s="178">
        <v>0</v>
      </c>
      <c r="H17" s="178">
        <v>0</v>
      </c>
      <c r="I17" s="178">
        <v>0</v>
      </c>
      <c r="J17" s="178">
        <f t="shared" ref="J17:J22" si="2">K17+L17+M17+N17</f>
        <v>0</v>
      </c>
      <c r="K17" s="178">
        <v>0</v>
      </c>
      <c r="L17" s="178">
        <v>0</v>
      </c>
      <c r="M17" s="142">
        <v>0</v>
      </c>
      <c r="N17" s="142">
        <v>0</v>
      </c>
      <c r="O17" s="142">
        <f>P17+Q17+R17+S17</f>
        <v>0</v>
      </c>
      <c r="P17" s="142">
        <v>0</v>
      </c>
      <c r="Q17" s="142">
        <v>0</v>
      </c>
      <c r="R17" s="142">
        <v>0</v>
      </c>
      <c r="S17" s="142">
        <v>0</v>
      </c>
      <c r="T17" s="142">
        <f>U17+V17+W17+X17</f>
        <v>0</v>
      </c>
      <c r="U17" s="142">
        <v>0</v>
      </c>
      <c r="V17" s="142">
        <v>0</v>
      </c>
      <c r="W17" s="142">
        <v>0</v>
      </c>
      <c r="X17" s="142">
        <v>0</v>
      </c>
      <c r="Y17" s="142">
        <f>Z17+AA17+AB17+AC17</f>
        <v>0</v>
      </c>
      <c r="Z17" s="142">
        <v>0</v>
      </c>
      <c r="AA17" s="142">
        <v>0</v>
      </c>
      <c r="AB17" s="142">
        <v>0</v>
      </c>
      <c r="AC17" s="142">
        <v>0</v>
      </c>
      <c r="AD17" s="142">
        <f t="shared" si="0"/>
        <v>1192</v>
      </c>
    </row>
    <row r="18" spans="1:31" ht="93.75">
      <c r="A18" s="155" t="s">
        <v>163</v>
      </c>
      <c r="B18" s="175" t="s">
        <v>121</v>
      </c>
      <c r="C18" s="266" t="s">
        <v>94</v>
      </c>
      <c r="D18" s="141" t="s">
        <v>164</v>
      </c>
      <c r="E18" s="178">
        <f t="shared" si="1"/>
        <v>6060</v>
      </c>
      <c r="F18" s="178">
        <f>6183-123</f>
        <v>6060</v>
      </c>
      <c r="G18" s="178">
        <v>0</v>
      </c>
      <c r="H18" s="178">
        <v>0</v>
      </c>
      <c r="I18" s="178">
        <v>0</v>
      </c>
      <c r="J18" s="178">
        <f t="shared" si="2"/>
        <v>5832</v>
      </c>
      <c r="K18" s="178">
        <f>5832</f>
        <v>5832</v>
      </c>
      <c r="L18" s="178">
        <v>0</v>
      </c>
      <c r="M18" s="142">
        <v>0</v>
      </c>
      <c r="N18" s="142">
        <v>0</v>
      </c>
      <c r="O18" s="142">
        <f>P18+Q18+R18+S18</f>
        <v>0</v>
      </c>
      <c r="P18" s="142">
        <v>0</v>
      </c>
      <c r="Q18" s="142">
        <v>0</v>
      </c>
      <c r="R18" s="142">
        <v>0</v>
      </c>
      <c r="S18" s="142">
        <v>0</v>
      </c>
      <c r="T18" s="142">
        <f>U18+V18+W18+X18</f>
        <v>0</v>
      </c>
      <c r="U18" s="142">
        <v>0</v>
      </c>
      <c r="V18" s="142">
        <v>0</v>
      </c>
      <c r="W18" s="142">
        <v>0</v>
      </c>
      <c r="X18" s="142">
        <v>0</v>
      </c>
      <c r="Y18" s="142">
        <v>6150</v>
      </c>
      <c r="Z18" s="142">
        <v>6150</v>
      </c>
      <c r="AA18" s="142">
        <v>0</v>
      </c>
      <c r="AB18" s="142">
        <v>0</v>
      </c>
      <c r="AC18" s="142">
        <v>0</v>
      </c>
      <c r="AD18" s="142">
        <f t="shared" si="0"/>
        <v>18042</v>
      </c>
    </row>
    <row r="19" spans="1:31" ht="93.75">
      <c r="A19" s="155" t="s">
        <v>182</v>
      </c>
      <c r="B19" s="170" t="s">
        <v>124</v>
      </c>
      <c r="C19" s="266" t="s">
        <v>94</v>
      </c>
      <c r="D19" s="141" t="s">
        <v>282</v>
      </c>
      <c r="E19" s="178">
        <f t="shared" si="1"/>
        <v>785</v>
      </c>
      <c r="F19" s="178">
        <v>785</v>
      </c>
      <c r="G19" s="178">
        <v>0</v>
      </c>
      <c r="H19" s="178">
        <v>0</v>
      </c>
      <c r="I19" s="178">
        <v>0</v>
      </c>
      <c r="J19" s="178">
        <f t="shared" si="2"/>
        <v>90</v>
      </c>
      <c r="K19" s="178">
        <v>90</v>
      </c>
      <c r="L19" s="178">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f>E19+J19+O19+T19+Y19</f>
        <v>875</v>
      </c>
    </row>
    <row r="20" spans="1:31" ht="93.75">
      <c r="A20" s="155" t="s">
        <v>208</v>
      </c>
      <c r="B20" s="170" t="s">
        <v>126</v>
      </c>
      <c r="C20" s="266" t="s">
        <v>94</v>
      </c>
      <c r="D20" s="141">
        <v>2020</v>
      </c>
      <c r="E20" s="178">
        <f t="shared" si="1"/>
        <v>110</v>
      </c>
      <c r="F20" s="178">
        <v>110</v>
      </c>
      <c r="G20" s="178">
        <v>0</v>
      </c>
      <c r="H20" s="178">
        <v>0</v>
      </c>
      <c r="I20" s="178">
        <v>0</v>
      </c>
      <c r="J20" s="178">
        <f t="shared" si="2"/>
        <v>0</v>
      </c>
      <c r="K20" s="178">
        <v>0</v>
      </c>
      <c r="L20" s="178">
        <v>0</v>
      </c>
      <c r="M20" s="142">
        <v>0</v>
      </c>
      <c r="N20" s="142">
        <v>0</v>
      </c>
      <c r="O20" s="142">
        <f t="shared" ref="O20:O26" si="3">P20+Q20+R20+S20</f>
        <v>0</v>
      </c>
      <c r="P20" s="142">
        <v>0</v>
      </c>
      <c r="Q20" s="142">
        <v>0</v>
      </c>
      <c r="R20" s="142">
        <v>0</v>
      </c>
      <c r="S20" s="142">
        <v>0</v>
      </c>
      <c r="T20" s="142">
        <f t="shared" ref="T20:T26" si="4">U20+V20+W20+X20</f>
        <v>0</v>
      </c>
      <c r="U20" s="142">
        <v>0</v>
      </c>
      <c r="V20" s="142">
        <v>0</v>
      </c>
      <c r="W20" s="142">
        <v>0</v>
      </c>
      <c r="X20" s="142">
        <v>0</v>
      </c>
      <c r="Y20" s="142">
        <f>Z20+AA20+AB20+AC20</f>
        <v>0</v>
      </c>
      <c r="Z20" s="142">
        <v>0</v>
      </c>
      <c r="AA20" s="142">
        <v>0</v>
      </c>
      <c r="AB20" s="142">
        <v>0</v>
      </c>
      <c r="AC20" s="142">
        <v>0</v>
      </c>
      <c r="AD20" s="142">
        <f t="shared" ref="AD20:AD26" si="5">E20+J20+O20+T20+Y20</f>
        <v>110</v>
      </c>
    </row>
    <row r="21" spans="1:31" ht="93.75">
      <c r="A21" s="155" t="s">
        <v>211</v>
      </c>
      <c r="B21" s="170" t="s">
        <v>122</v>
      </c>
      <c r="C21" s="266" t="s">
        <v>94</v>
      </c>
      <c r="D21" s="141">
        <v>2020</v>
      </c>
      <c r="E21" s="178">
        <f t="shared" si="1"/>
        <v>53</v>
      </c>
      <c r="F21" s="178">
        <v>53</v>
      </c>
      <c r="G21" s="178">
        <v>0</v>
      </c>
      <c r="H21" s="178">
        <v>0</v>
      </c>
      <c r="I21" s="178">
        <v>0</v>
      </c>
      <c r="J21" s="178">
        <f t="shared" si="2"/>
        <v>0</v>
      </c>
      <c r="K21" s="178">
        <v>0</v>
      </c>
      <c r="L21" s="178">
        <v>0</v>
      </c>
      <c r="M21" s="142">
        <v>0</v>
      </c>
      <c r="N21" s="142">
        <v>0</v>
      </c>
      <c r="O21" s="142">
        <f t="shared" si="3"/>
        <v>0</v>
      </c>
      <c r="P21" s="142">
        <v>0</v>
      </c>
      <c r="Q21" s="142">
        <v>0</v>
      </c>
      <c r="R21" s="142">
        <v>0</v>
      </c>
      <c r="S21" s="142">
        <v>0</v>
      </c>
      <c r="T21" s="142">
        <f t="shared" si="4"/>
        <v>0</v>
      </c>
      <c r="U21" s="142">
        <v>0</v>
      </c>
      <c r="V21" s="142">
        <v>0</v>
      </c>
      <c r="W21" s="142">
        <v>0</v>
      </c>
      <c r="X21" s="142">
        <v>0</v>
      </c>
      <c r="Y21" s="142">
        <f>Z21+AA21+AB21+AC21</f>
        <v>0</v>
      </c>
      <c r="Z21" s="142">
        <v>0</v>
      </c>
      <c r="AA21" s="142">
        <v>0</v>
      </c>
      <c r="AB21" s="142">
        <v>0</v>
      </c>
      <c r="AC21" s="142">
        <v>0</v>
      </c>
      <c r="AD21" s="142">
        <f t="shared" si="5"/>
        <v>53</v>
      </c>
    </row>
    <row r="22" spans="1:31" ht="93.75">
      <c r="A22" s="155" t="s">
        <v>212</v>
      </c>
      <c r="B22" s="170" t="s">
        <v>123</v>
      </c>
      <c r="C22" s="266" t="s">
        <v>94</v>
      </c>
      <c r="D22" s="141">
        <v>2020</v>
      </c>
      <c r="E22" s="178">
        <f t="shared" si="1"/>
        <v>130</v>
      </c>
      <c r="F22" s="178">
        <f>112+18</f>
        <v>130</v>
      </c>
      <c r="G22" s="178">
        <v>0</v>
      </c>
      <c r="H22" s="178">
        <v>0</v>
      </c>
      <c r="I22" s="178">
        <v>0</v>
      </c>
      <c r="J22" s="178">
        <f t="shared" si="2"/>
        <v>0</v>
      </c>
      <c r="K22" s="178">
        <v>0</v>
      </c>
      <c r="L22" s="178">
        <v>0</v>
      </c>
      <c r="M22" s="142">
        <v>0</v>
      </c>
      <c r="N22" s="142">
        <v>0</v>
      </c>
      <c r="O22" s="142">
        <f t="shared" si="3"/>
        <v>0</v>
      </c>
      <c r="P22" s="142">
        <v>0</v>
      </c>
      <c r="Q22" s="142">
        <v>0</v>
      </c>
      <c r="R22" s="142">
        <v>0</v>
      </c>
      <c r="S22" s="142">
        <v>0</v>
      </c>
      <c r="T22" s="142">
        <f t="shared" si="4"/>
        <v>0</v>
      </c>
      <c r="U22" s="142">
        <v>0</v>
      </c>
      <c r="V22" s="142">
        <v>0</v>
      </c>
      <c r="W22" s="142">
        <v>0</v>
      </c>
      <c r="X22" s="142">
        <v>0</v>
      </c>
      <c r="Y22" s="142">
        <f>Z22+AA22+AB22+AC22</f>
        <v>0</v>
      </c>
      <c r="Z22" s="142">
        <v>0</v>
      </c>
      <c r="AA22" s="142">
        <v>0</v>
      </c>
      <c r="AB22" s="142">
        <v>0</v>
      </c>
      <c r="AC22" s="142">
        <v>0</v>
      </c>
      <c r="AD22" s="142">
        <f t="shared" si="5"/>
        <v>130</v>
      </c>
    </row>
    <row r="23" spans="1:31" ht="93.75">
      <c r="A23" s="155" t="s">
        <v>213</v>
      </c>
      <c r="B23" s="170" t="s">
        <v>125</v>
      </c>
      <c r="C23" s="266" t="s">
        <v>94</v>
      </c>
      <c r="D23" s="141" t="s">
        <v>164</v>
      </c>
      <c r="E23" s="178">
        <v>120</v>
      </c>
      <c r="F23" s="178">
        <v>120</v>
      </c>
      <c r="G23" s="178">
        <v>0</v>
      </c>
      <c r="H23" s="178">
        <v>0</v>
      </c>
      <c r="I23" s="178">
        <v>0</v>
      </c>
      <c r="J23" s="283">
        <f>K23+L23+M23+N23</f>
        <v>60</v>
      </c>
      <c r="K23" s="283">
        <v>60</v>
      </c>
      <c r="L23" s="283">
        <v>0</v>
      </c>
      <c r="M23" s="282">
        <v>0</v>
      </c>
      <c r="N23" s="142">
        <v>0</v>
      </c>
      <c r="O23" s="142">
        <f t="shared" si="3"/>
        <v>0</v>
      </c>
      <c r="P23" s="142">
        <v>0</v>
      </c>
      <c r="Q23" s="142">
        <v>0</v>
      </c>
      <c r="R23" s="142">
        <v>0</v>
      </c>
      <c r="S23" s="142">
        <v>0</v>
      </c>
      <c r="T23" s="142">
        <f t="shared" si="4"/>
        <v>0</v>
      </c>
      <c r="U23" s="142">
        <v>0</v>
      </c>
      <c r="V23" s="142">
        <v>0</v>
      </c>
      <c r="W23" s="142">
        <v>0</v>
      </c>
      <c r="X23" s="142">
        <v>0</v>
      </c>
      <c r="Y23" s="142">
        <v>90</v>
      </c>
      <c r="Z23" s="142">
        <v>90</v>
      </c>
      <c r="AA23" s="142">
        <v>0</v>
      </c>
      <c r="AB23" s="142">
        <v>0</v>
      </c>
      <c r="AC23" s="142">
        <v>0</v>
      </c>
      <c r="AD23" s="142">
        <f t="shared" si="5"/>
        <v>270</v>
      </c>
    </row>
    <row r="24" spans="1:31" ht="56.25">
      <c r="A24" s="155" t="s">
        <v>214</v>
      </c>
      <c r="B24" s="170" t="s">
        <v>205</v>
      </c>
      <c r="C24" s="266" t="s">
        <v>52</v>
      </c>
      <c r="D24" s="141" t="s">
        <v>287</v>
      </c>
      <c r="E24" s="178">
        <v>23068</v>
      </c>
      <c r="F24" s="178">
        <v>0</v>
      </c>
      <c r="G24" s="178">
        <v>23068</v>
      </c>
      <c r="H24" s="178">
        <v>0</v>
      </c>
      <c r="I24" s="178">
        <v>0</v>
      </c>
      <c r="J24" s="283">
        <f>K24+L24+M24+N24</f>
        <v>23742</v>
      </c>
      <c r="K24" s="283">
        <v>0</v>
      </c>
      <c r="L24" s="283">
        <v>23742</v>
      </c>
      <c r="M24" s="282">
        <v>0</v>
      </c>
      <c r="N24" s="142">
        <v>0</v>
      </c>
      <c r="O24" s="136">
        <f t="shared" si="3"/>
        <v>23742</v>
      </c>
      <c r="P24" s="142">
        <v>0</v>
      </c>
      <c r="Q24" s="136">
        <v>23742</v>
      </c>
      <c r="R24" s="142">
        <v>0</v>
      </c>
      <c r="S24" s="142">
        <v>0</v>
      </c>
      <c r="T24" s="136">
        <f t="shared" si="4"/>
        <v>23742</v>
      </c>
      <c r="U24" s="142">
        <v>0</v>
      </c>
      <c r="V24" s="136">
        <v>23742</v>
      </c>
      <c r="W24" s="142">
        <v>0</v>
      </c>
      <c r="X24" s="142">
        <v>0</v>
      </c>
      <c r="Y24" s="142">
        <v>0</v>
      </c>
      <c r="Z24" s="142">
        <v>0</v>
      </c>
      <c r="AA24" s="142">
        <v>0</v>
      </c>
      <c r="AB24" s="142">
        <v>0</v>
      </c>
      <c r="AC24" s="142">
        <v>0</v>
      </c>
      <c r="AD24" s="142">
        <f>E24+J24+O24+T24+Y24</f>
        <v>94294</v>
      </c>
    </row>
    <row r="25" spans="1:31" ht="56.25">
      <c r="A25" s="155" t="s">
        <v>215</v>
      </c>
      <c r="B25" s="170" t="s">
        <v>198</v>
      </c>
      <c r="C25" s="266" t="s">
        <v>52</v>
      </c>
      <c r="D25" s="141" t="s">
        <v>287</v>
      </c>
      <c r="E25" s="178">
        <v>238</v>
      </c>
      <c r="F25" s="179">
        <v>0</v>
      </c>
      <c r="G25" s="178">
        <v>238</v>
      </c>
      <c r="H25" s="178">
        <v>0</v>
      </c>
      <c r="I25" s="178">
        <v>0</v>
      </c>
      <c r="J25" s="283">
        <f>K25+L25+M25+N25</f>
        <v>476</v>
      </c>
      <c r="K25" s="283">
        <v>0</v>
      </c>
      <c r="L25" s="283">
        <v>476</v>
      </c>
      <c r="M25" s="282">
        <v>0</v>
      </c>
      <c r="N25" s="142">
        <v>0</v>
      </c>
      <c r="O25" s="136">
        <f t="shared" si="3"/>
        <v>476</v>
      </c>
      <c r="P25" s="142">
        <v>0</v>
      </c>
      <c r="Q25" s="136">
        <v>476</v>
      </c>
      <c r="R25" s="142">
        <v>0</v>
      </c>
      <c r="S25" s="142">
        <v>0</v>
      </c>
      <c r="T25" s="136">
        <f t="shared" si="4"/>
        <v>476</v>
      </c>
      <c r="U25" s="142">
        <v>0</v>
      </c>
      <c r="V25" s="136">
        <v>476</v>
      </c>
      <c r="W25" s="142">
        <v>0</v>
      </c>
      <c r="X25" s="142">
        <v>0</v>
      </c>
      <c r="Y25" s="142">
        <v>0</v>
      </c>
      <c r="Z25" s="142">
        <v>0</v>
      </c>
      <c r="AA25" s="142">
        <v>0</v>
      </c>
      <c r="AB25" s="142">
        <v>0</v>
      </c>
      <c r="AC25" s="142">
        <v>0</v>
      </c>
      <c r="AD25" s="142">
        <f>E25+J25+O25+T25+Y25</f>
        <v>1666</v>
      </c>
    </row>
    <row r="26" spans="1:31" ht="93.75">
      <c r="A26" s="155" t="s">
        <v>216</v>
      </c>
      <c r="B26" s="175" t="s">
        <v>217</v>
      </c>
      <c r="C26" s="266" t="s">
        <v>94</v>
      </c>
      <c r="D26" s="141">
        <v>2020</v>
      </c>
      <c r="E26" s="178">
        <f>F26+G26+H26+I26</f>
        <v>120</v>
      </c>
      <c r="F26" s="178">
        <f>300-180</f>
        <v>120</v>
      </c>
      <c r="G26" s="178">
        <v>0</v>
      </c>
      <c r="H26" s="178">
        <v>0</v>
      </c>
      <c r="I26" s="178">
        <v>0</v>
      </c>
      <c r="J26" s="178">
        <f>K26+L26+M26+N26</f>
        <v>0</v>
      </c>
      <c r="K26" s="178">
        <v>0</v>
      </c>
      <c r="L26" s="178">
        <v>0</v>
      </c>
      <c r="M26" s="142">
        <v>0</v>
      </c>
      <c r="N26" s="142">
        <v>0</v>
      </c>
      <c r="O26" s="142">
        <f t="shared" si="3"/>
        <v>0</v>
      </c>
      <c r="P26" s="142">
        <v>0</v>
      </c>
      <c r="Q26" s="142">
        <v>0</v>
      </c>
      <c r="R26" s="142">
        <v>0</v>
      </c>
      <c r="S26" s="142">
        <v>0</v>
      </c>
      <c r="T26" s="142">
        <f t="shared" si="4"/>
        <v>0</v>
      </c>
      <c r="U26" s="142">
        <v>0</v>
      </c>
      <c r="V26" s="142">
        <v>0</v>
      </c>
      <c r="W26" s="142">
        <v>0</v>
      </c>
      <c r="X26" s="142">
        <v>0</v>
      </c>
      <c r="Y26" s="142">
        <f>Z26+AA26+AB26+AC26</f>
        <v>0</v>
      </c>
      <c r="Z26" s="142">
        <v>0</v>
      </c>
      <c r="AA26" s="142">
        <v>0</v>
      </c>
      <c r="AB26" s="142">
        <v>0</v>
      </c>
      <c r="AC26" s="142">
        <v>0</v>
      </c>
      <c r="AD26" s="142">
        <f t="shared" si="5"/>
        <v>120</v>
      </c>
    </row>
    <row r="27" spans="1:31" ht="23.25">
      <c r="A27" s="575" t="s">
        <v>19</v>
      </c>
      <c r="B27" s="575"/>
      <c r="C27" s="575"/>
      <c r="D27" s="206"/>
      <c r="E27" s="148">
        <f>E28+E29+E30</f>
        <v>76431.37</v>
      </c>
      <c r="F27" s="148">
        <f>SUM(F13:F26)</f>
        <v>50955.7</v>
      </c>
      <c r="G27" s="148">
        <f>G28+G29+G30</f>
        <v>23306</v>
      </c>
      <c r="H27" s="148">
        <f>SUM(H13:H17)</f>
        <v>0</v>
      </c>
      <c r="I27" s="148">
        <f>SUM(I13:I17)</f>
        <v>2169.67</v>
      </c>
      <c r="J27" s="148">
        <f>J28+J29+J30</f>
        <v>77213</v>
      </c>
      <c r="K27" s="148">
        <f>K28+K29</f>
        <v>52995</v>
      </c>
      <c r="L27" s="148">
        <f>L13+L14+L15+L16+L17+L18+L19+L20+L21+L22+L23+L24+L25+L26</f>
        <v>24218</v>
      </c>
      <c r="M27" s="148">
        <f>SUM(M13:M17)</f>
        <v>0</v>
      </c>
      <c r="N27" s="148">
        <f>SUM(N13:N17)</f>
        <v>0</v>
      </c>
      <c r="O27" s="258">
        <f>O24+O25</f>
        <v>24218</v>
      </c>
      <c r="P27" s="148">
        <f>P28+P29</f>
        <v>0</v>
      </c>
      <c r="Q27" s="258">
        <f>Q28+Q29+Q30</f>
        <v>24218</v>
      </c>
      <c r="R27" s="148">
        <f>SUM(R13:R17)</f>
        <v>0</v>
      </c>
      <c r="S27" s="148">
        <f>SUM(S13:S17)</f>
        <v>0</v>
      </c>
      <c r="T27" s="258">
        <f>SUM(T13:T26)</f>
        <v>24218</v>
      </c>
      <c r="U27" s="148">
        <f>SUM(U13:U26)</f>
        <v>0</v>
      </c>
      <c r="V27" s="258">
        <f>V28+V29+V30</f>
        <v>24218</v>
      </c>
      <c r="W27" s="148">
        <f>SUM(W13:W16)</f>
        <v>0</v>
      </c>
      <c r="X27" s="148">
        <f>SUM(X13:X16)</f>
        <v>0</v>
      </c>
      <c r="Y27" s="148">
        <f>Y28+Y29</f>
        <v>54395.3</v>
      </c>
      <c r="Z27" s="148">
        <f>Z28+Z29+Z30</f>
        <v>54395.3</v>
      </c>
      <c r="AA27" s="148">
        <f>SUM(AA13:AA17)</f>
        <v>0</v>
      </c>
      <c r="AB27" s="148">
        <f>SUM(AB13:AB17)</f>
        <v>0</v>
      </c>
      <c r="AC27" s="148">
        <f>SUM(AC13:AC17)</f>
        <v>0</v>
      </c>
      <c r="AD27" s="148">
        <f>AD28+AD29+AD30</f>
        <v>256475.66999999998</v>
      </c>
    </row>
    <row r="28" spans="1:31" ht="23.25">
      <c r="A28" s="259" t="s">
        <v>14</v>
      </c>
      <c r="B28" s="260"/>
      <c r="C28" s="261"/>
      <c r="D28" s="157"/>
      <c r="E28" s="142">
        <f>F28+G28+H28+I28</f>
        <v>36295.369999999995</v>
      </c>
      <c r="F28" s="142">
        <f>F13+F14+F16</f>
        <v>34125.699999999997</v>
      </c>
      <c r="G28" s="142">
        <f>G13+G14+G16</f>
        <v>0</v>
      </c>
      <c r="H28" s="142">
        <f>G13+G14+G16</f>
        <v>0</v>
      </c>
      <c r="I28" s="142">
        <f>I14+I16</f>
        <v>2169.67</v>
      </c>
      <c r="J28" s="142">
        <f t="shared" ref="J28:V28" si="6">J13+J14+J16</f>
        <v>35500</v>
      </c>
      <c r="K28" s="142">
        <f t="shared" si="6"/>
        <v>35500</v>
      </c>
      <c r="L28" s="142">
        <f t="shared" si="6"/>
        <v>0</v>
      </c>
      <c r="M28" s="142">
        <f t="shared" si="6"/>
        <v>0</v>
      </c>
      <c r="N28" s="142">
        <f t="shared" si="6"/>
        <v>0</v>
      </c>
      <c r="O28" s="142">
        <f t="shared" si="6"/>
        <v>0</v>
      </c>
      <c r="P28" s="142">
        <f t="shared" si="6"/>
        <v>0</v>
      </c>
      <c r="Q28" s="142">
        <f t="shared" si="6"/>
        <v>0</v>
      </c>
      <c r="R28" s="142">
        <f t="shared" si="6"/>
        <v>0</v>
      </c>
      <c r="S28" s="142">
        <f t="shared" si="6"/>
        <v>0</v>
      </c>
      <c r="T28" s="142">
        <f t="shared" si="6"/>
        <v>0</v>
      </c>
      <c r="U28" s="142">
        <f t="shared" si="6"/>
        <v>0</v>
      </c>
      <c r="V28" s="142">
        <f t="shared" si="6"/>
        <v>0</v>
      </c>
      <c r="W28" s="142">
        <f>W13+W14+W16</f>
        <v>0</v>
      </c>
      <c r="X28" s="142">
        <f t="shared" ref="X28:AC28" si="7">X13+X14+X16</f>
        <v>0</v>
      </c>
      <c r="Y28" s="142">
        <f t="shared" si="7"/>
        <v>35500</v>
      </c>
      <c r="Z28" s="142">
        <f>Z13+Z14+Z16</f>
        <v>35500</v>
      </c>
      <c r="AA28" s="142">
        <f t="shared" si="7"/>
        <v>0</v>
      </c>
      <c r="AB28" s="142">
        <f t="shared" si="7"/>
        <v>0</v>
      </c>
      <c r="AC28" s="142">
        <f t="shared" si="7"/>
        <v>0</v>
      </c>
      <c r="AD28" s="142">
        <f>E28+J28+O28+T28+Y28</f>
        <v>107295.37</v>
      </c>
    </row>
    <row r="29" spans="1:31" ht="23.25">
      <c r="A29" s="259" t="s">
        <v>135</v>
      </c>
      <c r="B29" s="207"/>
      <c r="C29" s="208"/>
      <c r="D29" s="157"/>
      <c r="E29" s="142">
        <f>E15+E17+E18+E19+E20+E21+E22+E23+E26</f>
        <v>16830</v>
      </c>
      <c r="F29" s="142">
        <f>F15+F17+F18+F19+F20+F21+F22+F23+F26</f>
        <v>16830</v>
      </c>
      <c r="G29" s="142">
        <f>G15+G16</f>
        <v>0</v>
      </c>
      <c r="H29" s="142">
        <f>H15+H17+H18+H19+H20+H21+H22+H23+H26</f>
        <v>0</v>
      </c>
      <c r="I29" s="142">
        <f>I15+I17+I17+I18+I19+I20+I21+I22+I23+I26</f>
        <v>0</v>
      </c>
      <c r="J29" s="142">
        <f>J15+J17+J18+J19+J20+J21+J22+J23+J26</f>
        <v>17495</v>
      </c>
      <c r="K29" s="142">
        <f>K15+K17+K18+K19+K20+K21+K22+K23+K26</f>
        <v>17495</v>
      </c>
      <c r="L29" s="142">
        <f>L15+L17+L18+L19+L20+L21+L22+L23+L26</f>
        <v>0</v>
      </c>
      <c r="M29" s="142">
        <f>M24+M25</f>
        <v>0</v>
      </c>
      <c r="N29" s="142">
        <f>N24+N25</f>
        <v>0</v>
      </c>
      <c r="O29" s="142">
        <f>O26+O23+O13+O22+O21+O20+O19+O18+O17+O16+O15</f>
        <v>0</v>
      </c>
      <c r="P29" s="142">
        <f t="shared" ref="P29:AC29" si="8">P15+P17+P18+P19+P20+P21+P22+P23+P26</f>
        <v>0</v>
      </c>
      <c r="Q29" s="142">
        <f t="shared" si="8"/>
        <v>0</v>
      </c>
      <c r="R29" s="142">
        <f t="shared" si="8"/>
        <v>0</v>
      </c>
      <c r="S29" s="142">
        <f t="shared" si="8"/>
        <v>0</v>
      </c>
      <c r="T29" s="142">
        <f t="shared" si="8"/>
        <v>0</v>
      </c>
      <c r="U29" s="142">
        <f>U15+U17+U18+U19+U20+U21+U22+U23+U26</f>
        <v>0</v>
      </c>
      <c r="V29" s="142">
        <f t="shared" si="8"/>
        <v>0</v>
      </c>
      <c r="W29" s="142">
        <f t="shared" si="8"/>
        <v>0</v>
      </c>
      <c r="X29" s="142">
        <f t="shared" si="8"/>
        <v>0</v>
      </c>
      <c r="Y29" s="142">
        <f t="shared" si="8"/>
        <v>18895.3</v>
      </c>
      <c r="Z29" s="142">
        <f>Z15+Z17+Z18+Z19+Z20+Z21+Z22+Z23+Z26</f>
        <v>18895.3</v>
      </c>
      <c r="AA29" s="142">
        <f t="shared" si="8"/>
        <v>0</v>
      </c>
      <c r="AB29" s="142">
        <f t="shared" si="8"/>
        <v>0</v>
      </c>
      <c r="AC29" s="142">
        <f t="shared" si="8"/>
        <v>0</v>
      </c>
      <c r="AD29" s="142">
        <f>E29+J29+O29+T29+Y29</f>
        <v>53220.3</v>
      </c>
      <c r="AE29" s="209"/>
    </row>
    <row r="30" spans="1:31" ht="23.25">
      <c r="A30" s="260" t="s">
        <v>73</v>
      </c>
      <c r="B30" s="261"/>
      <c r="C30" s="261"/>
      <c r="D30" s="210"/>
      <c r="E30" s="142">
        <f t="shared" ref="E30:S30" si="9">E24+E25</f>
        <v>23306</v>
      </c>
      <c r="F30" s="142">
        <f t="shared" si="9"/>
        <v>0</v>
      </c>
      <c r="G30" s="142">
        <f t="shared" si="9"/>
        <v>23306</v>
      </c>
      <c r="H30" s="142">
        <f t="shared" si="9"/>
        <v>0</v>
      </c>
      <c r="I30" s="142">
        <f t="shared" si="9"/>
        <v>0</v>
      </c>
      <c r="J30" s="142">
        <f t="shared" si="9"/>
        <v>24218</v>
      </c>
      <c r="K30" s="142">
        <f t="shared" si="9"/>
        <v>0</v>
      </c>
      <c r="L30" s="142">
        <f t="shared" si="9"/>
        <v>24218</v>
      </c>
      <c r="M30" s="142">
        <f t="shared" si="9"/>
        <v>0</v>
      </c>
      <c r="N30" s="142">
        <f t="shared" si="9"/>
        <v>0</v>
      </c>
      <c r="O30" s="136">
        <f t="shared" si="9"/>
        <v>24218</v>
      </c>
      <c r="P30" s="142">
        <f t="shared" si="9"/>
        <v>0</v>
      </c>
      <c r="Q30" s="136">
        <f>Q24+Q25</f>
        <v>24218</v>
      </c>
      <c r="R30" s="142">
        <f t="shared" si="9"/>
        <v>0</v>
      </c>
      <c r="S30" s="142">
        <f t="shared" si="9"/>
        <v>0</v>
      </c>
      <c r="T30" s="136">
        <f>T24+T25</f>
        <v>24218</v>
      </c>
      <c r="U30" s="142">
        <f>U25+U24</f>
        <v>0</v>
      </c>
      <c r="V30" s="136">
        <f>V24+V25</f>
        <v>24218</v>
      </c>
      <c r="W30" s="142">
        <f t="shared" ref="W30:AC30" si="10">W24+W25</f>
        <v>0</v>
      </c>
      <c r="X30" s="142">
        <f t="shared" si="10"/>
        <v>0</v>
      </c>
      <c r="Y30" s="142">
        <f t="shared" si="10"/>
        <v>0</v>
      </c>
      <c r="Z30" s="142">
        <f t="shared" si="10"/>
        <v>0</v>
      </c>
      <c r="AA30" s="142">
        <f t="shared" si="10"/>
        <v>0</v>
      </c>
      <c r="AB30" s="142">
        <f t="shared" si="10"/>
        <v>0</v>
      </c>
      <c r="AC30" s="142">
        <f t="shared" si="10"/>
        <v>0</v>
      </c>
      <c r="AD30" s="142">
        <f>E30+J30+O30+T30+Y30</f>
        <v>95960</v>
      </c>
      <c r="AE30" s="209"/>
    </row>
    <row r="31" spans="1:31" ht="23.25">
      <c r="A31" s="41" t="s">
        <v>222</v>
      </c>
      <c r="B31" s="628" t="s">
        <v>276</v>
      </c>
      <c r="C31" s="629"/>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4"/>
    </row>
    <row r="32" spans="1:31" ht="139.5">
      <c r="A32" s="155" t="s">
        <v>21</v>
      </c>
      <c r="B32" s="185" t="s">
        <v>192</v>
      </c>
      <c r="C32" s="41" t="s">
        <v>94</v>
      </c>
      <c r="D32" s="41" t="s">
        <v>93</v>
      </c>
      <c r="E32" s="142">
        <f>F32+G32+H32+I32</f>
        <v>1892</v>
      </c>
      <c r="F32" s="142">
        <f>2664-772</f>
        <v>1892</v>
      </c>
      <c r="G32" s="142">
        <v>0</v>
      </c>
      <c r="H32" s="142">
        <v>0</v>
      </c>
      <c r="I32" s="142">
        <v>0</v>
      </c>
      <c r="J32" s="142">
        <f>K32+L32+M32+N32</f>
        <v>1892</v>
      </c>
      <c r="K32" s="142">
        <f>1892</f>
        <v>1892</v>
      </c>
      <c r="L32" s="142">
        <v>0</v>
      </c>
      <c r="M32" s="142">
        <v>0</v>
      </c>
      <c r="N32" s="142">
        <v>0</v>
      </c>
      <c r="O32" s="142">
        <f>P32+Q32+R32+S32</f>
        <v>0</v>
      </c>
      <c r="P32" s="142">
        <v>0</v>
      </c>
      <c r="Q32" s="142">
        <v>0</v>
      </c>
      <c r="R32" s="142">
        <v>0</v>
      </c>
      <c r="S32" s="142">
        <v>0</v>
      </c>
      <c r="T32" s="142">
        <f>U32+V32+W32+X32</f>
        <v>0</v>
      </c>
      <c r="U32" s="142">
        <v>0</v>
      </c>
      <c r="V32" s="142">
        <v>0</v>
      </c>
      <c r="W32" s="142">
        <v>0</v>
      </c>
      <c r="X32" s="142">
        <v>0</v>
      </c>
      <c r="Y32" s="142">
        <f>Z32+AA32+AB32+AC32</f>
        <v>2664</v>
      </c>
      <c r="Z32" s="142">
        <v>2664</v>
      </c>
      <c r="AA32" s="142">
        <v>0</v>
      </c>
      <c r="AB32" s="142">
        <v>0</v>
      </c>
      <c r="AC32" s="142">
        <v>0</v>
      </c>
      <c r="AD32" s="142">
        <f>E32+J32+O32+T32+Y32</f>
        <v>6448</v>
      </c>
    </row>
    <row r="33" spans="1:31" ht="20.25">
      <c r="A33" s="602" t="s">
        <v>22</v>
      </c>
      <c r="B33" s="603"/>
      <c r="C33" s="604"/>
      <c r="D33" s="278"/>
      <c r="E33" s="148">
        <f>E32</f>
        <v>1892</v>
      </c>
      <c r="F33" s="148">
        <f>SUM(F32)</f>
        <v>1892</v>
      </c>
      <c r="G33" s="148">
        <f t="shared" ref="G33:AD33" si="11">SUM(G32:G32)</f>
        <v>0</v>
      </c>
      <c r="H33" s="148">
        <f t="shared" si="11"/>
        <v>0</v>
      </c>
      <c r="I33" s="148">
        <f t="shared" si="11"/>
        <v>0</v>
      </c>
      <c r="J33" s="148">
        <f>J32</f>
        <v>1892</v>
      </c>
      <c r="K33" s="148">
        <f t="shared" si="11"/>
        <v>1892</v>
      </c>
      <c r="L33" s="148">
        <f t="shared" si="11"/>
        <v>0</v>
      </c>
      <c r="M33" s="148">
        <f t="shared" si="11"/>
        <v>0</v>
      </c>
      <c r="N33" s="148">
        <f t="shared" si="11"/>
        <v>0</v>
      </c>
      <c r="O33" s="148">
        <f t="shared" si="11"/>
        <v>0</v>
      </c>
      <c r="P33" s="148">
        <f t="shared" si="11"/>
        <v>0</v>
      </c>
      <c r="Q33" s="148">
        <f t="shared" si="11"/>
        <v>0</v>
      </c>
      <c r="R33" s="148">
        <f t="shared" si="11"/>
        <v>0</v>
      </c>
      <c r="S33" s="148">
        <f t="shared" si="11"/>
        <v>0</v>
      </c>
      <c r="T33" s="148">
        <f t="shared" si="11"/>
        <v>0</v>
      </c>
      <c r="U33" s="148">
        <f t="shared" si="11"/>
        <v>0</v>
      </c>
      <c r="V33" s="148">
        <f t="shared" si="11"/>
        <v>0</v>
      </c>
      <c r="W33" s="148">
        <f t="shared" si="11"/>
        <v>0</v>
      </c>
      <c r="X33" s="148">
        <f t="shared" si="11"/>
        <v>0</v>
      </c>
      <c r="Y33" s="148">
        <f t="shared" si="11"/>
        <v>2664</v>
      </c>
      <c r="Z33" s="148">
        <f t="shared" si="11"/>
        <v>2664</v>
      </c>
      <c r="AA33" s="148">
        <f t="shared" si="11"/>
        <v>0</v>
      </c>
      <c r="AB33" s="148">
        <f t="shared" si="11"/>
        <v>0</v>
      </c>
      <c r="AC33" s="148">
        <f t="shared" si="11"/>
        <v>0</v>
      </c>
      <c r="AD33" s="148">
        <f t="shared" si="11"/>
        <v>6448</v>
      </c>
    </row>
    <row r="34" spans="1:31" ht="20.25">
      <c r="A34" s="41" t="s">
        <v>229</v>
      </c>
      <c r="B34" s="605" t="s">
        <v>277</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7"/>
    </row>
    <row r="35" spans="1:31" ht="93.75">
      <c r="A35" s="155" t="s">
        <v>24</v>
      </c>
      <c r="B35" s="185" t="s">
        <v>288</v>
      </c>
      <c r="C35" s="205" t="s">
        <v>94</v>
      </c>
      <c r="D35" s="41" t="s">
        <v>93</v>
      </c>
      <c r="E35" s="142">
        <f>F35+G35+H35+I35</f>
        <v>2949</v>
      </c>
      <c r="F35" s="142">
        <v>2949</v>
      </c>
      <c r="G35" s="142">
        <v>0</v>
      </c>
      <c r="H35" s="142">
        <v>0</v>
      </c>
      <c r="I35" s="142">
        <v>0</v>
      </c>
      <c r="J35" s="142">
        <f>K35+L35+M35+N35</f>
        <v>1775</v>
      </c>
      <c r="K35" s="142">
        <f>1775</f>
        <v>1775</v>
      </c>
      <c r="L35" s="142">
        <v>0</v>
      </c>
      <c r="M35" s="142">
        <v>0</v>
      </c>
      <c r="N35" s="142">
        <v>0</v>
      </c>
      <c r="O35" s="142">
        <f xml:space="preserve"> SUM(P35:S35)</f>
        <v>0</v>
      </c>
      <c r="P35" s="142">
        <v>0</v>
      </c>
      <c r="Q35" s="142">
        <f>SUM(Q36,Q37,Q38,Q39)</f>
        <v>0</v>
      </c>
      <c r="R35" s="142">
        <f>SUM(R36,R37,R38,R39)</f>
        <v>0</v>
      </c>
      <c r="S35" s="142">
        <f>SUM(S36,S37,S38,S39)</f>
        <v>0</v>
      </c>
      <c r="T35" s="142">
        <f xml:space="preserve"> SUM(U35:X35)</f>
        <v>0</v>
      </c>
      <c r="U35" s="142">
        <v>0</v>
      </c>
      <c r="V35" s="142">
        <f>SUM(V36,V37,V38,V39)</f>
        <v>0</v>
      </c>
      <c r="W35" s="142">
        <f>SUM(W36,W37,W38,W39)</f>
        <v>0</v>
      </c>
      <c r="X35" s="142">
        <f>SUM(X36,X37,X38,X39)</f>
        <v>0</v>
      </c>
      <c r="Y35" s="142">
        <f xml:space="preserve"> SUM(Z35:AC35)</f>
        <v>3306</v>
      </c>
      <c r="Z35" s="142">
        <v>3306</v>
      </c>
      <c r="AA35" s="142">
        <f>SUM(AA36,AA37,AA38,AA39)</f>
        <v>0</v>
      </c>
      <c r="AB35" s="142">
        <f>SUM(AB36,AB37,AB38,AB39)</f>
        <v>0</v>
      </c>
      <c r="AC35" s="142">
        <f>SUM(AC36,AC37,AC38,AC39)</f>
        <v>0</v>
      </c>
      <c r="AD35" s="142">
        <f>E35+J35+O35+T35+Y35</f>
        <v>8030</v>
      </c>
    </row>
    <row r="36" spans="1:31" ht="209.25">
      <c r="A36" s="155" t="s">
        <v>151</v>
      </c>
      <c r="B36" s="175" t="s">
        <v>76</v>
      </c>
      <c r="C36" s="205" t="s">
        <v>94</v>
      </c>
      <c r="D36" s="41" t="s">
        <v>93</v>
      </c>
      <c r="E36" s="142">
        <f t="shared" ref="E36:E46" si="12">F36+G36+H36+I36</f>
        <v>9</v>
      </c>
      <c r="F36" s="142">
        <v>9</v>
      </c>
      <c r="G36" s="142">
        <v>0</v>
      </c>
      <c r="H36" s="142">
        <v>0</v>
      </c>
      <c r="I36" s="142">
        <v>0</v>
      </c>
      <c r="J36" s="142">
        <f t="shared" ref="J36:J46" si="13">K36+L36+M36+N36</f>
        <v>9</v>
      </c>
      <c r="K36" s="142">
        <v>9</v>
      </c>
      <c r="L36" s="142">
        <v>0</v>
      </c>
      <c r="M36" s="142">
        <v>0</v>
      </c>
      <c r="N36" s="142">
        <v>0</v>
      </c>
      <c r="O36" s="142">
        <f t="shared" ref="O36:O46" si="14">P36+Q36+R36+S36</f>
        <v>0</v>
      </c>
      <c r="P36" s="142">
        <v>0</v>
      </c>
      <c r="Q36" s="142">
        <v>0</v>
      </c>
      <c r="R36" s="142">
        <v>0</v>
      </c>
      <c r="S36" s="142">
        <v>0</v>
      </c>
      <c r="T36" s="142">
        <f t="shared" ref="T36:T46" si="15">U36+V36+W36+X36</f>
        <v>0</v>
      </c>
      <c r="U36" s="142">
        <v>0</v>
      </c>
      <c r="V36" s="142">
        <v>0</v>
      </c>
      <c r="W36" s="142">
        <v>0</v>
      </c>
      <c r="X36" s="142">
        <v>0</v>
      </c>
      <c r="Y36" s="142">
        <f t="shared" ref="Y36:Y46" si="16">Z36+AA36+AB36+AC36</f>
        <v>9</v>
      </c>
      <c r="Z36" s="142">
        <v>9</v>
      </c>
      <c r="AA36" s="142">
        <v>0</v>
      </c>
      <c r="AB36" s="142">
        <v>0</v>
      </c>
      <c r="AC36" s="142">
        <v>0</v>
      </c>
      <c r="AD36" s="142">
        <f t="shared" ref="AD36:AD48" si="17">E36+J36+O36+T36+Y36</f>
        <v>27</v>
      </c>
    </row>
    <row r="37" spans="1:31" ht="93.75">
      <c r="A37" s="155" t="s">
        <v>235</v>
      </c>
      <c r="B37" s="175" t="s">
        <v>71</v>
      </c>
      <c r="C37" s="41" t="s">
        <v>94</v>
      </c>
      <c r="D37" s="41" t="s">
        <v>168</v>
      </c>
      <c r="E37" s="142">
        <f t="shared" si="12"/>
        <v>426</v>
      </c>
      <c r="F37" s="142">
        <v>426</v>
      </c>
      <c r="G37" s="142">
        <v>0</v>
      </c>
      <c r="H37" s="142">
        <v>0</v>
      </c>
      <c r="I37" s="142">
        <v>0</v>
      </c>
      <c r="J37" s="142">
        <f t="shared" si="13"/>
        <v>0</v>
      </c>
      <c r="K37" s="142">
        <v>0</v>
      </c>
      <c r="L37" s="142">
        <v>0</v>
      </c>
      <c r="M37" s="142">
        <v>0</v>
      </c>
      <c r="N37" s="142">
        <v>0</v>
      </c>
      <c r="O37" s="142">
        <f t="shared" si="14"/>
        <v>0</v>
      </c>
      <c r="P37" s="142">
        <v>0</v>
      </c>
      <c r="Q37" s="142">
        <v>0</v>
      </c>
      <c r="R37" s="142">
        <v>0</v>
      </c>
      <c r="S37" s="142">
        <v>0</v>
      </c>
      <c r="T37" s="142">
        <f t="shared" si="15"/>
        <v>0</v>
      </c>
      <c r="U37" s="142">
        <v>0</v>
      </c>
      <c r="V37" s="142">
        <v>0</v>
      </c>
      <c r="W37" s="142">
        <v>0</v>
      </c>
      <c r="X37" s="142">
        <v>0</v>
      </c>
      <c r="Y37" s="142">
        <f t="shared" si="16"/>
        <v>0</v>
      </c>
      <c r="Z37" s="142">
        <v>0</v>
      </c>
      <c r="AA37" s="142">
        <v>0</v>
      </c>
      <c r="AB37" s="142">
        <v>0</v>
      </c>
      <c r="AC37" s="142">
        <v>0</v>
      </c>
      <c r="AD37" s="142">
        <f>E37+J37+O37+T37+Y37</f>
        <v>426</v>
      </c>
    </row>
    <row r="38" spans="1:31" ht="46.5">
      <c r="A38" s="155" t="s">
        <v>236</v>
      </c>
      <c r="B38" s="175" t="s">
        <v>110</v>
      </c>
      <c r="C38" s="608" t="s">
        <v>105</v>
      </c>
      <c r="D38" s="41" t="s">
        <v>93</v>
      </c>
      <c r="E38" s="142">
        <f t="shared" si="12"/>
        <v>3304</v>
      </c>
      <c r="F38" s="142">
        <v>3304</v>
      </c>
      <c r="G38" s="142">
        <v>0</v>
      </c>
      <c r="H38" s="142">
        <v>0</v>
      </c>
      <c r="I38" s="142">
        <v>0</v>
      </c>
      <c r="J38" s="142">
        <f t="shared" si="13"/>
        <v>3304</v>
      </c>
      <c r="K38" s="142">
        <v>3304</v>
      </c>
      <c r="L38" s="142">
        <v>0</v>
      </c>
      <c r="M38" s="142">
        <v>0</v>
      </c>
      <c r="N38" s="142">
        <v>0</v>
      </c>
      <c r="O38" s="142">
        <f t="shared" si="14"/>
        <v>0</v>
      </c>
      <c r="P38" s="142">
        <v>0</v>
      </c>
      <c r="Q38" s="142">
        <v>0</v>
      </c>
      <c r="R38" s="142">
        <v>0</v>
      </c>
      <c r="S38" s="142">
        <v>0</v>
      </c>
      <c r="T38" s="142">
        <f t="shared" si="15"/>
        <v>0</v>
      </c>
      <c r="U38" s="142">
        <v>0</v>
      </c>
      <c r="V38" s="142">
        <v>0</v>
      </c>
      <c r="W38" s="142">
        <v>0</v>
      </c>
      <c r="X38" s="142">
        <v>0</v>
      </c>
      <c r="Y38" s="142">
        <f t="shared" si="16"/>
        <v>3304</v>
      </c>
      <c r="Z38" s="142">
        <v>3304</v>
      </c>
      <c r="AA38" s="142">
        <v>0</v>
      </c>
      <c r="AB38" s="142">
        <v>0</v>
      </c>
      <c r="AC38" s="142">
        <v>0</v>
      </c>
      <c r="AD38" s="142">
        <f>E38+J38+O38+T38+Y38</f>
        <v>9912</v>
      </c>
    </row>
    <row r="39" spans="1:31" ht="116.25">
      <c r="A39" s="155" t="s">
        <v>237</v>
      </c>
      <c r="B39" s="175" t="s">
        <v>191</v>
      </c>
      <c r="C39" s="609"/>
      <c r="D39" s="41" t="s">
        <v>283</v>
      </c>
      <c r="E39" s="142">
        <f t="shared" si="12"/>
        <v>378</v>
      </c>
      <c r="F39" s="142">
        <v>378</v>
      </c>
      <c r="G39" s="142">
        <v>0</v>
      </c>
      <c r="H39" s="142">
        <v>0</v>
      </c>
      <c r="I39" s="142">
        <v>0</v>
      </c>
      <c r="J39" s="142">
        <f t="shared" si="13"/>
        <v>324</v>
      </c>
      <c r="K39" s="142">
        <v>324</v>
      </c>
      <c r="L39" s="142">
        <v>0</v>
      </c>
      <c r="M39" s="142">
        <v>0</v>
      </c>
      <c r="N39" s="142">
        <v>0</v>
      </c>
      <c r="O39" s="142">
        <f t="shared" si="14"/>
        <v>0</v>
      </c>
      <c r="P39" s="142">
        <v>0</v>
      </c>
      <c r="Q39" s="142">
        <v>0</v>
      </c>
      <c r="R39" s="142">
        <v>0</v>
      </c>
      <c r="S39" s="142">
        <v>0</v>
      </c>
      <c r="T39" s="142">
        <f t="shared" si="15"/>
        <v>0</v>
      </c>
      <c r="U39" s="142">
        <v>0</v>
      </c>
      <c r="V39" s="142">
        <v>0</v>
      </c>
      <c r="W39" s="142">
        <v>0</v>
      </c>
      <c r="X39" s="142">
        <v>0</v>
      </c>
      <c r="Y39" s="142">
        <f t="shared" si="16"/>
        <v>378</v>
      </c>
      <c r="Z39" s="142">
        <v>378</v>
      </c>
      <c r="AA39" s="142">
        <v>0</v>
      </c>
      <c r="AB39" s="142">
        <v>0</v>
      </c>
      <c r="AC39" s="142">
        <v>0</v>
      </c>
      <c r="AD39" s="142">
        <f>E39+J39+O39+T39+Y39</f>
        <v>1080</v>
      </c>
    </row>
    <row r="40" spans="1:31" ht="116.25">
      <c r="A40" s="155" t="s">
        <v>238</v>
      </c>
      <c r="B40" s="175" t="s">
        <v>77</v>
      </c>
      <c r="C40" s="205" t="s">
        <v>94</v>
      </c>
      <c r="D40" s="41" t="s">
        <v>93</v>
      </c>
      <c r="E40" s="142">
        <f t="shared" si="12"/>
        <v>12</v>
      </c>
      <c r="F40" s="142">
        <v>12</v>
      </c>
      <c r="G40" s="142">
        <v>0</v>
      </c>
      <c r="H40" s="142">
        <v>0</v>
      </c>
      <c r="I40" s="142">
        <v>0</v>
      </c>
      <c r="J40" s="142">
        <f t="shared" si="13"/>
        <v>12</v>
      </c>
      <c r="K40" s="142">
        <v>12</v>
      </c>
      <c r="L40" s="142">
        <v>0</v>
      </c>
      <c r="M40" s="142">
        <v>0</v>
      </c>
      <c r="N40" s="142">
        <v>0</v>
      </c>
      <c r="O40" s="142">
        <f t="shared" si="14"/>
        <v>0</v>
      </c>
      <c r="P40" s="142">
        <v>0</v>
      </c>
      <c r="Q40" s="142">
        <v>0</v>
      </c>
      <c r="R40" s="142">
        <v>0</v>
      </c>
      <c r="S40" s="142">
        <v>0</v>
      </c>
      <c r="T40" s="142">
        <f t="shared" si="15"/>
        <v>0</v>
      </c>
      <c r="U40" s="142">
        <v>0</v>
      </c>
      <c r="V40" s="142">
        <v>0</v>
      </c>
      <c r="W40" s="142">
        <v>0</v>
      </c>
      <c r="X40" s="142">
        <v>0</v>
      </c>
      <c r="Y40" s="142">
        <f t="shared" si="16"/>
        <v>12</v>
      </c>
      <c r="Z40" s="142">
        <v>12</v>
      </c>
      <c r="AA40" s="142">
        <v>0</v>
      </c>
      <c r="AB40" s="142">
        <v>0</v>
      </c>
      <c r="AC40" s="142">
        <v>0</v>
      </c>
      <c r="AD40" s="142">
        <f t="shared" si="17"/>
        <v>36</v>
      </c>
    </row>
    <row r="41" spans="1:31" ht="116.25">
      <c r="A41" s="155" t="s">
        <v>239</v>
      </c>
      <c r="B41" s="175" t="s">
        <v>265</v>
      </c>
      <c r="C41" s="610" t="s">
        <v>105</v>
      </c>
      <c r="D41" s="41" t="s">
        <v>168</v>
      </c>
      <c r="E41" s="142">
        <f t="shared" si="12"/>
        <v>50</v>
      </c>
      <c r="F41" s="142">
        <v>50</v>
      </c>
      <c r="G41" s="142">
        <v>0</v>
      </c>
      <c r="H41" s="142">
        <v>0</v>
      </c>
      <c r="I41" s="142">
        <v>0</v>
      </c>
      <c r="J41" s="142">
        <f t="shared" si="13"/>
        <v>0</v>
      </c>
      <c r="K41" s="142">
        <v>0</v>
      </c>
      <c r="L41" s="142">
        <v>0</v>
      </c>
      <c r="M41" s="142">
        <v>0</v>
      </c>
      <c r="N41" s="142">
        <v>0</v>
      </c>
      <c r="O41" s="142">
        <f t="shared" si="14"/>
        <v>0</v>
      </c>
      <c r="P41" s="142">
        <v>0</v>
      </c>
      <c r="Q41" s="142">
        <v>0</v>
      </c>
      <c r="R41" s="142">
        <v>0</v>
      </c>
      <c r="S41" s="142">
        <v>0</v>
      </c>
      <c r="T41" s="142">
        <f t="shared" si="15"/>
        <v>0</v>
      </c>
      <c r="U41" s="142">
        <v>0</v>
      </c>
      <c r="V41" s="142">
        <v>0</v>
      </c>
      <c r="W41" s="142">
        <v>0</v>
      </c>
      <c r="X41" s="142">
        <v>0</v>
      </c>
      <c r="Y41" s="142">
        <f t="shared" si="16"/>
        <v>0</v>
      </c>
      <c r="Z41" s="142">
        <v>0</v>
      </c>
      <c r="AA41" s="142">
        <v>0</v>
      </c>
      <c r="AB41" s="142">
        <v>0</v>
      </c>
      <c r="AC41" s="142">
        <v>0</v>
      </c>
      <c r="AD41" s="142">
        <f t="shared" si="17"/>
        <v>50</v>
      </c>
    </row>
    <row r="42" spans="1:31" ht="93">
      <c r="A42" s="155" t="s">
        <v>240</v>
      </c>
      <c r="B42" s="175" t="s">
        <v>111</v>
      </c>
      <c r="C42" s="611"/>
      <c r="D42" s="41" t="s">
        <v>168</v>
      </c>
      <c r="E42" s="142">
        <f t="shared" si="12"/>
        <v>50</v>
      </c>
      <c r="F42" s="142">
        <v>50</v>
      </c>
      <c r="G42" s="142">
        <v>0</v>
      </c>
      <c r="H42" s="142">
        <v>0</v>
      </c>
      <c r="I42" s="142">
        <v>0</v>
      </c>
      <c r="J42" s="142">
        <f t="shared" si="13"/>
        <v>50</v>
      </c>
      <c r="K42" s="142">
        <v>50</v>
      </c>
      <c r="L42" s="142">
        <v>0</v>
      </c>
      <c r="M42" s="142">
        <v>0</v>
      </c>
      <c r="N42" s="142">
        <v>0</v>
      </c>
      <c r="O42" s="142">
        <f t="shared" si="14"/>
        <v>0</v>
      </c>
      <c r="P42" s="142">
        <v>0</v>
      </c>
      <c r="Q42" s="142">
        <v>0</v>
      </c>
      <c r="R42" s="142">
        <v>0</v>
      </c>
      <c r="S42" s="142">
        <v>0</v>
      </c>
      <c r="T42" s="142">
        <f t="shared" si="15"/>
        <v>0</v>
      </c>
      <c r="U42" s="142">
        <v>0</v>
      </c>
      <c r="V42" s="142">
        <v>0</v>
      </c>
      <c r="W42" s="142">
        <v>0</v>
      </c>
      <c r="X42" s="142">
        <v>0</v>
      </c>
      <c r="Y42" s="142">
        <f t="shared" si="16"/>
        <v>0</v>
      </c>
      <c r="Z42" s="142">
        <v>0</v>
      </c>
      <c r="AA42" s="142">
        <v>0</v>
      </c>
      <c r="AB42" s="142">
        <v>0</v>
      </c>
      <c r="AC42" s="142">
        <v>0</v>
      </c>
      <c r="AD42" s="142">
        <f t="shared" si="17"/>
        <v>100</v>
      </c>
    </row>
    <row r="43" spans="1:31" ht="139.5">
      <c r="A43" s="155" t="s">
        <v>241</v>
      </c>
      <c r="B43" s="175" t="s">
        <v>112</v>
      </c>
      <c r="C43" s="611"/>
      <c r="D43" s="41" t="s">
        <v>93</v>
      </c>
      <c r="E43" s="142">
        <f t="shared" si="12"/>
        <v>810</v>
      </c>
      <c r="F43" s="142">
        <f>480+330</f>
        <v>810</v>
      </c>
      <c r="G43" s="142">
        <v>0</v>
      </c>
      <c r="H43" s="142">
        <v>0</v>
      </c>
      <c r="I43" s="142">
        <v>0</v>
      </c>
      <c r="J43" s="142">
        <f t="shared" si="13"/>
        <v>720</v>
      </c>
      <c r="K43" s="142">
        <v>720</v>
      </c>
      <c r="L43" s="142">
        <v>0</v>
      </c>
      <c r="M43" s="142">
        <v>0</v>
      </c>
      <c r="N43" s="142">
        <v>0</v>
      </c>
      <c r="O43" s="142">
        <f t="shared" si="14"/>
        <v>0</v>
      </c>
      <c r="P43" s="142">
        <v>0</v>
      </c>
      <c r="Q43" s="142">
        <v>0</v>
      </c>
      <c r="R43" s="142">
        <v>0</v>
      </c>
      <c r="S43" s="142">
        <v>0</v>
      </c>
      <c r="T43" s="142">
        <f t="shared" si="15"/>
        <v>0</v>
      </c>
      <c r="U43" s="142">
        <v>0</v>
      </c>
      <c r="V43" s="142">
        <v>0</v>
      </c>
      <c r="W43" s="142">
        <v>0</v>
      </c>
      <c r="X43" s="142">
        <v>0</v>
      </c>
      <c r="Y43" s="142">
        <f t="shared" si="16"/>
        <v>480</v>
      </c>
      <c r="Z43" s="142">
        <v>480</v>
      </c>
      <c r="AA43" s="142">
        <v>0</v>
      </c>
      <c r="AB43" s="142">
        <v>0</v>
      </c>
      <c r="AC43" s="142">
        <v>0</v>
      </c>
      <c r="AD43" s="142">
        <f>E43+J43+O43+T43+Y43</f>
        <v>2010</v>
      </c>
    </row>
    <row r="44" spans="1:31" ht="162.75">
      <c r="A44" s="211" t="s">
        <v>242</v>
      </c>
      <c r="B44" s="175" t="s">
        <v>113</v>
      </c>
      <c r="C44" s="611"/>
      <c r="D44" s="41" t="s">
        <v>168</v>
      </c>
      <c r="E44" s="142">
        <f t="shared" si="12"/>
        <v>30</v>
      </c>
      <c r="F44" s="142">
        <v>30</v>
      </c>
      <c r="G44" s="142">
        <v>0</v>
      </c>
      <c r="H44" s="142">
        <v>0</v>
      </c>
      <c r="I44" s="142">
        <v>0</v>
      </c>
      <c r="J44" s="142">
        <f t="shared" si="13"/>
        <v>10</v>
      </c>
      <c r="K44" s="142">
        <v>10</v>
      </c>
      <c r="L44" s="142">
        <v>0</v>
      </c>
      <c r="M44" s="142">
        <v>0</v>
      </c>
      <c r="N44" s="142">
        <v>0</v>
      </c>
      <c r="O44" s="142">
        <f t="shared" si="14"/>
        <v>0</v>
      </c>
      <c r="P44" s="142">
        <v>0</v>
      </c>
      <c r="Q44" s="142">
        <v>0</v>
      </c>
      <c r="R44" s="142">
        <v>0</v>
      </c>
      <c r="S44" s="142">
        <v>0</v>
      </c>
      <c r="T44" s="142">
        <f t="shared" si="15"/>
        <v>0</v>
      </c>
      <c r="U44" s="142">
        <v>0</v>
      </c>
      <c r="V44" s="142">
        <v>0</v>
      </c>
      <c r="W44" s="142">
        <v>0</v>
      </c>
      <c r="X44" s="142">
        <v>0</v>
      </c>
      <c r="Y44" s="142">
        <f t="shared" si="16"/>
        <v>0</v>
      </c>
      <c r="Z44" s="142">
        <v>0</v>
      </c>
      <c r="AA44" s="142">
        <v>0</v>
      </c>
      <c r="AB44" s="142">
        <v>0</v>
      </c>
      <c r="AC44" s="142">
        <v>0</v>
      </c>
      <c r="AD44" s="142">
        <f t="shared" si="17"/>
        <v>40</v>
      </c>
    </row>
    <row r="45" spans="1:31" ht="93">
      <c r="A45" s="155" t="s">
        <v>243</v>
      </c>
      <c r="B45" s="175" t="s">
        <v>114</v>
      </c>
      <c r="C45" s="612"/>
      <c r="D45" s="41" t="s">
        <v>168</v>
      </c>
      <c r="E45" s="142">
        <f t="shared" si="12"/>
        <v>50</v>
      </c>
      <c r="F45" s="142">
        <v>50</v>
      </c>
      <c r="G45" s="142">
        <v>0</v>
      </c>
      <c r="H45" s="142">
        <v>0</v>
      </c>
      <c r="I45" s="142">
        <v>0</v>
      </c>
      <c r="J45" s="142">
        <f t="shared" si="13"/>
        <v>50</v>
      </c>
      <c r="K45" s="142">
        <v>50</v>
      </c>
      <c r="L45" s="142">
        <v>0</v>
      </c>
      <c r="M45" s="142">
        <v>0</v>
      </c>
      <c r="N45" s="142">
        <v>0</v>
      </c>
      <c r="O45" s="142">
        <f t="shared" si="14"/>
        <v>0</v>
      </c>
      <c r="P45" s="142">
        <v>0</v>
      </c>
      <c r="Q45" s="142">
        <v>0</v>
      </c>
      <c r="R45" s="142">
        <v>0</v>
      </c>
      <c r="S45" s="142">
        <v>0</v>
      </c>
      <c r="T45" s="142">
        <f t="shared" si="15"/>
        <v>0</v>
      </c>
      <c r="U45" s="142">
        <v>0</v>
      </c>
      <c r="V45" s="142">
        <v>0</v>
      </c>
      <c r="W45" s="142">
        <v>0</v>
      </c>
      <c r="X45" s="142">
        <v>0</v>
      </c>
      <c r="Y45" s="142">
        <f t="shared" si="16"/>
        <v>0</v>
      </c>
      <c r="Z45" s="142">
        <v>0</v>
      </c>
      <c r="AA45" s="142">
        <v>0</v>
      </c>
      <c r="AB45" s="142">
        <v>0</v>
      </c>
      <c r="AC45" s="142">
        <v>0</v>
      </c>
      <c r="AD45" s="142">
        <f t="shared" si="17"/>
        <v>100</v>
      </c>
    </row>
    <row r="46" spans="1:31" ht="93.75">
      <c r="A46" s="155" t="s">
        <v>244</v>
      </c>
      <c r="B46" s="175" t="s">
        <v>78</v>
      </c>
      <c r="C46" s="41" t="s">
        <v>18</v>
      </c>
      <c r="D46" s="41" t="s">
        <v>93</v>
      </c>
      <c r="E46" s="142">
        <f t="shared" si="12"/>
        <v>96</v>
      </c>
      <c r="F46" s="142">
        <f>96</f>
        <v>96</v>
      </c>
      <c r="G46" s="142">
        <v>0</v>
      </c>
      <c r="H46" s="142">
        <v>0</v>
      </c>
      <c r="I46" s="142">
        <v>0</v>
      </c>
      <c r="J46" s="142">
        <f t="shared" si="13"/>
        <v>68</v>
      </c>
      <c r="K46" s="142">
        <f>68</f>
        <v>68</v>
      </c>
      <c r="L46" s="142">
        <v>0</v>
      </c>
      <c r="M46" s="142">
        <v>0</v>
      </c>
      <c r="N46" s="142">
        <v>0</v>
      </c>
      <c r="O46" s="142">
        <f t="shared" si="14"/>
        <v>0</v>
      </c>
      <c r="P46" s="142">
        <v>0</v>
      </c>
      <c r="Q46" s="142">
        <v>0</v>
      </c>
      <c r="R46" s="142">
        <v>0</v>
      </c>
      <c r="S46" s="142">
        <v>0</v>
      </c>
      <c r="T46" s="142">
        <f t="shared" si="15"/>
        <v>0</v>
      </c>
      <c r="U46" s="142">
        <v>0</v>
      </c>
      <c r="V46" s="142">
        <v>0</v>
      </c>
      <c r="W46" s="142">
        <v>0</v>
      </c>
      <c r="X46" s="142">
        <v>0</v>
      </c>
      <c r="Y46" s="142">
        <f t="shared" si="16"/>
        <v>96</v>
      </c>
      <c r="Z46" s="142">
        <v>96</v>
      </c>
      <c r="AA46" s="142">
        <v>0</v>
      </c>
      <c r="AB46" s="142">
        <v>0</v>
      </c>
      <c r="AC46" s="142">
        <v>0</v>
      </c>
      <c r="AD46" s="142">
        <f t="shared" si="17"/>
        <v>260</v>
      </c>
    </row>
    <row r="47" spans="1:31" ht="139.5">
      <c r="A47" s="155" t="s">
        <v>245</v>
      </c>
      <c r="B47" s="175" t="s">
        <v>145</v>
      </c>
      <c r="C47" s="41" t="s">
        <v>94</v>
      </c>
      <c r="D47" s="41" t="s">
        <v>93</v>
      </c>
      <c r="E47" s="142">
        <f>F47+G47+H47+I47</f>
        <v>28325</v>
      </c>
      <c r="F47" s="142">
        <f>6567-902</f>
        <v>5665</v>
      </c>
      <c r="G47" s="142">
        <f>26268-3608</f>
        <v>22660</v>
      </c>
      <c r="H47" s="142">
        <v>0</v>
      </c>
      <c r="I47" s="142">
        <v>0</v>
      </c>
      <c r="J47" s="142">
        <f>K47+L47+M47+N47</f>
        <v>550</v>
      </c>
      <c r="K47" s="142">
        <f>550</f>
        <v>550</v>
      </c>
      <c r="L47" s="142">
        <v>0</v>
      </c>
      <c r="M47" s="142">
        <v>0</v>
      </c>
      <c r="N47" s="142">
        <v>0</v>
      </c>
      <c r="O47" s="142">
        <f>P47+Q47+R47+S47</f>
        <v>0</v>
      </c>
      <c r="P47" s="142">
        <v>0</v>
      </c>
      <c r="Q47" s="142">
        <v>0</v>
      </c>
      <c r="R47" s="142">
        <v>0</v>
      </c>
      <c r="S47" s="142">
        <v>0</v>
      </c>
      <c r="T47" s="142">
        <f>U47+V47+W47+X47</f>
        <v>0</v>
      </c>
      <c r="U47" s="142">
        <v>0</v>
      </c>
      <c r="V47" s="142">
        <v>0</v>
      </c>
      <c r="W47" s="142">
        <v>0</v>
      </c>
      <c r="X47" s="142">
        <v>0</v>
      </c>
      <c r="Y47" s="142">
        <v>2321</v>
      </c>
      <c r="Z47" s="142">
        <v>2321</v>
      </c>
      <c r="AA47" s="142">
        <v>0</v>
      </c>
      <c r="AB47" s="142">
        <v>0</v>
      </c>
      <c r="AC47" s="142">
        <v>0</v>
      </c>
      <c r="AD47" s="142">
        <f>E47+J47+O47+T47+Y47</f>
        <v>31196</v>
      </c>
      <c r="AE47" s="212"/>
    </row>
    <row r="48" spans="1:31" ht="69.75">
      <c r="A48" s="213" t="s">
        <v>246</v>
      </c>
      <c r="B48" s="187" t="s">
        <v>87</v>
      </c>
      <c r="C48" s="281" t="s">
        <v>52</v>
      </c>
      <c r="D48" s="41" t="s">
        <v>93</v>
      </c>
      <c r="E48" s="142">
        <f>F48+G48+H48+I48</f>
        <v>384.8</v>
      </c>
      <c r="F48" s="142">
        <f>387-2.2</f>
        <v>384.8</v>
      </c>
      <c r="G48" s="142">
        <v>0</v>
      </c>
      <c r="H48" s="142">
        <v>0</v>
      </c>
      <c r="I48" s="142">
        <v>0</v>
      </c>
      <c r="J48" s="142">
        <v>387</v>
      </c>
      <c r="K48" s="142">
        <v>387</v>
      </c>
      <c r="L48" s="142">
        <v>0</v>
      </c>
      <c r="M48" s="142">
        <v>0</v>
      </c>
      <c r="N48" s="142">
        <v>0</v>
      </c>
      <c r="O48" s="136">
        <v>387</v>
      </c>
      <c r="P48" s="136">
        <v>387</v>
      </c>
      <c r="Q48" s="142">
        <v>0</v>
      </c>
      <c r="R48" s="142">
        <v>0</v>
      </c>
      <c r="S48" s="142">
        <v>0</v>
      </c>
      <c r="T48" s="136">
        <f>U48+V48+W48+X48</f>
        <v>387</v>
      </c>
      <c r="U48" s="136">
        <v>387</v>
      </c>
      <c r="V48" s="142">
        <v>0</v>
      </c>
      <c r="W48" s="142">
        <v>0</v>
      </c>
      <c r="X48" s="142">
        <v>0</v>
      </c>
      <c r="Y48" s="136">
        <f>Z48+AA48+AB48+AC48</f>
        <v>387</v>
      </c>
      <c r="Z48" s="136">
        <v>387</v>
      </c>
      <c r="AA48" s="142">
        <v>0</v>
      </c>
      <c r="AB48" s="142">
        <v>0</v>
      </c>
      <c r="AC48" s="142">
        <v>0</v>
      </c>
      <c r="AD48" s="142">
        <f t="shared" si="17"/>
        <v>1932.8</v>
      </c>
    </row>
    <row r="49" spans="1:32" ht="168.75">
      <c r="A49" s="213" t="s">
        <v>247</v>
      </c>
      <c r="B49" s="187" t="s">
        <v>132</v>
      </c>
      <c r="C49" s="281" t="s">
        <v>147</v>
      </c>
      <c r="D49" s="204">
        <v>2020</v>
      </c>
      <c r="E49" s="142">
        <f>F49+G49+H49+I49</f>
        <v>1248</v>
      </c>
      <c r="F49" s="142">
        <f>1248</f>
        <v>1248</v>
      </c>
      <c r="G49" s="142">
        <v>0</v>
      </c>
      <c r="H49" s="142">
        <v>0</v>
      </c>
      <c r="I49" s="142">
        <v>0</v>
      </c>
      <c r="J49" s="142">
        <f>K49+L49+M49+N49</f>
        <v>0</v>
      </c>
      <c r="K49" s="142">
        <v>0</v>
      </c>
      <c r="L49" s="142">
        <v>0</v>
      </c>
      <c r="M49" s="142">
        <v>0</v>
      </c>
      <c r="N49" s="142">
        <v>0</v>
      </c>
      <c r="O49" s="142">
        <f>P49+Q49+R49+S49</f>
        <v>0</v>
      </c>
      <c r="P49" s="142">
        <v>0</v>
      </c>
      <c r="Q49" s="142">
        <v>0</v>
      </c>
      <c r="R49" s="142">
        <v>0</v>
      </c>
      <c r="S49" s="142">
        <v>0</v>
      </c>
      <c r="T49" s="142">
        <f>U49+V49+W49+X49</f>
        <v>0</v>
      </c>
      <c r="U49" s="142">
        <v>0</v>
      </c>
      <c r="V49" s="142">
        <v>0</v>
      </c>
      <c r="W49" s="142">
        <v>0</v>
      </c>
      <c r="X49" s="142">
        <v>0</v>
      </c>
      <c r="Y49" s="142">
        <f>Z49+AA49+AB49+AC49</f>
        <v>0</v>
      </c>
      <c r="Z49" s="142">
        <v>0</v>
      </c>
      <c r="AA49" s="142">
        <v>0</v>
      </c>
      <c r="AB49" s="142">
        <v>0</v>
      </c>
      <c r="AC49" s="142">
        <v>0</v>
      </c>
      <c r="AD49" s="142">
        <f>E49+J49+O49+T49+Y49</f>
        <v>1248</v>
      </c>
    </row>
    <row r="50" spans="1:32" ht="23.25">
      <c r="A50" s="575" t="s">
        <v>25</v>
      </c>
      <c r="B50" s="575"/>
      <c r="C50" s="575"/>
      <c r="D50" s="278"/>
      <c r="E50" s="148">
        <f t="shared" ref="E50:K50" si="18">E51+E52</f>
        <v>38121.800000000003</v>
      </c>
      <c r="F50" s="148">
        <f t="shared" si="18"/>
        <v>15461.8</v>
      </c>
      <c r="G50" s="148">
        <f t="shared" si="18"/>
        <v>22660</v>
      </c>
      <c r="H50" s="148">
        <f t="shared" si="18"/>
        <v>0</v>
      </c>
      <c r="I50" s="148">
        <f t="shared" si="18"/>
        <v>0</v>
      </c>
      <c r="J50" s="148">
        <f>J52+J51</f>
        <v>7259</v>
      </c>
      <c r="K50" s="148">
        <f t="shared" si="18"/>
        <v>7259</v>
      </c>
      <c r="L50" s="148">
        <f>SUM(L35,L36:L48)</f>
        <v>0</v>
      </c>
      <c r="M50" s="148">
        <f>SUM(M35,M36:M48)</f>
        <v>0</v>
      </c>
      <c r="N50" s="148">
        <f>SUM(N35,N36:N48)</f>
        <v>0</v>
      </c>
      <c r="O50" s="148">
        <f>O51+O52</f>
        <v>387</v>
      </c>
      <c r="P50" s="148">
        <f>P51+P52</f>
        <v>387</v>
      </c>
      <c r="Q50" s="148">
        <f>SUM(Q35,Q36:Q48)</f>
        <v>0</v>
      </c>
      <c r="R50" s="148">
        <f>SUM(R35,R36:R48)</f>
        <v>0</v>
      </c>
      <c r="S50" s="148">
        <f>SUM(S35,S36:S48)</f>
        <v>0</v>
      </c>
      <c r="T50" s="148">
        <f>T51+T52</f>
        <v>387</v>
      </c>
      <c r="U50" s="148">
        <f>U51+U52</f>
        <v>387</v>
      </c>
      <c r="V50" s="148">
        <f>SUM(V35,V36:V48)</f>
        <v>0</v>
      </c>
      <c r="W50" s="148">
        <f>SUM(W35,W36:W48)</f>
        <v>0</v>
      </c>
      <c r="X50" s="148">
        <f>SUM(X35,X36:X48)</f>
        <v>0</v>
      </c>
      <c r="Y50" s="148">
        <f>Y51+Y52</f>
        <v>10293</v>
      </c>
      <c r="Z50" s="148">
        <f>Z51+Z52</f>
        <v>10293</v>
      </c>
      <c r="AA50" s="148">
        <f>SUM(AA35,AA36:AA48)</f>
        <v>0</v>
      </c>
      <c r="AB50" s="148">
        <f>SUM(AB35,AB36:AB48)</f>
        <v>0</v>
      </c>
      <c r="AC50" s="148">
        <f>SUM(AC35,AC36:AC48)</f>
        <v>0</v>
      </c>
      <c r="AD50" s="148">
        <f>E50+J50+O50+T50+Y50</f>
        <v>56447.8</v>
      </c>
    </row>
    <row r="51" spans="1:32" ht="23.25">
      <c r="A51" s="277" t="s">
        <v>73</v>
      </c>
      <c r="B51" s="277"/>
      <c r="C51" s="279"/>
      <c r="D51" s="157"/>
      <c r="E51" s="152">
        <f t="shared" ref="E51:AC51" si="19">E48</f>
        <v>384.8</v>
      </c>
      <c r="F51" s="152">
        <f t="shared" si="19"/>
        <v>384.8</v>
      </c>
      <c r="G51" s="152">
        <v>0</v>
      </c>
      <c r="H51" s="152">
        <f t="shared" si="19"/>
        <v>0</v>
      </c>
      <c r="I51" s="152">
        <f t="shared" si="19"/>
        <v>0</v>
      </c>
      <c r="J51" s="152">
        <f t="shared" si="19"/>
        <v>387</v>
      </c>
      <c r="K51" s="152">
        <f t="shared" si="19"/>
        <v>387</v>
      </c>
      <c r="L51" s="152">
        <f t="shared" si="19"/>
        <v>0</v>
      </c>
      <c r="M51" s="152">
        <f t="shared" si="19"/>
        <v>0</v>
      </c>
      <c r="N51" s="152">
        <f t="shared" si="19"/>
        <v>0</v>
      </c>
      <c r="O51" s="152">
        <f t="shared" si="19"/>
        <v>387</v>
      </c>
      <c r="P51" s="152">
        <f t="shared" si="19"/>
        <v>387</v>
      </c>
      <c r="Q51" s="152">
        <f t="shared" si="19"/>
        <v>0</v>
      </c>
      <c r="R51" s="152">
        <f t="shared" si="19"/>
        <v>0</v>
      </c>
      <c r="S51" s="152">
        <f t="shared" si="19"/>
        <v>0</v>
      </c>
      <c r="T51" s="152">
        <f t="shared" si="19"/>
        <v>387</v>
      </c>
      <c r="U51" s="152">
        <f t="shared" si="19"/>
        <v>387</v>
      </c>
      <c r="V51" s="152">
        <f t="shared" si="19"/>
        <v>0</v>
      </c>
      <c r="W51" s="152">
        <f t="shared" si="19"/>
        <v>0</v>
      </c>
      <c r="X51" s="152">
        <f t="shared" si="19"/>
        <v>0</v>
      </c>
      <c r="Y51" s="152">
        <f t="shared" si="19"/>
        <v>387</v>
      </c>
      <c r="Z51" s="152">
        <f t="shared" si="19"/>
        <v>387</v>
      </c>
      <c r="AA51" s="152">
        <f t="shared" si="19"/>
        <v>0</v>
      </c>
      <c r="AB51" s="152">
        <f t="shared" si="19"/>
        <v>0</v>
      </c>
      <c r="AC51" s="152">
        <f t="shared" si="19"/>
        <v>0</v>
      </c>
      <c r="AD51" s="158">
        <f>E51+J51+O51+T51+Y51</f>
        <v>1932.8</v>
      </c>
    </row>
    <row r="52" spans="1:32" ht="23.25">
      <c r="A52" s="277" t="s">
        <v>135</v>
      </c>
      <c r="B52" s="277"/>
      <c r="C52" s="279"/>
      <c r="D52" s="157"/>
      <c r="E52" s="142">
        <f>E35+E36+E37+E38+E39+E40+E41+E42+E43+E44+E45+E46+E47+E49</f>
        <v>37737</v>
      </c>
      <c r="F52" s="142">
        <f>F35+F36+F37+F38+F39+F40+F41+F42+F43+F44+F45+F46+F47+F49</f>
        <v>15077</v>
      </c>
      <c r="G52" s="142">
        <v>22660</v>
      </c>
      <c r="H52" s="142">
        <f>0</f>
        <v>0</v>
      </c>
      <c r="I52" s="142">
        <v>0</v>
      </c>
      <c r="J52" s="142">
        <f>J35+J36+J37+J38+J39+J40+J41+J42+J43+J44+J45+J46+J47+J49</f>
        <v>6872</v>
      </c>
      <c r="K52" s="142">
        <f>K35+K36+K37+K38+K39+K40+K41+K42+K43+K44+K45+K46+K47+K49</f>
        <v>6872</v>
      </c>
      <c r="L52" s="142">
        <v>0</v>
      </c>
      <c r="M52" s="142">
        <v>0</v>
      </c>
      <c r="N52" s="142">
        <v>0</v>
      </c>
      <c r="O52" s="142">
        <f>O35+O36+O37+O38+O39+O40+O42+O41+O43+O44+O45+O46+O47+O49</f>
        <v>0</v>
      </c>
      <c r="P52" s="142">
        <f>P35+P36+P37+P38+P39+P40+P41+P42+P43+P44+P45+P46+P47+P49</f>
        <v>0</v>
      </c>
      <c r="Q52" s="142">
        <v>0</v>
      </c>
      <c r="R52" s="142">
        <v>0</v>
      </c>
      <c r="S52" s="142">
        <v>0</v>
      </c>
      <c r="T52" s="142">
        <f>T35+T36+T37+T38+T39+T40+T41+T42+T43+T44+T45+T46+T47+T49</f>
        <v>0</v>
      </c>
      <c r="U52" s="142">
        <f>U35+U36+U37+U38+U39+U40+U41+U42+U43+U44+U45+U46+U47+U49</f>
        <v>0</v>
      </c>
      <c r="V52" s="142">
        <v>0</v>
      </c>
      <c r="W52" s="142">
        <v>0</v>
      </c>
      <c r="X52" s="142">
        <v>0</v>
      </c>
      <c r="Y52" s="142">
        <f>Y35+Y36+Y37+Y38+Y39+Y40+Y41+Y42+Y43+Y44+Y45+Y46+Y47+Y49</f>
        <v>9906</v>
      </c>
      <c r="Z52" s="142">
        <f>Z35+Z36+Z37+Z38+Z39+Z40+Z41+Z42+Z43+Z44+Z45+Z46+Z47+Z49</f>
        <v>9906</v>
      </c>
      <c r="AA52" s="142">
        <v>0</v>
      </c>
      <c r="AB52" s="142">
        <v>0</v>
      </c>
      <c r="AC52" s="142">
        <v>0</v>
      </c>
      <c r="AD52" s="142">
        <f>E52+J52+O52+T52+Y52</f>
        <v>54515</v>
      </c>
    </row>
    <row r="53" spans="1:32" ht="23.25">
      <c r="A53" s="41" t="s">
        <v>223</v>
      </c>
      <c r="B53" s="572" t="s">
        <v>248</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4"/>
    </row>
    <row r="54" spans="1:32" ht="93.75">
      <c r="A54" s="155" t="s">
        <v>27</v>
      </c>
      <c r="B54" s="175" t="s">
        <v>120</v>
      </c>
      <c r="C54" s="41" t="s">
        <v>94</v>
      </c>
      <c r="D54" s="41" t="s">
        <v>93</v>
      </c>
      <c r="E54" s="142">
        <f>F54+G54+H54+I54</f>
        <v>700</v>
      </c>
      <c r="F54" s="142">
        <f>700</f>
        <v>700</v>
      </c>
      <c r="G54" s="142">
        <v>0</v>
      </c>
      <c r="H54" s="142">
        <v>0</v>
      </c>
      <c r="I54" s="142">
        <v>0</v>
      </c>
      <c r="J54" s="142">
        <f>K54+L54+M54+N54</f>
        <v>600</v>
      </c>
      <c r="K54" s="142">
        <v>600</v>
      </c>
      <c r="L54" s="142">
        <v>0</v>
      </c>
      <c r="M54" s="142">
        <v>0</v>
      </c>
      <c r="N54" s="142">
        <v>0</v>
      </c>
      <c r="O54" s="142">
        <f>P54+Q54+R54+S54</f>
        <v>0</v>
      </c>
      <c r="P54" s="142">
        <v>0</v>
      </c>
      <c r="Q54" s="142">
        <v>0</v>
      </c>
      <c r="R54" s="142">
        <v>0</v>
      </c>
      <c r="S54" s="142">
        <v>0</v>
      </c>
      <c r="T54" s="142">
        <f>U54+V54+W54+X54</f>
        <v>0</v>
      </c>
      <c r="U54" s="142">
        <v>0</v>
      </c>
      <c r="V54" s="142">
        <v>0</v>
      </c>
      <c r="W54" s="142">
        <v>0</v>
      </c>
      <c r="X54" s="142">
        <v>0</v>
      </c>
      <c r="Y54" s="142">
        <f>Z54+AA54+AB54+AC54</f>
        <v>700</v>
      </c>
      <c r="Z54" s="142">
        <v>700</v>
      </c>
      <c r="AA54" s="142">
        <v>0</v>
      </c>
      <c r="AB54" s="142">
        <v>0</v>
      </c>
      <c r="AC54" s="142">
        <v>0</v>
      </c>
      <c r="AD54" s="142">
        <f>E54+J54+O54+T54+Y54</f>
        <v>2000</v>
      </c>
    </row>
    <row r="55" spans="1:32" ht="23.25">
      <c r="A55" s="575" t="s">
        <v>44</v>
      </c>
      <c r="B55" s="575"/>
      <c r="C55" s="575"/>
      <c r="D55" s="278"/>
      <c r="E55" s="148">
        <f t="shared" ref="E55:AD55" si="20">SUM(E54:E54)</f>
        <v>700</v>
      </c>
      <c r="F55" s="148">
        <f>SUM(F54)</f>
        <v>700</v>
      </c>
      <c r="G55" s="148">
        <f t="shared" si="20"/>
        <v>0</v>
      </c>
      <c r="H55" s="148">
        <f t="shared" si="20"/>
        <v>0</v>
      </c>
      <c r="I55" s="148">
        <f t="shared" si="20"/>
        <v>0</v>
      </c>
      <c r="J55" s="148">
        <f>J54</f>
        <v>600</v>
      </c>
      <c r="K55" s="148">
        <f t="shared" si="20"/>
        <v>600</v>
      </c>
      <c r="L55" s="148">
        <f t="shared" si="20"/>
        <v>0</v>
      </c>
      <c r="M55" s="148">
        <f t="shared" si="20"/>
        <v>0</v>
      </c>
      <c r="N55" s="148">
        <f t="shared" si="20"/>
        <v>0</v>
      </c>
      <c r="O55" s="148">
        <f t="shared" si="20"/>
        <v>0</v>
      </c>
      <c r="P55" s="148">
        <f t="shared" si="20"/>
        <v>0</v>
      </c>
      <c r="Q55" s="148">
        <f t="shared" si="20"/>
        <v>0</v>
      </c>
      <c r="R55" s="148">
        <f t="shared" si="20"/>
        <v>0</v>
      </c>
      <c r="S55" s="148">
        <f t="shared" si="20"/>
        <v>0</v>
      </c>
      <c r="T55" s="148">
        <f t="shared" si="20"/>
        <v>0</v>
      </c>
      <c r="U55" s="148">
        <f t="shared" si="20"/>
        <v>0</v>
      </c>
      <c r="V55" s="148">
        <f t="shared" si="20"/>
        <v>0</v>
      </c>
      <c r="W55" s="148">
        <f t="shared" si="20"/>
        <v>0</v>
      </c>
      <c r="X55" s="148">
        <f t="shared" si="20"/>
        <v>0</v>
      </c>
      <c r="Y55" s="148">
        <f t="shared" si="20"/>
        <v>700</v>
      </c>
      <c r="Z55" s="148">
        <f t="shared" si="20"/>
        <v>700</v>
      </c>
      <c r="AA55" s="148">
        <f t="shared" si="20"/>
        <v>0</v>
      </c>
      <c r="AB55" s="148">
        <f t="shared" si="20"/>
        <v>0</v>
      </c>
      <c r="AC55" s="148">
        <f t="shared" si="20"/>
        <v>0</v>
      </c>
      <c r="AD55" s="148">
        <f t="shared" si="20"/>
        <v>2000</v>
      </c>
    </row>
    <row r="56" spans="1:32" ht="23.25">
      <c r="A56" s="41" t="s">
        <v>249</v>
      </c>
      <c r="B56" s="572" t="s">
        <v>250</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4"/>
    </row>
    <row r="57" spans="1:32" ht="111" customHeight="1">
      <c r="A57" s="626" t="s">
        <v>46</v>
      </c>
      <c r="B57" s="613" t="s">
        <v>291</v>
      </c>
      <c r="C57" s="41" t="s">
        <v>285</v>
      </c>
      <c r="D57" s="224">
        <v>2020</v>
      </c>
      <c r="E57" s="142">
        <f>F57+G57+H57+I57</f>
        <v>1449</v>
      </c>
      <c r="F57" s="142">
        <f>1656-207</f>
        <v>1449</v>
      </c>
      <c r="G57" s="142">
        <v>0</v>
      </c>
      <c r="H57" s="142">
        <v>0</v>
      </c>
      <c r="I57" s="142">
        <v>0</v>
      </c>
      <c r="J57" s="142">
        <f>K57+L57+M57+N57</f>
        <v>0</v>
      </c>
      <c r="K57" s="142">
        <v>0</v>
      </c>
      <c r="L57" s="142">
        <v>0</v>
      </c>
      <c r="M57" s="142">
        <v>0</v>
      </c>
      <c r="N57" s="142">
        <v>0</v>
      </c>
      <c r="O57" s="142">
        <f>P57+Q57+R57+S57</f>
        <v>0</v>
      </c>
      <c r="P57" s="142">
        <v>0</v>
      </c>
      <c r="Q57" s="142">
        <v>0</v>
      </c>
      <c r="R57" s="142">
        <v>0</v>
      </c>
      <c r="S57" s="142">
        <v>0</v>
      </c>
      <c r="T57" s="142">
        <f>U57+V57+W57+X57</f>
        <v>0</v>
      </c>
      <c r="U57" s="142">
        <v>0</v>
      </c>
      <c r="V57" s="142">
        <v>0</v>
      </c>
      <c r="W57" s="142">
        <v>0</v>
      </c>
      <c r="X57" s="142">
        <v>0</v>
      </c>
      <c r="Y57" s="142">
        <f>Z57+AA57+AB57+AC57</f>
        <v>0</v>
      </c>
      <c r="Z57" s="142">
        <v>0</v>
      </c>
      <c r="AA57" s="142">
        <v>0</v>
      </c>
      <c r="AB57" s="142">
        <v>0</v>
      </c>
      <c r="AC57" s="142">
        <v>0</v>
      </c>
      <c r="AD57" s="142">
        <f>E57+I57+O57+T57+0</f>
        <v>1449</v>
      </c>
    </row>
    <row r="58" spans="1:32" ht="76.5" customHeight="1">
      <c r="A58" s="635"/>
      <c r="B58" s="636"/>
      <c r="C58" s="41" t="s">
        <v>286</v>
      </c>
      <c r="D58" s="224" t="s">
        <v>284</v>
      </c>
      <c r="E58" s="142">
        <f>F58+G58+H58+I58</f>
        <v>0</v>
      </c>
      <c r="F58" s="142">
        <v>0</v>
      </c>
      <c r="G58" s="142">
        <v>0</v>
      </c>
      <c r="H58" s="142">
        <v>0</v>
      </c>
      <c r="I58" s="142">
        <v>0</v>
      </c>
      <c r="J58" s="142">
        <f>K58+L58+M58+N58</f>
        <v>1437</v>
      </c>
      <c r="K58" s="142">
        <f>1437</f>
        <v>1437</v>
      </c>
      <c r="L58" s="142">
        <v>0</v>
      </c>
      <c r="M58" s="142">
        <v>0</v>
      </c>
      <c r="N58" s="142">
        <v>0</v>
      </c>
      <c r="O58" s="142">
        <f>P58+Q58+R58+S58</f>
        <v>1437</v>
      </c>
      <c r="P58" s="142">
        <v>1437</v>
      </c>
      <c r="Q58" s="142">
        <v>0</v>
      </c>
      <c r="R58" s="142">
        <v>0</v>
      </c>
      <c r="S58" s="142">
        <v>0</v>
      </c>
      <c r="T58" s="142">
        <f>U58+V58+W58+X58</f>
        <v>1437</v>
      </c>
      <c r="U58" s="142">
        <v>1437</v>
      </c>
      <c r="V58" s="142">
        <v>0</v>
      </c>
      <c r="W58" s="142">
        <v>0</v>
      </c>
      <c r="X58" s="142">
        <v>0</v>
      </c>
      <c r="Y58" s="142">
        <f>Z58+AA58+AB58+AC58</f>
        <v>1656</v>
      </c>
      <c r="Z58" s="142">
        <v>1656</v>
      </c>
      <c r="AA58" s="142">
        <v>0</v>
      </c>
      <c r="AB58" s="142">
        <v>0</v>
      </c>
      <c r="AC58" s="142">
        <v>0</v>
      </c>
      <c r="AD58" s="142">
        <f>E58+J58+O58+T58+Y58</f>
        <v>5967</v>
      </c>
    </row>
    <row r="59" spans="1:32" ht="93">
      <c r="A59" s="155" t="s">
        <v>251</v>
      </c>
      <c r="B59" s="175" t="s">
        <v>292</v>
      </c>
      <c r="C59" s="41" t="s">
        <v>52</v>
      </c>
      <c r="D59" s="41" t="s">
        <v>93</v>
      </c>
      <c r="E59" s="142">
        <f>F59+G59+H59+I59</f>
        <v>55</v>
      </c>
      <c r="F59" s="142">
        <f>86-31</f>
        <v>55</v>
      </c>
      <c r="G59" s="142">
        <v>0</v>
      </c>
      <c r="H59" s="142">
        <v>0</v>
      </c>
      <c r="I59" s="142">
        <v>0</v>
      </c>
      <c r="J59" s="142">
        <f>K59+L59+M59+N59</f>
        <v>70</v>
      </c>
      <c r="K59" s="142">
        <v>70</v>
      </c>
      <c r="L59" s="142">
        <v>0</v>
      </c>
      <c r="M59" s="142">
        <v>0</v>
      </c>
      <c r="N59" s="142">
        <v>0</v>
      </c>
      <c r="O59" s="142">
        <f>P59+Q59+R59+S59</f>
        <v>70</v>
      </c>
      <c r="P59" s="142">
        <v>70</v>
      </c>
      <c r="Q59" s="142">
        <v>0</v>
      </c>
      <c r="R59" s="142">
        <v>0</v>
      </c>
      <c r="S59" s="142">
        <v>0</v>
      </c>
      <c r="T59" s="142">
        <f>U59+V59+W59+X59</f>
        <v>70</v>
      </c>
      <c r="U59" s="142">
        <v>70</v>
      </c>
      <c r="V59" s="142">
        <v>0</v>
      </c>
      <c r="W59" s="142">
        <v>0</v>
      </c>
      <c r="X59" s="142">
        <v>0</v>
      </c>
      <c r="Y59" s="142">
        <f>Z59+AA59+AB59+AC59</f>
        <v>86</v>
      </c>
      <c r="Z59" s="142">
        <v>86</v>
      </c>
      <c r="AA59" s="142">
        <v>0</v>
      </c>
      <c r="AB59" s="142">
        <v>0</v>
      </c>
      <c r="AC59" s="142">
        <v>0</v>
      </c>
      <c r="AD59" s="142">
        <f>E59+J59+O59+T59+Y59</f>
        <v>351</v>
      </c>
    </row>
    <row r="60" spans="1:32" ht="23.25">
      <c r="A60" s="575" t="s">
        <v>47</v>
      </c>
      <c r="B60" s="575"/>
      <c r="C60" s="575"/>
      <c r="D60" s="278"/>
      <c r="E60" s="148">
        <f>E61+E62</f>
        <v>1504</v>
      </c>
      <c r="F60" s="148">
        <f>F61+F62</f>
        <v>1504</v>
      </c>
      <c r="G60" s="148">
        <f t="shared" ref="G60:AC60" si="21">SUM(G58:G59)</f>
        <v>0</v>
      </c>
      <c r="H60" s="148">
        <f t="shared" si="21"/>
        <v>0</v>
      </c>
      <c r="I60" s="148">
        <f t="shared" si="21"/>
        <v>0</v>
      </c>
      <c r="J60" s="148">
        <f t="shared" si="21"/>
        <v>1507</v>
      </c>
      <c r="K60" s="148">
        <f t="shared" si="21"/>
        <v>1507</v>
      </c>
      <c r="L60" s="148">
        <f t="shared" si="21"/>
        <v>0</v>
      </c>
      <c r="M60" s="148">
        <f t="shared" si="21"/>
        <v>0</v>
      </c>
      <c r="N60" s="148">
        <f t="shared" si="21"/>
        <v>0</v>
      </c>
      <c r="O60" s="148">
        <f t="shared" si="21"/>
        <v>1507</v>
      </c>
      <c r="P60" s="148">
        <f t="shared" si="21"/>
        <v>1507</v>
      </c>
      <c r="Q60" s="148">
        <f t="shared" si="21"/>
        <v>0</v>
      </c>
      <c r="R60" s="148">
        <f t="shared" si="21"/>
        <v>0</v>
      </c>
      <c r="S60" s="148">
        <f t="shared" si="21"/>
        <v>0</v>
      </c>
      <c r="T60" s="148">
        <f t="shared" si="21"/>
        <v>1507</v>
      </c>
      <c r="U60" s="148">
        <f t="shared" si="21"/>
        <v>1507</v>
      </c>
      <c r="V60" s="148">
        <f t="shared" si="21"/>
        <v>0</v>
      </c>
      <c r="W60" s="148">
        <f t="shared" si="21"/>
        <v>0</v>
      </c>
      <c r="X60" s="148">
        <f t="shared" si="21"/>
        <v>0</v>
      </c>
      <c r="Y60" s="148">
        <f t="shared" si="21"/>
        <v>1742</v>
      </c>
      <c r="Z60" s="148">
        <f t="shared" si="21"/>
        <v>1742</v>
      </c>
      <c r="AA60" s="148">
        <f t="shared" si="21"/>
        <v>0</v>
      </c>
      <c r="AB60" s="148">
        <f t="shared" si="21"/>
        <v>0</v>
      </c>
      <c r="AC60" s="148">
        <f t="shared" si="21"/>
        <v>0</v>
      </c>
      <c r="AD60" s="148">
        <f>AD61+AD62</f>
        <v>7767</v>
      </c>
    </row>
    <row r="61" spans="1:32" ht="23.25">
      <c r="A61" s="277" t="s">
        <v>73</v>
      </c>
      <c r="B61" s="277"/>
      <c r="C61" s="279"/>
      <c r="D61" s="157"/>
      <c r="E61" s="152">
        <f>E59</f>
        <v>55</v>
      </c>
      <c r="F61" s="152">
        <f>F59</f>
        <v>55</v>
      </c>
      <c r="G61" s="152">
        <v>0</v>
      </c>
      <c r="H61" s="152">
        <v>0</v>
      </c>
      <c r="I61" s="152">
        <v>0</v>
      </c>
      <c r="J61" s="152">
        <f>K61+L61+M61+N61</f>
        <v>1507</v>
      </c>
      <c r="K61" s="152">
        <f>K58+K59</f>
        <v>1507</v>
      </c>
      <c r="L61" s="152">
        <v>0</v>
      </c>
      <c r="M61" s="152">
        <v>0</v>
      </c>
      <c r="N61" s="152">
        <v>0</v>
      </c>
      <c r="O61" s="152">
        <f>O58+O59</f>
        <v>1507</v>
      </c>
      <c r="P61" s="152">
        <f>P58+P59</f>
        <v>1507</v>
      </c>
      <c r="Q61" s="152">
        <v>0</v>
      </c>
      <c r="R61" s="152">
        <v>0</v>
      </c>
      <c r="S61" s="152">
        <v>0</v>
      </c>
      <c r="T61" s="152">
        <f>T58+T59</f>
        <v>1507</v>
      </c>
      <c r="U61" s="152">
        <f>U58+U59</f>
        <v>1507</v>
      </c>
      <c r="V61" s="152">
        <v>0</v>
      </c>
      <c r="W61" s="152">
        <v>0</v>
      </c>
      <c r="X61" s="152">
        <v>0</v>
      </c>
      <c r="Y61" s="152">
        <f>Y58+Y59</f>
        <v>1742</v>
      </c>
      <c r="Z61" s="152">
        <f>Z58+Z59</f>
        <v>1742</v>
      </c>
      <c r="AA61" s="152">
        <v>0</v>
      </c>
      <c r="AB61" s="152">
        <v>0</v>
      </c>
      <c r="AC61" s="152">
        <v>0</v>
      </c>
      <c r="AD61" s="158">
        <f>AD58+AD59</f>
        <v>6318</v>
      </c>
    </row>
    <row r="62" spans="1:32" ht="23.25">
      <c r="A62" s="277" t="s">
        <v>135</v>
      </c>
      <c r="B62" s="277"/>
      <c r="C62" s="279"/>
      <c r="D62" s="157"/>
      <c r="E62" s="152">
        <f>F62+G62+H62+I62</f>
        <v>1449</v>
      </c>
      <c r="F62" s="152">
        <f>F57</f>
        <v>1449</v>
      </c>
      <c r="G62" s="152">
        <v>0</v>
      </c>
      <c r="H62" s="152">
        <v>0</v>
      </c>
      <c r="I62" s="152">
        <v>0</v>
      </c>
      <c r="J62" s="152">
        <v>0</v>
      </c>
      <c r="K62" s="152">
        <v>0</v>
      </c>
      <c r="L62" s="152">
        <v>0</v>
      </c>
      <c r="M62" s="152">
        <v>0</v>
      </c>
      <c r="N62" s="152">
        <v>0</v>
      </c>
      <c r="O62" s="152">
        <v>0</v>
      </c>
      <c r="P62" s="152">
        <v>0</v>
      </c>
      <c r="Q62" s="152">
        <v>0</v>
      </c>
      <c r="R62" s="152">
        <v>0</v>
      </c>
      <c r="S62" s="152">
        <v>0</v>
      </c>
      <c r="T62" s="152">
        <v>0</v>
      </c>
      <c r="U62" s="152">
        <v>0</v>
      </c>
      <c r="V62" s="152">
        <v>0</v>
      </c>
      <c r="W62" s="152">
        <v>0</v>
      </c>
      <c r="X62" s="152">
        <v>0</v>
      </c>
      <c r="Y62" s="152">
        <v>0</v>
      </c>
      <c r="Z62" s="152">
        <v>0</v>
      </c>
      <c r="AA62" s="152">
        <v>0</v>
      </c>
      <c r="AB62" s="152">
        <v>0</v>
      </c>
      <c r="AC62" s="152">
        <v>0</v>
      </c>
      <c r="AD62" s="158">
        <f>AD57</f>
        <v>1449</v>
      </c>
    </row>
    <row r="63" spans="1:32" ht="23.25">
      <c r="A63" s="41" t="s">
        <v>224</v>
      </c>
      <c r="B63" s="572" t="s">
        <v>278</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4"/>
    </row>
    <row r="64" spans="1:32" ht="144" customHeight="1">
      <c r="A64" s="155" t="s">
        <v>48</v>
      </c>
      <c r="B64" s="170" t="s">
        <v>108</v>
      </c>
      <c r="C64" s="41" t="s">
        <v>94</v>
      </c>
      <c r="D64" s="41" t="s">
        <v>93</v>
      </c>
      <c r="E64" s="142">
        <f>F64+G64+H64+I64</f>
        <v>766</v>
      </c>
      <c r="F64" s="142">
        <f>409+357</f>
        <v>766</v>
      </c>
      <c r="G64" s="142">
        <v>0</v>
      </c>
      <c r="H64" s="142">
        <v>0</v>
      </c>
      <c r="I64" s="142">
        <v>0</v>
      </c>
      <c r="J64" s="142">
        <f>K64+L64+M64+N64</f>
        <v>655</v>
      </c>
      <c r="K64" s="142">
        <v>655</v>
      </c>
      <c r="L64" s="142">
        <v>0</v>
      </c>
      <c r="M64" s="142">
        <v>0</v>
      </c>
      <c r="N64" s="142">
        <v>0</v>
      </c>
      <c r="O64" s="142">
        <f>P64+Q64+R64+S64</f>
        <v>0</v>
      </c>
      <c r="P64" s="142">
        <v>0</v>
      </c>
      <c r="Q64" s="142">
        <v>0</v>
      </c>
      <c r="R64" s="142">
        <v>0</v>
      </c>
      <c r="S64" s="142">
        <v>0</v>
      </c>
      <c r="T64" s="142">
        <v>0</v>
      </c>
      <c r="U64" s="142">
        <v>0</v>
      </c>
      <c r="V64" s="142">
        <v>0</v>
      </c>
      <c r="W64" s="142">
        <v>0</v>
      </c>
      <c r="X64" s="142">
        <v>0</v>
      </c>
      <c r="Y64" s="142">
        <v>510</v>
      </c>
      <c r="Z64" s="142">
        <v>510</v>
      </c>
      <c r="AA64" s="142">
        <v>0</v>
      </c>
      <c r="AB64" s="142">
        <v>0</v>
      </c>
      <c r="AC64" s="142">
        <v>0</v>
      </c>
      <c r="AD64" s="142">
        <f>E64+J64+O64+T64+Y64</f>
        <v>1931</v>
      </c>
      <c r="AF64" s="200" t="s">
        <v>131</v>
      </c>
    </row>
    <row r="65" spans="1:30">
      <c r="A65" s="631" t="s">
        <v>49</v>
      </c>
      <c r="B65" s="631"/>
      <c r="C65" s="631"/>
      <c r="D65" s="278"/>
      <c r="E65" s="148">
        <f t="shared" ref="E65:AD65" si="22">SUM(E64:E64)</f>
        <v>766</v>
      </c>
      <c r="F65" s="148">
        <f>SUM(F64)</f>
        <v>766</v>
      </c>
      <c r="G65" s="148">
        <f t="shared" si="22"/>
        <v>0</v>
      </c>
      <c r="H65" s="148">
        <f t="shared" si="22"/>
        <v>0</v>
      </c>
      <c r="I65" s="148">
        <f t="shared" si="22"/>
        <v>0</v>
      </c>
      <c r="J65" s="148">
        <f>J64</f>
        <v>655</v>
      </c>
      <c r="K65" s="148">
        <f t="shared" si="22"/>
        <v>655</v>
      </c>
      <c r="L65" s="148">
        <f t="shared" si="22"/>
        <v>0</v>
      </c>
      <c r="M65" s="148">
        <f t="shared" si="22"/>
        <v>0</v>
      </c>
      <c r="N65" s="148">
        <f t="shared" si="22"/>
        <v>0</v>
      </c>
      <c r="O65" s="148">
        <f t="shared" si="22"/>
        <v>0</v>
      </c>
      <c r="P65" s="148">
        <f t="shared" si="22"/>
        <v>0</v>
      </c>
      <c r="Q65" s="148">
        <f t="shared" si="22"/>
        <v>0</v>
      </c>
      <c r="R65" s="148">
        <f t="shared" si="22"/>
        <v>0</v>
      </c>
      <c r="S65" s="148">
        <f t="shared" si="22"/>
        <v>0</v>
      </c>
      <c r="T65" s="148">
        <f t="shared" si="22"/>
        <v>0</v>
      </c>
      <c r="U65" s="148">
        <f t="shared" si="22"/>
        <v>0</v>
      </c>
      <c r="V65" s="148">
        <f t="shared" si="22"/>
        <v>0</v>
      </c>
      <c r="W65" s="148">
        <f t="shared" si="22"/>
        <v>0</v>
      </c>
      <c r="X65" s="148">
        <f t="shared" si="22"/>
        <v>0</v>
      </c>
      <c r="Y65" s="148">
        <f t="shared" si="22"/>
        <v>510</v>
      </c>
      <c r="Z65" s="148">
        <f t="shared" si="22"/>
        <v>510</v>
      </c>
      <c r="AA65" s="148">
        <f t="shared" si="22"/>
        <v>0</v>
      </c>
      <c r="AB65" s="148">
        <f t="shared" si="22"/>
        <v>0</v>
      </c>
      <c r="AC65" s="148">
        <f t="shared" si="22"/>
        <v>0</v>
      </c>
      <c r="AD65" s="148">
        <f t="shared" si="22"/>
        <v>1931</v>
      </c>
    </row>
    <row r="66" spans="1:30" ht="23.25">
      <c r="A66" s="278" t="s">
        <v>252</v>
      </c>
      <c r="B66" s="572" t="s">
        <v>279</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4"/>
    </row>
    <row r="67" spans="1:30" ht="206.25">
      <c r="A67" s="278" t="s">
        <v>50</v>
      </c>
      <c r="B67" s="170" t="s">
        <v>115</v>
      </c>
      <c r="C67" s="41" t="s">
        <v>106</v>
      </c>
      <c r="D67" s="41" t="s">
        <v>93</v>
      </c>
      <c r="E67" s="142">
        <f>F67+G67+H67+I67</f>
        <v>25286</v>
      </c>
      <c r="F67" s="142">
        <f>27786-2500</f>
        <v>25286</v>
      </c>
      <c r="G67" s="142">
        <v>0</v>
      </c>
      <c r="H67" s="142">
        <v>0</v>
      </c>
      <c r="I67" s="142">
        <v>0</v>
      </c>
      <c r="J67" s="142">
        <f>K67+L67+M67+N67</f>
        <v>40010</v>
      </c>
      <c r="K67" s="142">
        <f>40120-110</f>
        <v>40010</v>
      </c>
      <c r="L67" s="142">
        <v>0</v>
      </c>
      <c r="M67" s="142">
        <v>0</v>
      </c>
      <c r="N67" s="142">
        <v>0</v>
      </c>
      <c r="O67" s="142">
        <f>P67+Q67+R67+S67</f>
        <v>0</v>
      </c>
      <c r="P67" s="142">
        <v>0</v>
      </c>
      <c r="Q67" s="142">
        <v>0</v>
      </c>
      <c r="R67" s="142">
        <v>0</v>
      </c>
      <c r="S67" s="142">
        <v>0</v>
      </c>
      <c r="T67" s="142">
        <f>U67+V67+W67+X67</f>
        <v>0</v>
      </c>
      <c r="U67" s="142">
        <v>0</v>
      </c>
      <c r="V67" s="142">
        <v>0</v>
      </c>
      <c r="W67" s="142">
        <v>0</v>
      </c>
      <c r="X67" s="142">
        <v>0</v>
      </c>
      <c r="Y67" s="142">
        <v>40120</v>
      </c>
      <c r="Z67" s="142">
        <v>40120</v>
      </c>
      <c r="AA67" s="142">
        <v>0</v>
      </c>
      <c r="AB67" s="142">
        <v>0</v>
      </c>
      <c r="AC67" s="142">
        <v>0</v>
      </c>
      <c r="AD67" s="142">
        <f>E67+J67+O67+T67+Y67</f>
        <v>105416</v>
      </c>
    </row>
    <row r="68" spans="1:30" ht="23.25">
      <c r="A68" s="632" t="s">
        <v>53</v>
      </c>
      <c r="B68" s="633"/>
      <c r="C68" s="634"/>
      <c r="D68" s="278"/>
      <c r="E68" s="148">
        <f t="shared" ref="E68:AD68" si="23">SUM(E67:E67)</f>
        <v>25286</v>
      </c>
      <c r="F68" s="148">
        <f>SUM(F67)</f>
        <v>25286</v>
      </c>
      <c r="G68" s="148">
        <f t="shared" si="23"/>
        <v>0</v>
      </c>
      <c r="H68" s="148">
        <f t="shared" si="23"/>
        <v>0</v>
      </c>
      <c r="I68" s="148">
        <f t="shared" si="23"/>
        <v>0</v>
      </c>
      <c r="J68" s="148">
        <f>J67</f>
        <v>40010</v>
      </c>
      <c r="K68" s="148">
        <f t="shared" si="23"/>
        <v>40010</v>
      </c>
      <c r="L68" s="148">
        <f t="shared" si="23"/>
        <v>0</v>
      </c>
      <c r="M68" s="148">
        <f t="shared" si="23"/>
        <v>0</v>
      </c>
      <c r="N68" s="148">
        <f t="shared" si="23"/>
        <v>0</v>
      </c>
      <c r="O68" s="148">
        <f t="shared" si="23"/>
        <v>0</v>
      </c>
      <c r="P68" s="148">
        <f t="shared" si="23"/>
        <v>0</v>
      </c>
      <c r="Q68" s="148">
        <f t="shared" si="23"/>
        <v>0</v>
      </c>
      <c r="R68" s="148">
        <f t="shared" si="23"/>
        <v>0</v>
      </c>
      <c r="S68" s="148">
        <f t="shared" si="23"/>
        <v>0</v>
      </c>
      <c r="T68" s="148">
        <f t="shared" si="23"/>
        <v>0</v>
      </c>
      <c r="U68" s="148">
        <f t="shared" si="23"/>
        <v>0</v>
      </c>
      <c r="V68" s="148">
        <f t="shared" si="23"/>
        <v>0</v>
      </c>
      <c r="W68" s="148">
        <f t="shared" si="23"/>
        <v>0</v>
      </c>
      <c r="X68" s="148">
        <f t="shared" si="23"/>
        <v>0</v>
      </c>
      <c r="Y68" s="148">
        <f t="shared" si="23"/>
        <v>40120</v>
      </c>
      <c r="Z68" s="148">
        <f t="shared" si="23"/>
        <v>40120</v>
      </c>
      <c r="AA68" s="148">
        <f t="shared" si="23"/>
        <v>0</v>
      </c>
      <c r="AB68" s="148">
        <f t="shared" si="23"/>
        <v>0</v>
      </c>
      <c r="AC68" s="148">
        <f t="shared" si="23"/>
        <v>0</v>
      </c>
      <c r="AD68" s="148">
        <f t="shared" si="23"/>
        <v>105416</v>
      </c>
    </row>
    <row r="69" spans="1:30" ht="23.25">
      <c r="A69" s="278" t="s">
        <v>254</v>
      </c>
      <c r="B69" s="572" t="s">
        <v>280</v>
      </c>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4"/>
    </row>
    <row r="70" spans="1:30" ht="93.75">
      <c r="A70" s="278" t="s">
        <v>55</v>
      </c>
      <c r="B70" s="191" t="s">
        <v>96</v>
      </c>
      <c r="C70" s="41" t="s">
        <v>94</v>
      </c>
      <c r="D70" s="41" t="s">
        <v>93</v>
      </c>
      <c r="E70" s="142">
        <f>F70+G70+H70+I70</f>
        <v>7420</v>
      </c>
      <c r="F70" s="142">
        <f>6486+934</f>
        <v>7420</v>
      </c>
      <c r="G70" s="142">
        <v>0</v>
      </c>
      <c r="H70" s="142">
        <v>0</v>
      </c>
      <c r="I70" s="142">
        <v>0</v>
      </c>
      <c r="J70" s="142">
        <f>K70+L70+M70+N70</f>
        <v>7350</v>
      </c>
      <c r="K70" s="142">
        <f>7350</f>
        <v>7350</v>
      </c>
      <c r="L70" s="142">
        <v>0</v>
      </c>
      <c r="M70" s="142">
        <v>0</v>
      </c>
      <c r="N70" s="142">
        <v>0</v>
      </c>
      <c r="O70" s="142">
        <f>P70+Q70+R70+S70</f>
        <v>0</v>
      </c>
      <c r="P70" s="142">
        <v>0</v>
      </c>
      <c r="Q70" s="142">
        <v>0</v>
      </c>
      <c r="R70" s="142">
        <v>0</v>
      </c>
      <c r="S70" s="142">
        <v>0</v>
      </c>
      <c r="T70" s="142">
        <f>U70+V70+W70+X70</f>
        <v>0</v>
      </c>
      <c r="U70" s="142">
        <v>0</v>
      </c>
      <c r="V70" s="142">
        <v>0</v>
      </c>
      <c r="W70" s="142">
        <v>0</v>
      </c>
      <c r="X70" s="142">
        <v>0</v>
      </c>
      <c r="Y70" s="142">
        <f>Z70+AA70+AB70+AC70</f>
        <v>6486</v>
      </c>
      <c r="Z70" s="142">
        <v>6486</v>
      </c>
      <c r="AA70" s="142">
        <v>0</v>
      </c>
      <c r="AB70" s="142">
        <v>0</v>
      </c>
      <c r="AC70" s="142">
        <v>0</v>
      </c>
      <c r="AD70" s="142">
        <f>E70+J70+O70+T70+Y70</f>
        <v>21256</v>
      </c>
    </row>
    <row r="71" spans="1:30" ht="93.75">
      <c r="A71" s="278" t="s">
        <v>256</v>
      </c>
      <c r="B71" s="170" t="s">
        <v>209</v>
      </c>
      <c r="C71" s="41" t="s">
        <v>94</v>
      </c>
      <c r="D71" s="41" t="s">
        <v>93</v>
      </c>
      <c r="E71" s="142">
        <f>SUM(F71:I71)</f>
        <v>681</v>
      </c>
      <c r="F71" s="142">
        <v>681</v>
      </c>
      <c r="G71" s="142">
        <v>0</v>
      </c>
      <c r="H71" s="142">
        <v>0</v>
      </c>
      <c r="I71" s="142">
        <v>0</v>
      </c>
      <c r="J71" s="142">
        <f>K71+L71+M71+N71</f>
        <v>684</v>
      </c>
      <c r="K71" s="142">
        <f>684</f>
        <v>684</v>
      </c>
      <c r="L71" s="142">
        <v>0</v>
      </c>
      <c r="M71" s="142">
        <v>0</v>
      </c>
      <c r="N71" s="142">
        <v>0</v>
      </c>
      <c r="O71" s="142">
        <f>P71+Q71+R71+S71</f>
        <v>0</v>
      </c>
      <c r="P71" s="142">
        <v>0</v>
      </c>
      <c r="Q71" s="142">
        <v>0</v>
      </c>
      <c r="R71" s="142">
        <v>0</v>
      </c>
      <c r="S71" s="142">
        <v>0</v>
      </c>
      <c r="T71" s="142">
        <f>U71+V71+W71+X71</f>
        <v>0</v>
      </c>
      <c r="U71" s="142">
        <v>0</v>
      </c>
      <c r="V71" s="142">
        <v>0</v>
      </c>
      <c r="W71" s="142">
        <v>0</v>
      </c>
      <c r="X71" s="142">
        <v>0</v>
      </c>
      <c r="Y71" s="142">
        <f>Z71+AA71+AB71+AC71</f>
        <v>660</v>
      </c>
      <c r="Z71" s="142">
        <v>660</v>
      </c>
      <c r="AA71" s="142">
        <v>0</v>
      </c>
      <c r="AB71" s="142">
        <v>0</v>
      </c>
      <c r="AC71" s="142">
        <v>0</v>
      </c>
      <c r="AD71" s="142">
        <f>E71+J71+O71+T71+Y71</f>
        <v>2025</v>
      </c>
    </row>
    <row r="72" spans="1:30" ht="139.5">
      <c r="A72" s="278" t="s">
        <v>257</v>
      </c>
      <c r="B72" s="170" t="s">
        <v>271</v>
      </c>
      <c r="C72" s="41" t="s">
        <v>266</v>
      </c>
      <c r="D72" s="41">
        <v>2020</v>
      </c>
      <c r="E72" s="142">
        <f>F72+G72+H72+I72</f>
        <v>774</v>
      </c>
      <c r="F72" s="142">
        <v>774</v>
      </c>
      <c r="G72" s="142">
        <v>0</v>
      </c>
      <c r="H72" s="142">
        <v>0</v>
      </c>
      <c r="I72" s="142">
        <v>0</v>
      </c>
      <c r="J72" s="142">
        <f>K72+L72+M72+N72</f>
        <v>350</v>
      </c>
      <c r="K72" s="142">
        <v>350</v>
      </c>
      <c r="L72" s="142">
        <v>0</v>
      </c>
      <c r="M72" s="142">
        <v>0</v>
      </c>
      <c r="N72" s="142">
        <v>0</v>
      </c>
      <c r="O72" s="142">
        <f>P72+Q72+R72+S72</f>
        <v>0</v>
      </c>
      <c r="P72" s="142">
        <v>0</v>
      </c>
      <c r="Q72" s="142">
        <v>0</v>
      </c>
      <c r="R72" s="142">
        <v>0</v>
      </c>
      <c r="S72" s="142">
        <v>0</v>
      </c>
      <c r="T72" s="142">
        <f>U72+V72+W72+X72</f>
        <v>0</v>
      </c>
      <c r="U72" s="142">
        <v>0</v>
      </c>
      <c r="V72" s="142">
        <v>0</v>
      </c>
      <c r="W72" s="142">
        <v>0</v>
      </c>
      <c r="X72" s="142">
        <v>0</v>
      </c>
      <c r="Y72" s="142">
        <f>Z72+AA72+AB72+AC72</f>
        <v>774</v>
      </c>
      <c r="Z72" s="142">
        <v>774</v>
      </c>
      <c r="AA72" s="142">
        <v>0</v>
      </c>
      <c r="AB72" s="142">
        <v>0</v>
      </c>
      <c r="AC72" s="142">
        <v>0</v>
      </c>
      <c r="AD72" s="148">
        <f>E72+J72+O72+T72+Y72</f>
        <v>1898</v>
      </c>
    </row>
    <row r="73" spans="1:30" ht="23.25">
      <c r="A73" s="632" t="s">
        <v>56</v>
      </c>
      <c r="B73" s="633"/>
      <c r="C73" s="634"/>
      <c r="D73" s="278"/>
      <c r="E73" s="148">
        <f>E70+E71+E72</f>
        <v>8875</v>
      </c>
      <c r="F73" s="148">
        <f>F70+F71+F72</f>
        <v>8875</v>
      </c>
      <c r="G73" s="148">
        <f>SUM(G70:G70)</f>
        <v>0</v>
      </c>
      <c r="H73" s="148">
        <f>SUM(H70:H70)</f>
        <v>0</v>
      </c>
      <c r="I73" s="148">
        <f>SUM(I70:I70)</f>
        <v>0</v>
      </c>
      <c r="J73" s="148">
        <f>J70+J71+J72</f>
        <v>8384</v>
      </c>
      <c r="K73" s="148">
        <f>K70+K71+K72</f>
        <v>8384</v>
      </c>
      <c r="L73" s="148">
        <f>SUM(L70:L70)</f>
        <v>0</v>
      </c>
      <c r="M73" s="148">
        <f>SUM(M70:M70)</f>
        <v>0</v>
      </c>
      <c r="N73" s="148">
        <f>SUM(N70:N70)</f>
        <v>0</v>
      </c>
      <c r="O73" s="148">
        <f>O70+O71+O72</f>
        <v>0</v>
      </c>
      <c r="P73" s="148">
        <f>P70+P71+P72</f>
        <v>0</v>
      </c>
      <c r="Q73" s="148">
        <f>SUM(Q70:Q70)</f>
        <v>0</v>
      </c>
      <c r="R73" s="148">
        <f>SUM(R70:R70)</f>
        <v>0</v>
      </c>
      <c r="S73" s="148">
        <f>SUM(S70:S70)</f>
        <v>0</v>
      </c>
      <c r="T73" s="148">
        <f>T70+T71+T72</f>
        <v>0</v>
      </c>
      <c r="U73" s="148">
        <f>U70+U71+U72</f>
        <v>0</v>
      </c>
      <c r="V73" s="148">
        <f>SUM(V70:V70)</f>
        <v>0</v>
      </c>
      <c r="W73" s="148">
        <f>SUM(W70:W70)</f>
        <v>0</v>
      </c>
      <c r="X73" s="148">
        <f>SUM(X70:X70)</f>
        <v>0</v>
      </c>
      <c r="Y73" s="148">
        <f>Y70+Y71+Y72</f>
        <v>7920</v>
      </c>
      <c r="Z73" s="148">
        <f>Z70+Z71+Z72</f>
        <v>7920</v>
      </c>
      <c r="AA73" s="148">
        <f>SUM(AA70:AA70)</f>
        <v>0</v>
      </c>
      <c r="AB73" s="148">
        <f>SUM(AB70:AB70)</f>
        <v>0</v>
      </c>
      <c r="AC73" s="148">
        <f>SUM(AC70:AC70)</f>
        <v>0</v>
      </c>
      <c r="AD73" s="148">
        <f>SUM(AD70:AD72)</f>
        <v>25179</v>
      </c>
    </row>
    <row r="74" spans="1:30" ht="23.25">
      <c r="A74" s="277" t="s">
        <v>135</v>
      </c>
      <c r="B74" s="277"/>
      <c r="C74" s="279"/>
      <c r="D74" s="157"/>
      <c r="E74" s="152">
        <f>E70+E71+E72</f>
        <v>8875</v>
      </c>
      <c r="F74" s="152">
        <f>F70+F71+F72</f>
        <v>8875</v>
      </c>
      <c r="G74" s="152">
        <v>0</v>
      </c>
      <c r="H74" s="152">
        <v>0</v>
      </c>
      <c r="I74" s="152">
        <v>0</v>
      </c>
      <c r="J74" s="152">
        <f>J70+J71+J72</f>
        <v>8384</v>
      </c>
      <c r="K74" s="152">
        <f>K70+K71+K72</f>
        <v>8384</v>
      </c>
      <c r="L74" s="152">
        <v>0</v>
      </c>
      <c r="M74" s="152">
        <v>0</v>
      </c>
      <c r="N74" s="152">
        <v>0</v>
      </c>
      <c r="O74" s="152">
        <f>O73</f>
        <v>0</v>
      </c>
      <c r="P74" s="152">
        <f>P73</f>
        <v>0</v>
      </c>
      <c r="Q74" s="152">
        <v>0</v>
      </c>
      <c r="R74" s="152">
        <v>0</v>
      </c>
      <c r="S74" s="152">
        <v>0</v>
      </c>
      <c r="T74" s="152">
        <f>T70+T71+T72</f>
        <v>0</v>
      </c>
      <c r="U74" s="152">
        <f>U70+U71+U72</f>
        <v>0</v>
      </c>
      <c r="V74" s="152">
        <v>0</v>
      </c>
      <c r="W74" s="152">
        <v>0</v>
      </c>
      <c r="X74" s="152">
        <v>0</v>
      </c>
      <c r="Y74" s="152">
        <f>Y70+Y71+Y72</f>
        <v>7920</v>
      </c>
      <c r="Z74" s="152">
        <f>Z70+Z71+Z72</f>
        <v>7920</v>
      </c>
      <c r="AA74" s="152">
        <v>0</v>
      </c>
      <c r="AB74" s="152">
        <v>0</v>
      </c>
      <c r="AC74" s="152">
        <v>0</v>
      </c>
      <c r="AD74" s="158">
        <f>AD70+AD71</f>
        <v>23281</v>
      </c>
    </row>
    <row r="75" spans="1:30" ht="23.25">
      <c r="A75" s="278" t="s">
        <v>97</v>
      </c>
      <c r="B75" s="572" t="s">
        <v>281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4"/>
    </row>
    <row r="76" spans="1:30" ht="162.75">
      <c r="A76" s="214" t="s">
        <v>57</v>
      </c>
      <c r="B76" s="191" t="s">
        <v>290</v>
      </c>
      <c r="C76" s="41" t="s">
        <v>73</v>
      </c>
      <c r="D76" s="41" t="s">
        <v>93</v>
      </c>
      <c r="E76" s="142">
        <f xml:space="preserve"> SUM(F76:I76)</f>
        <v>136.19999999999999</v>
      </c>
      <c r="F76" s="142">
        <f>74.6+61.6</f>
        <v>136.19999999999999</v>
      </c>
      <c r="G76" s="142">
        <v>0</v>
      </c>
      <c r="H76" s="142">
        <v>0</v>
      </c>
      <c r="I76" s="142">
        <v>0</v>
      </c>
      <c r="J76" s="142">
        <f xml:space="preserve"> SUM(K76:N76)</f>
        <v>142</v>
      </c>
      <c r="K76" s="142">
        <v>142</v>
      </c>
      <c r="L76" s="142">
        <v>0</v>
      </c>
      <c r="M76" s="142">
        <v>0</v>
      </c>
      <c r="N76" s="142">
        <v>0</v>
      </c>
      <c r="O76" s="142">
        <f xml:space="preserve"> SUM(P76:S76)</f>
        <v>142</v>
      </c>
      <c r="P76" s="142">
        <v>142</v>
      </c>
      <c r="Q76" s="142">
        <v>0</v>
      </c>
      <c r="R76" s="142">
        <v>0</v>
      </c>
      <c r="S76" s="142">
        <v>0</v>
      </c>
      <c r="T76" s="142">
        <f xml:space="preserve"> SUM(U76:X76)</f>
        <v>142</v>
      </c>
      <c r="U76" s="142">
        <v>142</v>
      </c>
      <c r="V76" s="142">
        <v>0</v>
      </c>
      <c r="W76" s="142">
        <v>0</v>
      </c>
      <c r="X76" s="142">
        <v>0</v>
      </c>
      <c r="Y76" s="142">
        <f xml:space="preserve"> SUM(Z76:AC76)</f>
        <v>145</v>
      </c>
      <c r="Z76" s="142">
        <v>145</v>
      </c>
      <c r="AA76" s="142">
        <v>0</v>
      </c>
      <c r="AB76" s="142">
        <v>0</v>
      </c>
      <c r="AC76" s="142">
        <v>0</v>
      </c>
      <c r="AD76" s="142">
        <f>E76+J76+O76+T76+Y76</f>
        <v>707.2</v>
      </c>
    </row>
    <row r="77" spans="1:30" ht="23.25">
      <c r="A77" s="575" t="s">
        <v>58</v>
      </c>
      <c r="B77" s="575"/>
      <c r="C77" s="575"/>
      <c r="D77" s="278"/>
      <c r="E77" s="148">
        <f>E76</f>
        <v>136.19999999999999</v>
      </c>
      <c r="F77" s="148">
        <f>F76</f>
        <v>136.19999999999999</v>
      </c>
      <c r="G77" s="148">
        <v>0</v>
      </c>
      <c r="H77" s="148">
        <v>0</v>
      </c>
      <c r="I77" s="148">
        <v>0</v>
      </c>
      <c r="J77" s="148">
        <f t="shared" ref="J77:AC77" si="24">J76</f>
        <v>142</v>
      </c>
      <c r="K77" s="148">
        <f t="shared" si="24"/>
        <v>142</v>
      </c>
      <c r="L77" s="148">
        <f t="shared" si="24"/>
        <v>0</v>
      </c>
      <c r="M77" s="148">
        <f t="shared" si="24"/>
        <v>0</v>
      </c>
      <c r="N77" s="148">
        <f t="shared" si="24"/>
        <v>0</v>
      </c>
      <c r="O77" s="148">
        <f t="shared" si="24"/>
        <v>142</v>
      </c>
      <c r="P77" s="148">
        <f t="shared" si="24"/>
        <v>142</v>
      </c>
      <c r="Q77" s="148">
        <f t="shared" si="24"/>
        <v>0</v>
      </c>
      <c r="R77" s="148">
        <f t="shared" si="24"/>
        <v>0</v>
      </c>
      <c r="S77" s="148">
        <f t="shared" si="24"/>
        <v>0</v>
      </c>
      <c r="T77" s="148">
        <f t="shared" si="24"/>
        <v>142</v>
      </c>
      <c r="U77" s="148">
        <f t="shared" si="24"/>
        <v>142</v>
      </c>
      <c r="V77" s="148">
        <f t="shared" si="24"/>
        <v>0</v>
      </c>
      <c r="W77" s="148">
        <f t="shared" si="24"/>
        <v>0</v>
      </c>
      <c r="X77" s="148">
        <f t="shared" si="24"/>
        <v>0</v>
      </c>
      <c r="Y77" s="148">
        <f t="shared" si="24"/>
        <v>145</v>
      </c>
      <c r="Z77" s="148">
        <f t="shared" si="24"/>
        <v>145</v>
      </c>
      <c r="AA77" s="148">
        <f t="shared" si="24"/>
        <v>0</v>
      </c>
      <c r="AB77" s="148">
        <f t="shared" si="24"/>
        <v>0</v>
      </c>
      <c r="AC77" s="148">
        <f t="shared" si="24"/>
        <v>0</v>
      </c>
      <c r="AD77" s="148">
        <f>E77+J77+O77+T77+Y77</f>
        <v>707.2</v>
      </c>
    </row>
    <row r="78" spans="1:30" ht="23.25">
      <c r="A78" s="206">
        <v>10</v>
      </c>
      <c r="B78" s="562" t="s">
        <v>259</v>
      </c>
      <c r="C78" s="563"/>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4"/>
    </row>
    <row r="79" spans="1:30" ht="150">
      <c r="A79" s="215" t="s">
        <v>59</v>
      </c>
      <c r="B79" s="191" t="s">
        <v>186</v>
      </c>
      <c r="C79" s="280" t="s">
        <v>107</v>
      </c>
      <c r="D79" s="41" t="s">
        <v>93</v>
      </c>
      <c r="E79" s="216">
        <v>500</v>
      </c>
      <c r="F79" s="216">
        <v>500</v>
      </c>
      <c r="G79" s="216">
        <v>0</v>
      </c>
      <c r="H79" s="216">
        <v>0</v>
      </c>
      <c r="I79" s="216">
        <v>0</v>
      </c>
      <c r="J79" s="216">
        <f>K79+L79+M79+N79</f>
        <v>24</v>
      </c>
      <c r="K79" s="216">
        <v>24</v>
      </c>
      <c r="L79" s="216">
        <v>0</v>
      </c>
      <c r="M79" s="216">
        <v>0</v>
      </c>
      <c r="N79" s="216">
        <v>0</v>
      </c>
      <c r="O79" s="216">
        <v>0</v>
      </c>
      <c r="P79" s="216">
        <v>0</v>
      </c>
      <c r="Q79" s="216">
        <v>0</v>
      </c>
      <c r="R79" s="216">
        <v>0</v>
      </c>
      <c r="S79" s="216">
        <v>0</v>
      </c>
      <c r="T79" s="216">
        <f>U79+V79+W79+X79</f>
        <v>0</v>
      </c>
      <c r="U79" s="216">
        <v>0</v>
      </c>
      <c r="V79" s="216">
        <v>0</v>
      </c>
      <c r="W79" s="216">
        <v>0</v>
      </c>
      <c r="X79" s="216">
        <v>0</v>
      </c>
      <c r="Y79" s="216">
        <v>6480</v>
      </c>
      <c r="Z79" s="216">
        <v>6480</v>
      </c>
      <c r="AA79" s="216">
        <v>0</v>
      </c>
      <c r="AB79" s="216">
        <v>0</v>
      </c>
      <c r="AC79" s="216">
        <v>0</v>
      </c>
      <c r="AD79" s="107">
        <f>E79+J79+O79+T79+Y79</f>
        <v>7004</v>
      </c>
    </row>
    <row r="80" spans="1:30" ht="150">
      <c r="A80" s="215" t="s">
        <v>98</v>
      </c>
      <c r="B80" s="170" t="s">
        <v>159</v>
      </c>
      <c r="C80" s="163" t="s">
        <v>107</v>
      </c>
      <c r="D80" s="41" t="s">
        <v>93</v>
      </c>
      <c r="E80" s="216">
        <v>2880</v>
      </c>
      <c r="F80" s="216">
        <v>2880</v>
      </c>
      <c r="G80" s="216">
        <v>0</v>
      </c>
      <c r="H80" s="216">
        <v>0</v>
      </c>
      <c r="I80" s="216">
        <v>0</v>
      </c>
      <c r="J80" s="216">
        <f>K80+L80+M80+N80</f>
        <v>2880</v>
      </c>
      <c r="K80" s="216">
        <v>2880</v>
      </c>
      <c r="L80" s="216">
        <v>0</v>
      </c>
      <c r="M80" s="216">
        <v>0</v>
      </c>
      <c r="N80" s="216">
        <v>0</v>
      </c>
      <c r="O80" s="216">
        <v>0</v>
      </c>
      <c r="P80" s="216">
        <v>0</v>
      </c>
      <c r="Q80" s="216">
        <v>0</v>
      </c>
      <c r="R80" s="216">
        <v>0</v>
      </c>
      <c r="S80" s="216">
        <v>0</v>
      </c>
      <c r="T80" s="216">
        <f>U80+V80+W80+X80</f>
        <v>0</v>
      </c>
      <c r="U80" s="216">
        <v>0</v>
      </c>
      <c r="V80" s="216">
        <v>0</v>
      </c>
      <c r="W80" s="216">
        <v>0</v>
      </c>
      <c r="X80" s="216">
        <v>0</v>
      </c>
      <c r="Y80" s="216">
        <v>5760</v>
      </c>
      <c r="Z80" s="216">
        <v>5760</v>
      </c>
      <c r="AA80" s="216">
        <v>0</v>
      </c>
      <c r="AB80" s="216">
        <v>0</v>
      </c>
      <c r="AC80" s="216">
        <v>0</v>
      </c>
      <c r="AD80" s="107">
        <f>E80+J80+O80+T80+Y80</f>
        <v>11520</v>
      </c>
    </row>
    <row r="81" spans="1:30" ht="23.25">
      <c r="A81" s="632" t="s">
        <v>60</v>
      </c>
      <c r="B81" s="633"/>
      <c r="C81" s="634"/>
      <c r="D81" s="215"/>
      <c r="E81" s="107">
        <f>E79+E80</f>
        <v>3380</v>
      </c>
      <c r="F81" s="107">
        <f>SUM(F79:F80)</f>
        <v>3380</v>
      </c>
      <c r="G81" s="107">
        <f>G79</f>
        <v>0</v>
      </c>
      <c r="H81" s="107">
        <f>I79</f>
        <v>0</v>
      </c>
      <c r="I81" s="107">
        <f t="shared" ref="I81:V81" si="25">I79</f>
        <v>0</v>
      </c>
      <c r="J81" s="107">
        <f>K81+L81+M81+N81</f>
        <v>2904</v>
      </c>
      <c r="K81" s="107">
        <f>K79+K80</f>
        <v>2904</v>
      </c>
      <c r="L81" s="107">
        <f t="shared" si="25"/>
        <v>0</v>
      </c>
      <c r="M81" s="107">
        <f t="shared" si="25"/>
        <v>0</v>
      </c>
      <c r="N81" s="107">
        <f t="shared" si="25"/>
        <v>0</v>
      </c>
      <c r="O81" s="107">
        <f>P81+Q81+R81+S81</f>
        <v>0</v>
      </c>
      <c r="P81" s="107">
        <f>P79+P80</f>
        <v>0</v>
      </c>
      <c r="Q81" s="107">
        <f t="shared" si="25"/>
        <v>0</v>
      </c>
      <c r="R81" s="107">
        <f t="shared" si="25"/>
        <v>0</v>
      </c>
      <c r="S81" s="107">
        <f t="shared" si="25"/>
        <v>0</v>
      </c>
      <c r="T81" s="107">
        <f>U81+V81+W81+X81</f>
        <v>0</v>
      </c>
      <c r="U81" s="107">
        <f>T79+T80</f>
        <v>0</v>
      </c>
      <c r="V81" s="107">
        <f t="shared" si="25"/>
        <v>0</v>
      </c>
      <c r="W81" s="107">
        <f>V79</f>
        <v>0</v>
      </c>
      <c r="X81" s="107">
        <f t="shared" ref="X81:AC81" si="26">X79</f>
        <v>0</v>
      </c>
      <c r="Y81" s="107">
        <f>Z81+AA81+AB81+AC81</f>
        <v>12240</v>
      </c>
      <c r="Z81" s="107">
        <f>Z79+Z80</f>
        <v>12240</v>
      </c>
      <c r="AA81" s="107">
        <f t="shared" si="26"/>
        <v>0</v>
      </c>
      <c r="AB81" s="107">
        <f t="shared" si="26"/>
        <v>0</v>
      </c>
      <c r="AC81" s="107">
        <f t="shared" si="26"/>
        <v>0</v>
      </c>
      <c r="AD81" s="107">
        <f>E81+J81+O81+T81+Y81</f>
        <v>18524</v>
      </c>
    </row>
    <row r="82" spans="1:30" ht="23.25">
      <c r="A82" s="630" t="s">
        <v>67</v>
      </c>
      <c r="B82" s="630"/>
      <c r="C82" s="630"/>
      <c r="D82" s="215"/>
      <c r="E82" s="107">
        <f>E27+E33+E50+E55+E60+E65+E68+E73+E77+E81</f>
        <v>157092.37</v>
      </c>
      <c r="F82" s="107">
        <f>F27+F33+F50+F55+F60+F65+F68+F73+F77+F81</f>
        <v>108956.7</v>
      </c>
      <c r="G82" s="107">
        <f t="shared" ref="G82:N82" si="27">G27+G33+G50+G55+G60+G65+G68+G73+G77+G81</f>
        <v>45966</v>
      </c>
      <c r="H82" s="107">
        <f t="shared" si="27"/>
        <v>0</v>
      </c>
      <c r="I82" s="107">
        <f t="shared" si="27"/>
        <v>2169.67</v>
      </c>
      <c r="J82" s="107">
        <f>K82+L82+M82+N82</f>
        <v>140566</v>
      </c>
      <c r="K82" s="107">
        <f t="shared" si="27"/>
        <v>116348</v>
      </c>
      <c r="L82" s="107">
        <f t="shared" si="27"/>
        <v>24218</v>
      </c>
      <c r="M82" s="107">
        <f t="shared" si="27"/>
        <v>0</v>
      </c>
      <c r="N82" s="107">
        <f t="shared" si="27"/>
        <v>0</v>
      </c>
      <c r="O82" s="107">
        <f>P82+Q82+R82+S82</f>
        <v>26254</v>
      </c>
      <c r="P82" s="107">
        <f>P27+P33+P50+P55+P60+P65+P68+P73+P77+P81</f>
        <v>2036</v>
      </c>
      <c r="Q82" s="107">
        <f>Q27+Q33+Q50+Q55+Q60+Q65+Q68+Q73+Q77+Q81</f>
        <v>24218</v>
      </c>
      <c r="R82" s="107">
        <f>R27+R33+R50+R55+R60+R65+R68+R73+R77+R81</f>
        <v>0</v>
      </c>
      <c r="S82" s="107">
        <f>S27+S33+S50+S55+S60+S65+S68+S73+S77+S81</f>
        <v>0</v>
      </c>
      <c r="T82" s="107">
        <f>U82+V82+W82+X82</f>
        <v>26254</v>
      </c>
      <c r="U82" s="107">
        <f>U27+U33+U50+U60+U65+U68+U73+U77+U81</f>
        <v>2036</v>
      </c>
      <c r="V82" s="107">
        <f>V27+V33+V50+V55+V60+V65+V68+V73+V77+V81</f>
        <v>24218</v>
      </c>
      <c r="W82" s="107">
        <f>W27+W33+W50+W55+W60+W65+W68+W73+W77+W81</f>
        <v>0</v>
      </c>
      <c r="X82" s="107">
        <f>X27+X33+X50+X55+X60+X65+X68+X73+X77+X81</f>
        <v>0</v>
      </c>
      <c r="Y82" s="107">
        <f>Z82+AA82+AB82+AC82</f>
        <v>130729.3</v>
      </c>
      <c r="Z82" s="107">
        <f>Z27+Z33+Z50+Z55+Z60+Z65+Z68+Z73+Z77+Z81</f>
        <v>130729.3</v>
      </c>
      <c r="AA82" s="107">
        <f>AA27+AA33+AA50+AA55+AA60+AA65+AA68+AA73+AA77+AA81</f>
        <v>0</v>
      </c>
      <c r="AB82" s="107">
        <f>AB27+AB33+AB50+AB55+AB60+AB65+AB68+AB73+AB77+AB81</f>
        <v>0</v>
      </c>
      <c r="AC82" s="107">
        <f>AC27+AC33+AC50+AC55+AC60+AC65+AC68+AC73+AC77+AC81</f>
        <v>0</v>
      </c>
      <c r="AD82" s="107">
        <f>AD27+AD33+AD50+AD55+AD60+AD65+AD68+AD73+AD77+AD81</f>
        <v>480895.67</v>
      </c>
    </row>
    <row r="83" spans="1:30">
      <c r="E83" s="217"/>
      <c r="F83" s="217"/>
      <c r="G83" s="217"/>
      <c r="H83" s="217"/>
      <c r="I83" s="217"/>
      <c r="J83" s="217"/>
    </row>
    <row r="84" spans="1:30">
      <c r="A84" s="264" t="s">
        <v>202</v>
      </c>
      <c r="K84" s="223"/>
      <c r="L84" s="263"/>
      <c r="M84" s="263"/>
      <c r="N84" s="263"/>
      <c r="O84" s="263"/>
      <c r="P84" s="263"/>
      <c r="Q84" s="263"/>
      <c r="R84" s="263"/>
      <c r="S84" s="263"/>
      <c r="T84" s="263"/>
      <c r="U84" s="263"/>
      <c r="V84" s="263"/>
      <c r="W84" s="263"/>
    </row>
    <row r="85" spans="1:30">
      <c r="C85" s="199">
        <v>2020</v>
      </c>
      <c r="E85" s="218"/>
      <c r="J85" s="199">
        <v>2021</v>
      </c>
      <c r="O85" s="199">
        <v>2022</v>
      </c>
      <c r="T85" s="199">
        <v>2023</v>
      </c>
      <c r="Y85" s="199">
        <v>2024</v>
      </c>
    </row>
    <row r="86" spans="1:30" ht="225">
      <c r="A86" s="222" t="s">
        <v>201</v>
      </c>
      <c r="B86" s="219" t="s">
        <v>134</v>
      </c>
      <c r="C86" s="218">
        <f>E29+E33+E52+E55+E62+E65+E68+E74+E81</f>
        <v>96915</v>
      </c>
      <c r="F86" s="218" t="s">
        <v>134</v>
      </c>
      <c r="I86" s="199" t="s">
        <v>134</v>
      </c>
      <c r="J86" s="218">
        <f>J29+J33+J52+J55+J65+J68+J74+J81</f>
        <v>78812</v>
      </c>
      <c r="N86" s="199" t="s">
        <v>134</v>
      </c>
      <c r="O86" s="218">
        <f>O29+O33+O52+O55+O65+O68+O74+O81</f>
        <v>0</v>
      </c>
      <c r="S86" s="199" t="s">
        <v>134</v>
      </c>
      <c r="T86" s="218">
        <f>T29+T33+T52+T55+T62+T65+T68+T74+T81</f>
        <v>0</v>
      </c>
      <c r="X86" s="199" t="s">
        <v>134</v>
      </c>
      <c r="Y86" s="218">
        <f>Y29+Y33+Y52+Y55+Y62+Y65+Y68+Y74+Y81</f>
        <v>92955.3</v>
      </c>
      <c r="AC86" s="218">
        <f>C86+J86+O86+T86+Y86</f>
        <v>268682.3</v>
      </c>
    </row>
    <row r="87" spans="1:30">
      <c r="B87" s="219" t="s">
        <v>137</v>
      </c>
      <c r="C87" s="218">
        <f>E30+E51+E61+E77</f>
        <v>23882</v>
      </c>
      <c r="F87" s="199" t="s">
        <v>137</v>
      </c>
      <c r="I87" s="199" t="s">
        <v>137</v>
      </c>
      <c r="J87" s="218">
        <f>J30+J51+J60+J77</f>
        <v>26254</v>
      </c>
      <c r="N87" s="199" t="s">
        <v>137</v>
      </c>
      <c r="O87" s="218">
        <f>O30+O51+O61+O77</f>
        <v>26254</v>
      </c>
      <c r="S87" s="199" t="s">
        <v>137</v>
      </c>
      <c r="T87" s="218">
        <f>T30+T51+T61+T77</f>
        <v>26254</v>
      </c>
      <c r="X87" s="199" t="s">
        <v>137</v>
      </c>
      <c r="Y87" s="218">
        <f>Y30+Y51+Y61+Y77</f>
        <v>2274</v>
      </c>
      <c r="AC87" s="218">
        <f>C87+J87+O87+T87+Y87</f>
        <v>104918</v>
      </c>
    </row>
    <row r="88" spans="1:30">
      <c r="B88" s="219" t="s">
        <v>138</v>
      </c>
      <c r="C88" s="218">
        <f>E28</f>
        <v>36295.369999999995</v>
      </c>
      <c r="F88" s="199" t="s">
        <v>289</v>
      </c>
      <c r="I88" s="199" t="s">
        <v>140</v>
      </c>
      <c r="J88" s="218">
        <f>K28</f>
        <v>35500</v>
      </c>
      <c r="N88" s="199" t="s">
        <v>140</v>
      </c>
      <c r="O88" s="218">
        <f>P28</f>
        <v>0</v>
      </c>
      <c r="S88" s="199" t="s">
        <v>140</v>
      </c>
      <c r="T88" s="218">
        <f>T28</f>
        <v>0</v>
      </c>
      <c r="X88" s="199" t="s">
        <v>140</v>
      </c>
      <c r="Y88" s="218">
        <f>Y28</f>
        <v>35500</v>
      </c>
      <c r="AC88" s="218">
        <f>C88+J88+O88+T88+Y88</f>
        <v>107295.37</v>
      </c>
    </row>
    <row r="89" spans="1:30">
      <c r="C89" s="218"/>
      <c r="J89" s="218"/>
      <c r="O89" s="218">
        <f>O86+O87</f>
        <v>26254</v>
      </c>
      <c r="T89" s="218"/>
      <c r="Y89" s="218"/>
      <c r="AC89" s="218"/>
    </row>
    <row r="90" spans="1:30">
      <c r="B90" s="219"/>
      <c r="C90" s="218">
        <f>C86+C87+C88</f>
        <v>157092.37</v>
      </c>
      <c r="J90" s="218">
        <f>J86+J87+J88</f>
        <v>140566</v>
      </c>
      <c r="K90" s="218"/>
      <c r="N90" s="199" t="s">
        <v>137</v>
      </c>
      <c r="O90" s="218"/>
      <c r="S90" s="199" t="s">
        <v>137</v>
      </c>
      <c r="T90" s="218"/>
      <c r="X90" s="199" t="s">
        <v>173</v>
      </c>
      <c r="Y90" s="218"/>
      <c r="AC90" s="218"/>
    </row>
    <row r="91" spans="1:30">
      <c r="C91" s="218"/>
      <c r="J91" s="218"/>
      <c r="O91" s="218"/>
      <c r="T91" s="218"/>
      <c r="Y91" s="218">
        <f>Y86+Y87+Y88</f>
        <v>130729.3</v>
      </c>
      <c r="AC91" s="218">
        <f>AC86+AC87+AC88</f>
        <v>480895.67</v>
      </c>
    </row>
    <row r="92" spans="1:30">
      <c r="C92" s="218"/>
      <c r="J92" s="218"/>
      <c r="O92" s="218"/>
      <c r="T92" s="218"/>
      <c r="Y92" s="218"/>
    </row>
    <row r="94" spans="1:30">
      <c r="B94" s="219" t="s">
        <v>195</v>
      </c>
      <c r="C94" s="218">
        <f>I82+N82+S82+X82+AC82</f>
        <v>2169.67</v>
      </c>
    </row>
    <row r="95" spans="1:30">
      <c r="B95" s="220" t="s">
        <v>196</v>
      </c>
      <c r="C95" s="218">
        <f>F82+K82+P82+U82+Z82</f>
        <v>360106</v>
      </c>
    </row>
    <row r="96" spans="1:30">
      <c r="B96" s="220" t="s">
        <v>197</v>
      </c>
      <c r="C96" s="218">
        <f>G82+L82+Q82+V82+AA82</f>
        <v>118620</v>
      </c>
    </row>
    <row r="97" spans="2:29">
      <c r="C97" s="218">
        <f>C94+C95+C96</f>
        <v>480895.67</v>
      </c>
      <c r="AC97" s="218">
        <f>AC91-865014</f>
        <v>-384118.33</v>
      </c>
    </row>
    <row r="99" spans="2:29">
      <c r="B99" s="218">
        <f>127165-F82</f>
        <v>18208.300000000003</v>
      </c>
    </row>
    <row r="101" spans="2:29">
      <c r="Y101" s="221">
        <f>973249000-19710000-88655000</f>
        <v>864884000</v>
      </c>
    </row>
    <row r="104" spans="2:29">
      <c r="D104" s="221"/>
      <c r="E104" s="221"/>
    </row>
    <row r="105" spans="2:29">
      <c r="D105" s="221"/>
      <c r="E105" s="221"/>
    </row>
    <row r="110" spans="2:29">
      <c r="D110" s="218">
        <f>G82+L82+Q82+V82+AA82</f>
        <v>118620</v>
      </c>
    </row>
  </sheetData>
  <mergeCells count="41">
    <mergeCell ref="A82:C82"/>
    <mergeCell ref="A60:C60"/>
    <mergeCell ref="B63:AD63"/>
    <mergeCell ref="A65:C65"/>
    <mergeCell ref="B66:AD66"/>
    <mergeCell ref="A68:C68"/>
    <mergeCell ref="B69:AD69"/>
    <mergeCell ref="A73:C73"/>
    <mergeCell ref="B75:AD75"/>
    <mergeCell ref="A77:C77"/>
    <mergeCell ref="B78:AD78"/>
    <mergeCell ref="A81:C81"/>
    <mergeCell ref="A57:A58"/>
    <mergeCell ref="B57:B58"/>
    <mergeCell ref="C13:C14"/>
    <mergeCell ref="A27:C27"/>
    <mergeCell ref="B31:AD31"/>
    <mergeCell ref="A33:C33"/>
    <mergeCell ref="B34:AD34"/>
    <mergeCell ref="C38:C39"/>
    <mergeCell ref="C41:C45"/>
    <mergeCell ref="A50:C50"/>
    <mergeCell ref="B53:AD53"/>
    <mergeCell ref="A55:C55"/>
    <mergeCell ref="B56:AD56"/>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s>
  <pageMargins left="0" right="0" top="0.17" bottom="0" header="0.11811023622047245" footer="0"/>
  <pageSetup paperSize="9" scale="24" orientation="landscape" r:id="rId1"/>
  <colBreaks count="1" manualBreakCount="1">
    <brk id="30" max="1048575" man="1"/>
  </colBreaks>
  <legacyDrawing r:id="rId2"/>
</worksheet>
</file>

<file path=xl/worksheets/sheet8.xml><?xml version="1.0" encoding="utf-8"?>
<worksheet xmlns="http://schemas.openxmlformats.org/spreadsheetml/2006/main" xmlns:r="http://schemas.openxmlformats.org/officeDocument/2006/relationships">
  <dimension ref="A1:AF110"/>
  <sheetViews>
    <sheetView view="pageBreakPreview" zoomScale="60" workbookViewId="0">
      <pane xSplit="5" ySplit="14" topLeftCell="J21" activePane="bottomRight" state="frozen"/>
      <selection pane="topRight" activeCell="F1" sqref="F1"/>
      <selection pane="bottomLeft" activeCell="A15" sqref="A15"/>
      <selection pane="bottomRight" sqref="A1:XFD1048576"/>
    </sheetView>
  </sheetViews>
  <sheetFormatPr defaultRowHeight="18.75"/>
  <cols>
    <col min="1" max="1" width="6.140625" style="272" customWidth="1"/>
    <col min="2" max="2" width="188" style="199" customWidth="1"/>
    <col min="3" max="3" width="42.42578125" style="199" customWidth="1"/>
    <col min="4" max="4" width="23.5703125" style="199" customWidth="1"/>
    <col min="5" max="5" width="21.28515625" style="199" customWidth="1"/>
    <col min="6" max="6" width="22.42578125" style="199" customWidth="1"/>
    <col min="7" max="7" width="16.140625" style="199" customWidth="1"/>
    <col min="8" max="9" width="16.85546875" style="199" customWidth="1"/>
    <col min="10" max="10" width="21.140625" style="199" customWidth="1"/>
    <col min="11" max="11" width="18.140625" style="199" customWidth="1"/>
    <col min="12" max="12" width="15" style="199" customWidth="1"/>
    <col min="13" max="13" width="14.7109375" style="199" customWidth="1"/>
    <col min="14" max="14" width="14.28515625" style="199" customWidth="1"/>
    <col min="15" max="15" width="17.140625" style="199" customWidth="1"/>
    <col min="16" max="16" width="18.7109375" style="199" customWidth="1"/>
    <col min="17" max="17" width="17.28515625" style="199" customWidth="1"/>
    <col min="18" max="18" width="19" style="199" customWidth="1"/>
    <col min="19" max="19" width="13" style="199" customWidth="1"/>
    <col min="20" max="20" width="16.42578125" style="199" customWidth="1"/>
    <col min="21" max="21" width="12.7109375" style="199" customWidth="1"/>
    <col min="22" max="22" width="11.85546875" style="199" customWidth="1"/>
    <col min="23" max="23" width="11.7109375" style="199" customWidth="1"/>
    <col min="24" max="24" width="10.28515625" style="199" customWidth="1"/>
    <col min="25" max="25" width="21.85546875" style="199" customWidth="1"/>
    <col min="26" max="26" width="14.5703125" style="199" customWidth="1"/>
    <col min="27" max="27" width="13" style="199" customWidth="1"/>
    <col min="28" max="28" width="12.7109375" style="199" customWidth="1"/>
    <col min="29" max="29" width="14.28515625" style="199" customWidth="1"/>
    <col min="30" max="30" width="17.7109375" style="199" customWidth="1"/>
    <col min="31" max="16384" width="9.140625" style="200"/>
  </cols>
  <sheetData>
    <row r="1" spans="1:30">
      <c r="Z1" s="199" t="s">
        <v>260</v>
      </c>
    </row>
    <row r="2" spans="1:30">
      <c r="Z2" s="199" t="s">
        <v>261</v>
      </c>
    </row>
    <row r="3" spans="1:30">
      <c r="L3" s="284"/>
      <c r="M3" s="284"/>
      <c r="N3" s="284"/>
      <c r="O3" s="270"/>
      <c r="P3" s="270"/>
      <c r="Q3" s="270"/>
      <c r="R3" s="270"/>
      <c r="S3" s="270"/>
      <c r="T3" s="270"/>
      <c r="U3" s="270"/>
      <c r="V3" s="270"/>
      <c r="W3" s="270"/>
      <c r="X3" s="270"/>
      <c r="Y3" s="270"/>
      <c r="Z3" s="615" t="s">
        <v>262</v>
      </c>
      <c r="AA3" s="615"/>
      <c r="AB3" s="615"/>
      <c r="AC3" s="615"/>
      <c r="AD3" s="615"/>
    </row>
    <row r="4" spans="1:30" ht="37.5" customHeight="1">
      <c r="V4" s="616" t="s">
        <v>272</v>
      </c>
      <c r="W4" s="616"/>
      <c r="X4" s="616"/>
      <c r="Y4" s="616"/>
      <c r="Z4" s="616"/>
      <c r="AA4" s="616"/>
      <c r="AB4" s="616"/>
      <c r="AC4" s="616"/>
      <c r="AD4" s="616"/>
    </row>
    <row r="5" spans="1:30" ht="24" customHeight="1">
      <c r="A5" s="617" t="s">
        <v>0</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row>
    <row r="7" spans="1:30" ht="19.5">
      <c r="A7" s="618" t="s">
        <v>1</v>
      </c>
      <c r="B7" s="618" t="s">
        <v>219</v>
      </c>
      <c r="C7" s="618" t="s">
        <v>2</v>
      </c>
      <c r="D7" s="619" t="s">
        <v>3</v>
      </c>
      <c r="E7" s="622" t="s">
        <v>273</v>
      </c>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row>
    <row r="8" spans="1:30">
      <c r="A8" s="618"/>
      <c r="B8" s="618"/>
      <c r="C8" s="618"/>
      <c r="D8" s="620"/>
      <c r="E8" s="618" t="s">
        <v>88</v>
      </c>
      <c r="F8" s="618"/>
      <c r="G8" s="618"/>
      <c r="H8" s="618"/>
      <c r="I8" s="618"/>
      <c r="J8" s="618" t="s">
        <v>89</v>
      </c>
      <c r="K8" s="618"/>
      <c r="L8" s="618"/>
      <c r="M8" s="618"/>
      <c r="N8" s="618"/>
      <c r="O8" s="618" t="s">
        <v>90</v>
      </c>
      <c r="P8" s="618"/>
      <c r="Q8" s="618"/>
      <c r="R8" s="618"/>
      <c r="S8" s="618"/>
      <c r="T8" s="618" t="s">
        <v>91</v>
      </c>
      <c r="U8" s="618"/>
      <c r="V8" s="618"/>
      <c r="W8" s="618"/>
      <c r="X8" s="618"/>
      <c r="Y8" s="618" t="s">
        <v>92</v>
      </c>
      <c r="Z8" s="618"/>
      <c r="AA8" s="618"/>
      <c r="AB8" s="618"/>
      <c r="AC8" s="618"/>
      <c r="AD8" s="618" t="s">
        <v>5</v>
      </c>
    </row>
    <row r="9" spans="1:30" ht="88.5">
      <c r="A9" s="618"/>
      <c r="B9" s="618"/>
      <c r="C9" s="618"/>
      <c r="D9" s="621"/>
      <c r="E9" s="273" t="s">
        <v>6</v>
      </c>
      <c r="F9" s="201" t="s">
        <v>7</v>
      </c>
      <c r="G9" s="201" t="s">
        <v>8</v>
      </c>
      <c r="H9" s="201" t="s">
        <v>9</v>
      </c>
      <c r="I9" s="202" t="s">
        <v>10</v>
      </c>
      <c r="J9" s="286" t="s">
        <v>6</v>
      </c>
      <c r="K9" s="201" t="s">
        <v>7</v>
      </c>
      <c r="L9" s="201" t="s">
        <v>8</v>
      </c>
      <c r="M9" s="201" t="s">
        <v>9</v>
      </c>
      <c r="N9" s="202" t="s">
        <v>10</v>
      </c>
      <c r="O9" s="273" t="s">
        <v>6</v>
      </c>
      <c r="P9" s="201" t="s">
        <v>7</v>
      </c>
      <c r="Q9" s="201" t="s">
        <v>8</v>
      </c>
      <c r="R9" s="201" t="s">
        <v>9</v>
      </c>
      <c r="S9" s="202" t="s">
        <v>10</v>
      </c>
      <c r="T9" s="273" t="s">
        <v>6</v>
      </c>
      <c r="U9" s="201" t="s">
        <v>7</v>
      </c>
      <c r="V9" s="201" t="s">
        <v>8</v>
      </c>
      <c r="W9" s="201" t="s">
        <v>9</v>
      </c>
      <c r="X9" s="202" t="s">
        <v>10</v>
      </c>
      <c r="Y9" s="273" t="s">
        <v>6</v>
      </c>
      <c r="Z9" s="201" t="s">
        <v>7</v>
      </c>
      <c r="AA9" s="201" t="s">
        <v>8</v>
      </c>
      <c r="AB9" s="201" t="s">
        <v>9</v>
      </c>
      <c r="AC9" s="202" t="s">
        <v>10</v>
      </c>
      <c r="AD9" s="618"/>
    </row>
    <row r="10" spans="1:30">
      <c r="A10" s="203">
        <v>1</v>
      </c>
      <c r="B10" s="203">
        <v>2</v>
      </c>
      <c r="C10" s="203">
        <v>3</v>
      </c>
      <c r="D10" s="203">
        <v>4</v>
      </c>
      <c r="E10" s="203">
        <v>5</v>
      </c>
      <c r="F10" s="203">
        <v>6</v>
      </c>
      <c r="G10" s="203">
        <v>7</v>
      </c>
      <c r="H10" s="203">
        <v>8</v>
      </c>
      <c r="I10" s="203">
        <v>9</v>
      </c>
      <c r="J10" s="203">
        <v>10</v>
      </c>
      <c r="K10" s="203">
        <v>11</v>
      </c>
      <c r="L10" s="203">
        <v>12</v>
      </c>
      <c r="M10" s="203">
        <v>13</v>
      </c>
      <c r="N10" s="203">
        <v>14</v>
      </c>
      <c r="O10" s="203">
        <v>15</v>
      </c>
      <c r="P10" s="203">
        <v>16</v>
      </c>
      <c r="Q10" s="203">
        <v>17</v>
      </c>
      <c r="R10" s="203">
        <v>18</v>
      </c>
      <c r="S10" s="203">
        <v>19</v>
      </c>
      <c r="T10" s="203">
        <v>20</v>
      </c>
      <c r="U10" s="203">
        <v>21</v>
      </c>
      <c r="V10" s="203">
        <v>22</v>
      </c>
      <c r="W10" s="203">
        <v>23</v>
      </c>
      <c r="X10" s="203">
        <v>24</v>
      </c>
      <c r="Y10" s="203">
        <v>25</v>
      </c>
      <c r="Z10" s="203">
        <v>26</v>
      </c>
      <c r="AA10" s="203">
        <v>27</v>
      </c>
      <c r="AB10" s="203">
        <v>28</v>
      </c>
      <c r="AC10" s="203">
        <v>29</v>
      </c>
      <c r="AD10" s="203">
        <v>30</v>
      </c>
    </row>
    <row r="11" spans="1:30">
      <c r="A11" s="623" t="s">
        <v>274</v>
      </c>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5"/>
    </row>
    <row r="12" spans="1:30" ht="23.25">
      <c r="A12" s="41" t="s">
        <v>221</v>
      </c>
      <c r="B12" s="600" t="s">
        <v>275</v>
      </c>
      <c r="C12" s="601"/>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4"/>
    </row>
    <row r="13" spans="1:30" ht="93">
      <c r="A13" s="155" t="s">
        <v>12</v>
      </c>
      <c r="B13" s="173" t="s">
        <v>81</v>
      </c>
      <c r="C13" s="610" t="s">
        <v>14</v>
      </c>
      <c r="D13" s="204" t="s">
        <v>93</v>
      </c>
      <c r="E13" s="178">
        <f>SUM(F13:I13)</f>
        <v>28350</v>
      </c>
      <c r="F13" s="178">
        <f>43350-15000</f>
        <v>28350</v>
      </c>
      <c r="G13" s="178">
        <v>0</v>
      </c>
      <c r="H13" s="178">
        <v>0</v>
      </c>
      <c r="I13" s="178">
        <v>0</v>
      </c>
      <c r="J13" s="178">
        <f>K13+L13+M13+N13</f>
        <v>35500</v>
      </c>
      <c r="K13" s="178">
        <f>19722+15778</f>
        <v>35500</v>
      </c>
      <c r="L13" s="178">
        <v>0</v>
      </c>
      <c r="M13" s="142">
        <v>0</v>
      </c>
      <c r="N13" s="142">
        <v>0</v>
      </c>
      <c r="O13" s="142">
        <v>0</v>
      </c>
      <c r="P13" s="142">
        <v>0</v>
      </c>
      <c r="Q13" s="142">
        <v>0</v>
      </c>
      <c r="R13" s="142">
        <v>0</v>
      </c>
      <c r="S13" s="142">
        <v>0</v>
      </c>
      <c r="T13" s="142">
        <f>U13+V13+W13+X13</f>
        <v>0</v>
      </c>
      <c r="U13" s="142">
        <v>0</v>
      </c>
      <c r="V13" s="142">
        <v>0</v>
      </c>
      <c r="W13" s="142">
        <v>0</v>
      </c>
      <c r="X13" s="142">
        <v>0</v>
      </c>
      <c r="Y13" s="142">
        <f>Z13+AA13+AB13+AC13</f>
        <v>35500</v>
      </c>
      <c r="Z13" s="142">
        <v>35500</v>
      </c>
      <c r="AA13" s="142">
        <v>0</v>
      </c>
      <c r="AB13" s="142">
        <v>0</v>
      </c>
      <c r="AC13" s="142">
        <v>0</v>
      </c>
      <c r="AD13" s="148">
        <f t="shared" ref="AD13:AD18" si="0">E13+J13+O13+T13+Y13</f>
        <v>99350</v>
      </c>
    </row>
    <row r="14" spans="1:30" ht="116.25">
      <c r="A14" s="155" t="s">
        <v>13</v>
      </c>
      <c r="B14" s="174" t="s">
        <v>268</v>
      </c>
      <c r="C14" s="612"/>
      <c r="D14" s="204" t="s">
        <v>93</v>
      </c>
      <c r="E14" s="178">
        <f>SUM(F14:I14)</f>
        <v>7359</v>
      </c>
      <c r="F14" s="178">
        <f>12748-5387-2060</f>
        <v>5301</v>
      </c>
      <c r="G14" s="178">
        <v>0</v>
      </c>
      <c r="H14" s="178">
        <v>0</v>
      </c>
      <c r="I14" s="178">
        <f>4602-2544</f>
        <v>2058</v>
      </c>
      <c r="J14" s="178">
        <v>0</v>
      </c>
      <c r="K14" s="178">
        <v>0</v>
      </c>
      <c r="L14" s="178">
        <v>0</v>
      </c>
      <c r="M14" s="142">
        <v>0</v>
      </c>
      <c r="N14" s="142">
        <v>0</v>
      </c>
      <c r="O14" s="142">
        <v>0</v>
      </c>
      <c r="P14" s="142">
        <v>0</v>
      </c>
      <c r="Q14" s="142">
        <v>0</v>
      </c>
      <c r="R14" s="142">
        <v>0</v>
      </c>
      <c r="S14" s="142">
        <v>0</v>
      </c>
      <c r="T14" s="142">
        <f>U14+V14+W14+X14</f>
        <v>0</v>
      </c>
      <c r="U14" s="142">
        <v>0</v>
      </c>
      <c r="V14" s="142">
        <v>0</v>
      </c>
      <c r="W14" s="142">
        <v>0</v>
      </c>
      <c r="X14" s="142">
        <v>0</v>
      </c>
      <c r="Y14" s="142">
        <f>Z14+AA14+AB14+AC14</f>
        <v>0</v>
      </c>
      <c r="Z14" s="142">
        <v>0</v>
      </c>
      <c r="AA14" s="142">
        <v>0</v>
      </c>
      <c r="AB14" s="142">
        <v>0</v>
      </c>
      <c r="AC14" s="142">
        <v>0</v>
      </c>
      <c r="AD14" s="148">
        <f t="shared" si="0"/>
        <v>7359</v>
      </c>
    </row>
    <row r="15" spans="1:30" ht="93">
      <c r="A15" s="155" t="s">
        <v>15</v>
      </c>
      <c r="B15" s="191" t="s">
        <v>117</v>
      </c>
      <c r="C15" s="269" t="s">
        <v>218</v>
      </c>
      <c r="D15" s="41" t="s">
        <v>93</v>
      </c>
      <c r="E15" s="178">
        <f>F15+G15+H15+I15</f>
        <v>8260</v>
      </c>
      <c r="F15" s="178">
        <f>8260</f>
        <v>8260</v>
      </c>
      <c r="G15" s="178">
        <v>0</v>
      </c>
      <c r="H15" s="178">
        <v>0</v>
      </c>
      <c r="I15" s="178">
        <v>0</v>
      </c>
      <c r="J15" s="178">
        <f>K15+L15+M15+N15</f>
        <v>11513</v>
      </c>
      <c r="K15" s="178">
        <v>11513</v>
      </c>
      <c r="L15" s="178">
        <v>0</v>
      </c>
      <c r="M15" s="142">
        <v>0</v>
      </c>
      <c r="N15" s="142">
        <v>0</v>
      </c>
      <c r="O15" s="142">
        <f>P15+Q15+R15+S15</f>
        <v>0</v>
      </c>
      <c r="P15" s="142">
        <v>0</v>
      </c>
      <c r="Q15" s="142">
        <v>0</v>
      </c>
      <c r="R15" s="142">
        <v>0</v>
      </c>
      <c r="S15" s="142">
        <v>0</v>
      </c>
      <c r="T15" s="142">
        <f>U15+V15+W15+X15</f>
        <v>0</v>
      </c>
      <c r="U15" s="142">
        <v>0</v>
      </c>
      <c r="V15" s="142">
        <v>0</v>
      </c>
      <c r="W15" s="142">
        <v>0</v>
      </c>
      <c r="X15" s="142">
        <v>0</v>
      </c>
      <c r="Y15" s="142">
        <v>12655.3</v>
      </c>
      <c r="Z15" s="142">
        <v>12655.3</v>
      </c>
      <c r="AA15" s="142">
        <v>0</v>
      </c>
      <c r="AB15" s="142">
        <v>0</v>
      </c>
      <c r="AC15" s="142">
        <v>0</v>
      </c>
      <c r="AD15" s="148">
        <f t="shared" si="0"/>
        <v>32428.3</v>
      </c>
    </row>
    <row r="16" spans="1:30" ht="93">
      <c r="A16" s="155" t="s">
        <v>16</v>
      </c>
      <c r="B16" s="175" t="s">
        <v>270</v>
      </c>
      <c r="C16" s="205" t="s">
        <v>14</v>
      </c>
      <c r="D16" s="41" t="s">
        <v>93</v>
      </c>
      <c r="E16" s="178">
        <f>F16+G16+H16+I16</f>
        <v>586.36999999999978</v>
      </c>
      <c r="F16" s="178">
        <f>3300-2825.3</f>
        <v>474.69999999999982</v>
      </c>
      <c r="G16" s="178">
        <v>0</v>
      </c>
      <c r="H16" s="178">
        <v>0</v>
      </c>
      <c r="I16" s="178">
        <f>775-663.33</f>
        <v>111.66999999999996</v>
      </c>
      <c r="J16" s="178">
        <v>0</v>
      </c>
      <c r="K16" s="178">
        <v>0</v>
      </c>
      <c r="L16" s="178">
        <v>0</v>
      </c>
      <c r="M16" s="142">
        <v>0</v>
      </c>
      <c r="N16" s="142">
        <v>0</v>
      </c>
      <c r="O16" s="142">
        <v>0</v>
      </c>
      <c r="P16" s="142">
        <v>0</v>
      </c>
      <c r="Q16" s="142">
        <v>0</v>
      </c>
      <c r="R16" s="142">
        <v>0</v>
      </c>
      <c r="S16" s="142">
        <v>0</v>
      </c>
      <c r="T16" s="142">
        <v>0</v>
      </c>
      <c r="U16" s="142">
        <v>0</v>
      </c>
      <c r="V16" s="142">
        <v>0</v>
      </c>
      <c r="W16" s="142">
        <v>0</v>
      </c>
      <c r="X16" s="142">
        <v>0</v>
      </c>
      <c r="Y16" s="142">
        <v>0</v>
      </c>
      <c r="Z16" s="142">
        <v>0</v>
      </c>
      <c r="AA16" s="142">
        <v>0</v>
      </c>
      <c r="AB16" s="142">
        <v>0</v>
      </c>
      <c r="AC16" s="142">
        <v>0</v>
      </c>
      <c r="AD16" s="148">
        <f t="shared" si="0"/>
        <v>586.36999999999978</v>
      </c>
    </row>
    <row r="17" spans="1:31" ht="37.5">
      <c r="A17" s="155" t="s">
        <v>17</v>
      </c>
      <c r="B17" s="175" t="s">
        <v>210</v>
      </c>
      <c r="C17" s="269" t="s">
        <v>94</v>
      </c>
      <c r="D17" s="141">
        <v>2020</v>
      </c>
      <c r="E17" s="178">
        <f t="shared" ref="E17:E22" si="1">F17+G17+H17+I17</f>
        <v>1192</v>
      </c>
      <c r="F17" s="178">
        <v>1192</v>
      </c>
      <c r="G17" s="178">
        <v>0</v>
      </c>
      <c r="H17" s="178">
        <v>0</v>
      </c>
      <c r="I17" s="178">
        <v>0</v>
      </c>
      <c r="J17" s="178">
        <f t="shared" ref="J17:J22" si="2">K17+L17+M17+N17</f>
        <v>0</v>
      </c>
      <c r="K17" s="178">
        <v>0</v>
      </c>
      <c r="L17" s="178">
        <v>0</v>
      </c>
      <c r="M17" s="142">
        <v>0</v>
      </c>
      <c r="N17" s="142">
        <v>0</v>
      </c>
      <c r="O17" s="142">
        <f>P17+Q17+R17+S17</f>
        <v>0</v>
      </c>
      <c r="P17" s="142">
        <v>0</v>
      </c>
      <c r="Q17" s="142">
        <v>0</v>
      </c>
      <c r="R17" s="142">
        <v>0</v>
      </c>
      <c r="S17" s="142">
        <v>0</v>
      </c>
      <c r="T17" s="142">
        <f>U17+V17+W17+X17</f>
        <v>0</v>
      </c>
      <c r="U17" s="142">
        <v>0</v>
      </c>
      <c r="V17" s="142">
        <v>0</v>
      </c>
      <c r="W17" s="142">
        <v>0</v>
      </c>
      <c r="X17" s="142">
        <v>0</v>
      </c>
      <c r="Y17" s="142">
        <f>Z17+AA17+AB17+AC17</f>
        <v>0</v>
      </c>
      <c r="Z17" s="142">
        <v>0</v>
      </c>
      <c r="AA17" s="142">
        <v>0</v>
      </c>
      <c r="AB17" s="142">
        <v>0</v>
      </c>
      <c r="AC17" s="142">
        <v>0</v>
      </c>
      <c r="AD17" s="142">
        <f t="shared" si="0"/>
        <v>1192</v>
      </c>
    </row>
    <row r="18" spans="1:31" ht="46.5">
      <c r="A18" s="155" t="s">
        <v>163</v>
      </c>
      <c r="B18" s="175" t="s">
        <v>121</v>
      </c>
      <c r="C18" s="269" t="s">
        <v>94</v>
      </c>
      <c r="D18" s="141" t="s">
        <v>164</v>
      </c>
      <c r="E18" s="178">
        <f t="shared" si="1"/>
        <v>6060</v>
      </c>
      <c r="F18" s="178">
        <f>6183-123</f>
        <v>6060</v>
      </c>
      <c r="G18" s="178">
        <v>0</v>
      </c>
      <c r="H18" s="178">
        <v>0</v>
      </c>
      <c r="I18" s="178">
        <v>0</v>
      </c>
      <c r="J18" s="178">
        <f t="shared" si="2"/>
        <v>5832</v>
      </c>
      <c r="K18" s="178">
        <f>5832</f>
        <v>5832</v>
      </c>
      <c r="L18" s="178">
        <v>0</v>
      </c>
      <c r="M18" s="142">
        <v>0</v>
      </c>
      <c r="N18" s="142">
        <v>0</v>
      </c>
      <c r="O18" s="142">
        <f>P18+Q18+R18+S18</f>
        <v>0</v>
      </c>
      <c r="P18" s="142">
        <v>0</v>
      </c>
      <c r="Q18" s="142">
        <v>0</v>
      </c>
      <c r="R18" s="142">
        <v>0</v>
      </c>
      <c r="S18" s="142">
        <v>0</v>
      </c>
      <c r="T18" s="142">
        <f>U18+V18+W18+X18</f>
        <v>0</v>
      </c>
      <c r="U18" s="142">
        <v>0</v>
      </c>
      <c r="V18" s="142">
        <v>0</v>
      </c>
      <c r="W18" s="142">
        <v>0</v>
      </c>
      <c r="X18" s="142">
        <v>0</v>
      </c>
      <c r="Y18" s="142">
        <v>6150</v>
      </c>
      <c r="Z18" s="142">
        <v>6150</v>
      </c>
      <c r="AA18" s="142">
        <v>0</v>
      </c>
      <c r="AB18" s="142">
        <v>0</v>
      </c>
      <c r="AC18" s="142">
        <v>0</v>
      </c>
      <c r="AD18" s="142">
        <f t="shared" si="0"/>
        <v>18042</v>
      </c>
    </row>
    <row r="19" spans="1:31" ht="37.5">
      <c r="A19" s="155" t="s">
        <v>182</v>
      </c>
      <c r="B19" s="170" t="s">
        <v>124</v>
      </c>
      <c r="C19" s="269" t="s">
        <v>94</v>
      </c>
      <c r="D19" s="141" t="s">
        <v>282</v>
      </c>
      <c r="E19" s="178">
        <f t="shared" si="1"/>
        <v>785</v>
      </c>
      <c r="F19" s="178">
        <v>785</v>
      </c>
      <c r="G19" s="178">
        <v>0</v>
      </c>
      <c r="H19" s="178">
        <v>0</v>
      </c>
      <c r="I19" s="178">
        <v>0</v>
      </c>
      <c r="J19" s="178">
        <f t="shared" si="2"/>
        <v>90</v>
      </c>
      <c r="K19" s="178">
        <v>90</v>
      </c>
      <c r="L19" s="178">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f>E19+J19+O19+T19+Y19</f>
        <v>875</v>
      </c>
    </row>
    <row r="20" spans="1:31" ht="46.5">
      <c r="A20" s="155" t="s">
        <v>208</v>
      </c>
      <c r="B20" s="170" t="s">
        <v>126</v>
      </c>
      <c r="C20" s="269" t="s">
        <v>94</v>
      </c>
      <c r="D20" s="141">
        <v>2020</v>
      </c>
      <c r="E20" s="178">
        <f t="shared" si="1"/>
        <v>110</v>
      </c>
      <c r="F20" s="178">
        <v>110</v>
      </c>
      <c r="G20" s="178">
        <v>0</v>
      </c>
      <c r="H20" s="178">
        <v>0</v>
      </c>
      <c r="I20" s="178">
        <v>0</v>
      </c>
      <c r="J20" s="178">
        <f t="shared" si="2"/>
        <v>0</v>
      </c>
      <c r="K20" s="178">
        <v>0</v>
      </c>
      <c r="L20" s="178">
        <v>0</v>
      </c>
      <c r="M20" s="142">
        <v>0</v>
      </c>
      <c r="N20" s="142">
        <v>0</v>
      </c>
      <c r="O20" s="142">
        <f t="shared" ref="O20:O26" si="3">P20+Q20+R20+S20</f>
        <v>0</v>
      </c>
      <c r="P20" s="142">
        <v>0</v>
      </c>
      <c r="Q20" s="142">
        <v>0</v>
      </c>
      <c r="R20" s="142">
        <v>0</v>
      </c>
      <c r="S20" s="142">
        <v>0</v>
      </c>
      <c r="T20" s="142">
        <f t="shared" ref="T20:T26" si="4">U20+V20+W20+X20</f>
        <v>0</v>
      </c>
      <c r="U20" s="142">
        <v>0</v>
      </c>
      <c r="V20" s="142">
        <v>0</v>
      </c>
      <c r="W20" s="142">
        <v>0</v>
      </c>
      <c r="X20" s="142">
        <v>0</v>
      </c>
      <c r="Y20" s="142">
        <f>Z20+AA20+AB20+AC20</f>
        <v>0</v>
      </c>
      <c r="Z20" s="142">
        <v>0</v>
      </c>
      <c r="AA20" s="142">
        <v>0</v>
      </c>
      <c r="AB20" s="142">
        <v>0</v>
      </c>
      <c r="AC20" s="142">
        <v>0</v>
      </c>
      <c r="AD20" s="142">
        <f t="shared" ref="AD20:AD26" si="5">E20+J20+O20+T20+Y20</f>
        <v>110</v>
      </c>
    </row>
    <row r="21" spans="1:31" ht="69.75">
      <c r="A21" s="155" t="s">
        <v>211</v>
      </c>
      <c r="B21" s="170" t="s">
        <v>122</v>
      </c>
      <c r="C21" s="269" t="s">
        <v>94</v>
      </c>
      <c r="D21" s="141">
        <v>2020</v>
      </c>
      <c r="E21" s="178">
        <f t="shared" si="1"/>
        <v>53</v>
      </c>
      <c r="F21" s="178">
        <v>53</v>
      </c>
      <c r="G21" s="178">
        <v>0</v>
      </c>
      <c r="H21" s="178">
        <v>0</v>
      </c>
      <c r="I21" s="178">
        <v>0</v>
      </c>
      <c r="J21" s="178">
        <f t="shared" si="2"/>
        <v>0</v>
      </c>
      <c r="K21" s="178">
        <v>0</v>
      </c>
      <c r="L21" s="178">
        <v>0</v>
      </c>
      <c r="M21" s="142">
        <v>0</v>
      </c>
      <c r="N21" s="142">
        <v>0</v>
      </c>
      <c r="O21" s="142">
        <f t="shared" si="3"/>
        <v>0</v>
      </c>
      <c r="P21" s="142">
        <v>0</v>
      </c>
      <c r="Q21" s="142">
        <v>0</v>
      </c>
      <c r="R21" s="142">
        <v>0</v>
      </c>
      <c r="S21" s="142">
        <v>0</v>
      </c>
      <c r="T21" s="142">
        <f t="shared" si="4"/>
        <v>0</v>
      </c>
      <c r="U21" s="142">
        <v>0</v>
      </c>
      <c r="V21" s="142">
        <v>0</v>
      </c>
      <c r="W21" s="142">
        <v>0</v>
      </c>
      <c r="X21" s="142">
        <v>0</v>
      </c>
      <c r="Y21" s="142">
        <f>Z21+AA21+AB21+AC21</f>
        <v>0</v>
      </c>
      <c r="Z21" s="142">
        <v>0</v>
      </c>
      <c r="AA21" s="142">
        <v>0</v>
      </c>
      <c r="AB21" s="142">
        <v>0</v>
      </c>
      <c r="AC21" s="142">
        <v>0</v>
      </c>
      <c r="AD21" s="142">
        <f t="shared" si="5"/>
        <v>53</v>
      </c>
    </row>
    <row r="22" spans="1:31" ht="46.5">
      <c r="A22" s="155" t="s">
        <v>212</v>
      </c>
      <c r="B22" s="170" t="s">
        <v>123</v>
      </c>
      <c r="C22" s="269" t="s">
        <v>94</v>
      </c>
      <c r="D22" s="141">
        <v>2020</v>
      </c>
      <c r="E22" s="178">
        <f t="shared" si="1"/>
        <v>130</v>
      </c>
      <c r="F22" s="178">
        <f>112+18</f>
        <v>130</v>
      </c>
      <c r="G22" s="178">
        <v>0</v>
      </c>
      <c r="H22" s="178">
        <v>0</v>
      </c>
      <c r="I22" s="178">
        <v>0</v>
      </c>
      <c r="J22" s="178">
        <f t="shared" si="2"/>
        <v>0</v>
      </c>
      <c r="K22" s="178">
        <v>0</v>
      </c>
      <c r="L22" s="178">
        <v>0</v>
      </c>
      <c r="M22" s="142">
        <v>0</v>
      </c>
      <c r="N22" s="142">
        <v>0</v>
      </c>
      <c r="O22" s="142">
        <f t="shared" si="3"/>
        <v>0</v>
      </c>
      <c r="P22" s="142">
        <v>0</v>
      </c>
      <c r="Q22" s="142">
        <v>0</v>
      </c>
      <c r="R22" s="142">
        <v>0</v>
      </c>
      <c r="S22" s="142">
        <v>0</v>
      </c>
      <c r="T22" s="142">
        <f t="shared" si="4"/>
        <v>0</v>
      </c>
      <c r="U22" s="142">
        <v>0</v>
      </c>
      <c r="V22" s="142">
        <v>0</v>
      </c>
      <c r="W22" s="142">
        <v>0</v>
      </c>
      <c r="X22" s="142">
        <v>0</v>
      </c>
      <c r="Y22" s="142">
        <f>Z22+AA22+AB22+AC22</f>
        <v>0</v>
      </c>
      <c r="Z22" s="142">
        <v>0</v>
      </c>
      <c r="AA22" s="142">
        <v>0</v>
      </c>
      <c r="AB22" s="142">
        <v>0</v>
      </c>
      <c r="AC22" s="142">
        <v>0</v>
      </c>
      <c r="AD22" s="142">
        <f t="shared" si="5"/>
        <v>130</v>
      </c>
    </row>
    <row r="23" spans="1:31" ht="46.5">
      <c r="A23" s="155" t="s">
        <v>213</v>
      </c>
      <c r="B23" s="170" t="s">
        <v>125</v>
      </c>
      <c r="C23" s="269" t="s">
        <v>94</v>
      </c>
      <c r="D23" s="141" t="s">
        <v>164</v>
      </c>
      <c r="E23" s="178">
        <v>120</v>
      </c>
      <c r="F23" s="178">
        <v>120</v>
      </c>
      <c r="G23" s="178">
        <v>0</v>
      </c>
      <c r="H23" s="178">
        <v>0</v>
      </c>
      <c r="I23" s="178">
        <v>0</v>
      </c>
      <c r="J23" s="178">
        <f>K23+L23+M23+N23</f>
        <v>60</v>
      </c>
      <c r="K23" s="178">
        <f>60</f>
        <v>60</v>
      </c>
      <c r="L23" s="178">
        <v>0</v>
      </c>
      <c r="M23" s="142">
        <v>0</v>
      </c>
      <c r="N23" s="142">
        <v>0</v>
      </c>
      <c r="O23" s="142">
        <f t="shared" si="3"/>
        <v>0</v>
      </c>
      <c r="P23" s="142">
        <v>0</v>
      </c>
      <c r="Q23" s="142">
        <v>0</v>
      </c>
      <c r="R23" s="142">
        <v>0</v>
      </c>
      <c r="S23" s="142">
        <v>0</v>
      </c>
      <c r="T23" s="142">
        <f t="shared" si="4"/>
        <v>0</v>
      </c>
      <c r="U23" s="142">
        <v>0</v>
      </c>
      <c r="V23" s="142">
        <v>0</v>
      </c>
      <c r="W23" s="142">
        <v>0</v>
      </c>
      <c r="X23" s="142">
        <v>0</v>
      </c>
      <c r="Y23" s="142">
        <v>90</v>
      </c>
      <c r="Z23" s="142">
        <v>90</v>
      </c>
      <c r="AA23" s="142">
        <v>0</v>
      </c>
      <c r="AB23" s="142">
        <v>0</v>
      </c>
      <c r="AC23" s="142">
        <v>0</v>
      </c>
      <c r="AD23" s="142">
        <f t="shared" si="5"/>
        <v>270</v>
      </c>
    </row>
    <row r="24" spans="1:31" ht="37.5">
      <c r="A24" s="155" t="s">
        <v>214</v>
      </c>
      <c r="B24" s="170" t="s">
        <v>205</v>
      </c>
      <c r="C24" s="269" t="s">
        <v>52</v>
      </c>
      <c r="D24" s="141" t="s">
        <v>287</v>
      </c>
      <c r="E24" s="178">
        <v>23068</v>
      </c>
      <c r="F24" s="178">
        <v>0</v>
      </c>
      <c r="G24" s="178">
        <v>23068</v>
      </c>
      <c r="H24" s="178">
        <v>0</v>
      </c>
      <c r="I24" s="178">
        <v>0</v>
      </c>
      <c r="J24" s="178">
        <f>K24+L24+M24+N24</f>
        <v>23742</v>
      </c>
      <c r="K24" s="178">
        <v>0</v>
      </c>
      <c r="L24" s="178">
        <v>23742</v>
      </c>
      <c r="M24" s="142">
        <v>0</v>
      </c>
      <c r="N24" s="142">
        <v>0</v>
      </c>
      <c r="O24" s="136">
        <f t="shared" si="3"/>
        <v>23742</v>
      </c>
      <c r="P24" s="142">
        <v>0</v>
      </c>
      <c r="Q24" s="136">
        <v>23742</v>
      </c>
      <c r="R24" s="142">
        <v>0</v>
      </c>
      <c r="S24" s="142">
        <v>0</v>
      </c>
      <c r="T24" s="136">
        <f t="shared" si="4"/>
        <v>23742</v>
      </c>
      <c r="U24" s="142">
        <v>0</v>
      </c>
      <c r="V24" s="136">
        <v>23742</v>
      </c>
      <c r="W24" s="142">
        <v>0</v>
      </c>
      <c r="X24" s="142">
        <v>0</v>
      </c>
      <c r="Y24" s="142">
        <v>0</v>
      </c>
      <c r="Z24" s="142">
        <v>0</v>
      </c>
      <c r="AA24" s="142">
        <v>0</v>
      </c>
      <c r="AB24" s="142">
        <v>0</v>
      </c>
      <c r="AC24" s="142">
        <v>0</v>
      </c>
      <c r="AD24" s="142">
        <f>E24+J24+O24+T24+Y24</f>
        <v>94294</v>
      </c>
    </row>
    <row r="25" spans="1:31" ht="46.5">
      <c r="A25" s="155" t="s">
        <v>215</v>
      </c>
      <c r="B25" s="170" t="s">
        <v>198</v>
      </c>
      <c r="C25" s="269" t="s">
        <v>52</v>
      </c>
      <c r="D25" s="141" t="s">
        <v>287</v>
      </c>
      <c r="E25" s="178">
        <v>238</v>
      </c>
      <c r="F25" s="179">
        <v>0</v>
      </c>
      <c r="G25" s="178">
        <v>238</v>
      </c>
      <c r="H25" s="178">
        <v>0</v>
      </c>
      <c r="I25" s="178">
        <v>0</v>
      </c>
      <c r="J25" s="178">
        <f>K25+L25+M25+N25</f>
        <v>476</v>
      </c>
      <c r="K25" s="178">
        <v>0</v>
      </c>
      <c r="L25" s="178">
        <v>476</v>
      </c>
      <c r="M25" s="142">
        <v>0</v>
      </c>
      <c r="N25" s="142">
        <v>0</v>
      </c>
      <c r="O25" s="136">
        <f t="shared" si="3"/>
        <v>476</v>
      </c>
      <c r="P25" s="142">
        <v>0</v>
      </c>
      <c r="Q25" s="136">
        <v>476</v>
      </c>
      <c r="R25" s="142">
        <v>0</v>
      </c>
      <c r="S25" s="142">
        <v>0</v>
      </c>
      <c r="T25" s="136">
        <f t="shared" si="4"/>
        <v>476</v>
      </c>
      <c r="U25" s="142">
        <v>0</v>
      </c>
      <c r="V25" s="136">
        <v>476</v>
      </c>
      <c r="W25" s="142">
        <v>0</v>
      </c>
      <c r="X25" s="142">
        <v>0</v>
      </c>
      <c r="Y25" s="142">
        <v>0</v>
      </c>
      <c r="Z25" s="142">
        <v>0</v>
      </c>
      <c r="AA25" s="142">
        <v>0</v>
      </c>
      <c r="AB25" s="142">
        <v>0</v>
      </c>
      <c r="AC25" s="142">
        <v>0</v>
      </c>
      <c r="AD25" s="142">
        <f>E25+J25+O25+T25+Y25</f>
        <v>1666</v>
      </c>
    </row>
    <row r="26" spans="1:31" ht="46.5">
      <c r="A26" s="155" t="s">
        <v>216</v>
      </c>
      <c r="B26" s="175" t="s">
        <v>217</v>
      </c>
      <c r="C26" s="269" t="s">
        <v>94</v>
      </c>
      <c r="D26" s="141">
        <v>2020</v>
      </c>
      <c r="E26" s="178">
        <f>F26+G26+H26+I26</f>
        <v>120</v>
      </c>
      <c r="F26" s="178">
        <f>300-180</f>
        <v>120</v>
      </c>
      <c r="G26" s="178">
        <v>0</v>
      </c>
      <c r="H26" s="178">
        <v>0</v>
      </c>
      <c r="I26" s="178">
        <v>0</v>
      </c>
      <c r="J26" s="178">
        <f>K26+L26+M26+N26</f>
        <v>0</v>
      </c>
      <c r="K26" s="178">
        <v>0</v>
      </c>
      <c r="L26" s="178">
        <v>0</v>
      </c>
      <c r="M26" s="142">
        <v>0</v>
      </c>
      <c r="N26" s="142">
        <v>0</v>
      </c>
      <c r="O26" s="142">
        <f t="shared" si="3"/>
        <v>0</v>
      </c>
      <c r="P26" s="142">
        <v>0</v>
      </c>
      <c r="Q26" s="142">
        <v>0</v>
      </c>
      <c r="R26" s="142">
        <v>0</v>
      </c>
      <c r="S26" s="142">
        <v>0</v>
      </c>
      <c r="T26" s="142">
        <f t="shared" si="4"/>
        <v>0</v>
      </c>
      <c r="U26" s="142">
        <v>0</v>
      </c>
      <c r="V26" s="142">
        <v>0</v>
      </c>
      <c r="W26" s="142">
        <v>0</v>
      </c>
      <c r="X26" s="142">
        <v>0</v>
      </c>
      <c r="Y26" s="142">
        <f>Z26+AA26+AB26+AC26</f>
        <v>0</v>
      </c>
      <c r="Z26" s="142">
        <v>0</v>
      </c>
      <c r="AA26" s="142">
        <v>0</v>
      </c>
      <c r="AB26" s="142">
        <v>0</v>
      </c>
      <c r="AC26" s="142">
        <v>0</v>
      </c>
      <c r="AD26" s="142">
        <f t="shared" si="5"/>
        <v>120</v>
      </c>
    </row>
    <row r="27" spans="1:31" ht="23.25">
      <c r="A27" s="575" t="s">
        <v>19</v>
      </c>
      <c r="B27" s="575"/>
      <c r="C27" s="575"/>
      <c r="D27" s="206"/>
      <c r="E27" s="148">
        <f>E28+E29+E30</f>
        <v>76431.37</v>
      </c>
      <c r="F27" s="148">
        <f>SUM(F13:F26)</f>
        <v>50955.7</v>
      </c>
      <c r="G27" s="148">
        <f>G28+G29+G30</f>
        <v>23306</v>
      </c>
      <c r="H27" s="148">
        <f>SUM(H13:H17)</f>
        <v>0</v>
      </c>
      <c r="I27" s="148">
        <f>SUM(I13:I17)</f>
        <v>2169.67</v>
      </c>
      <c r="J27" s="148">
        <f>J28+J29+J30</f>
        <v>77213</v>
      </c>
      <c r="K27" s="148">
        <f>K28+K29</f>
        <v>52995</v>
      </c>
      <c r="L27" s="148">
        <f>L13+L14+L15+L16+L17+L18+L19+L20+L21+L22+L23+L24+L25+L26</f>
        <v>24218</v>
      </c>
      <c r="M27" s="148">
        <f>SUM(M13:M17)</f>
        <v>0</v>
      </c>
      <c r="N27" s="148">
        <f>SUM(N13:N17)</f>
        <v>0</v>
      </c>
      <c r="O27" s="258">
        <f>O24+O25</f>
        <v>24218</v>
      </c>
      <c r="P27" s="148">
        <f>P28+P29</f>
        <v>0</v>
      </c>
      <c r="Q27" s="258">
        <f>Q28+Q29+Q30</f>
        <v>24218</v>
      </c>
      <c r="R27" s="148">
        <f>SUM(R13:R17)</f>
        <v>0</v>
      </c>
      <c r="S27" s="148">
        <f>SUM(S13:S17)</f>
        <v>0</v>
      </c>
      <c r="T27" s="258">
        <f>SUM(T13:T26)</f>
        <v>24218</v>
      </c>
      <c r="U27" s="148">
        <f>SUM(U13:U26)</f>
        <v>0</v>
      </c>
      <c r="V27" s="258">
        <f>V28+V29+V30</f>
        <v>24218</v>
      </c>
      <c r="W27" s="148">
        <f>SUM(W13:W16)</f>
        <v>0</v>
      </c>
      <c r="X27" s="148">
        <f>SUM(X13:X16)</f>
        <v>0</v>
      </c>
      <c r="Y27" s="148">
        <f>Y28+Y29</f>
        <v>54395.3</v>
      </c>
      <c r="Z27" s="148">
        <f>Z28+Z29+Z30</f>
        <v>54395.3</v>
      </c>
      <c r="AA27" s="148">
        <f>SUM(AA13:AA17)</f>
        <v>0</v>
      </c>
      <c r="AB27" s="148">
        <f>SUM(AB13:AB17)</f>
        <v>0</v>
      </c>
      <c r="AC27" s="148">
        <f>SUM(AC13:AC17)</f>
        <v>0</v>
      </c>
      <c r="AD27" s="148">
        <f>AD28+AD29+AD30</f>
        <v>256475.66999999998</v>
      </c>
    </row>
    <row r="28" spans="1:31" ht="23.25">
      <c r="A28" s="267" t="s">
        <v>14</v>
      </c>
      <c r="B28" s="275"/>
      <c r="C28" s="276"/>
      <c r="D28" s="157"/>
      <c r="E28" s="142">
        <f>F28+G28+H28+I28</f>
        <v>36295.369999999995</v>
      </c>
      <c r="F28" s="142">
        <f>F13+F14+F16</f>
        <v>34125.699999999997</v>
      </c>
      <c r="G28" s="142">
        <f>G13+G14+G16</f>
        <v>0</v>
      </c>
      <c r="H28" s="142">
        <f>G13+G14+G16</f>
        <v>0</v>
      </c>
      <c r="I28" s="142">
        <f>I14+I16</f>
        <v>2169.67</v>
      </c>
      <c r="J28" s="142">
        <f t="shared" ref="J28:V28" si="6">J13+J14+J16</f>
        <v>35500</v>
      </c>
      <c r="K28" s="142">
        <f t="shared" si="6"/>
        <v>35500</v>
      </c>
      <c r="L28" s="142">
        <f t="shared" si="6"/>
        <v>0</v>
      </c>
      <c r="M28" s="142">
        <f t="shared" si="6"/>
        <v>0</v>
      </c>
      <c r="N28" s="142">
        <f t="shared" si="6"/>
        <v>0</v>
      </c>
      <c r="O28" s="142">
        <f t="shared" si="6"/>
        <v>0</v>
      </c>
      <c r="P28" s="142">
        <f t="shared" si="6"/>
        <v>0</v>
      </c>
      <c r="Q28" s="142">
        <f t="shared" si="6"/>
        <v>0</v>
      </c>
      <c r="R28" s="142">
        <f t="shared" si="6"/>
        <v>0</v>
      </c>
      <c r="S28" s="142">
        <f t="shared" si="6"/>
        <v>0</v>
      </c>
      <c r="T28" s="142">
        <f t="shared" si="6"/>
        <v>0</v>
      </c>
      <c r="U28" s="142">
        <f t="shared" si="6"/>
        <v>0</v>
      </c>
      <c r="V28" s="142">
        <f t="shared" si="6"/>
        <v>0</v>
      </c>
      <c r="W28" s="142">
        <f>W13+W14+W16</f>
        <v>0</v>
      </c>
      <c r="X28" s="142">
        <f t="shared" ref="X28:AC28" si="7">X13+X14+X16</f>
        <v>0</v>
      </c>
      <c r="Y28" s="142">
        <f t="shared" si="7"/>
        <v>35500</v>
      </c>
      <c r="Z28" s="142">
        <f>Z13+Z14+Z16</f>
        <v>35500</v>
      </c>
      <c r="AA28" s="142">
        <f t="shared" si="7"/>
        <v>0</v>
      </c>
      <c r="AB28" s="142">
        <f t="shared" si="7"/>
        <v>0</v>
      </c>
      <c r="AC28" s="142">
        <f t="shared" si="7"/>
        <v>0</v>
      </c>
      <c r="AD28" s="142">
        <f>E28+J28+O28+T28+Y28</f>
        <v>107295.37</v>
      </c>
    </row>
    <row r="29" spans="1:31" ht="23.25">
      <c r="A29" s="267" t="s">
        <v>135</v>
      </c>
      <c r="B29" s="207"/>
      <c r="C29" s="208"/>
      <c r="D29" s="157"/>
      <c r="E29" s="142">
        <f>E15+E17+E18+E19+E20+E21+E22+E23+E26</f>
        <v>16830</v>
      </c>
      <c r="F29" s="142">
        <f>F15+F17+F18+F19+F20+F21+F22+F23+F26</f>
        <v>16830</v>
      </c>
      <c r="G29" s="142">
        <f>G15+G16</f>
        <v>0</v>
      </c>
      <c r="H29" s="142">
        <f>H15+H17+H18+H19+H20+H21+H22+H23+H26</f>
        <v>0</v>
      </c>
      <c r="I29" s="142">
        <f>I15+I17+I17+I18+I19+I20+I21+I22+I23+I26</f>
        <v>0</v>
      </c>
      <c r="J29" s="142">
        <f>J15+J17+J18+J19+J20+J21+J22+J23+J26</f>
        <v>17495</v>
      </c>
      <c r="K29" s="142">
        <f>K15+K17+K18+K19+K20+K21+K22+K23+K26</f>
        <v>17495</v>
      </c>
      <c r="L29" s="142">
        <f>L15+L17+L18+L19+L20+L21+L22+L23+L26</f>
        <v>0</v>
      </c>
      <c r="M29" s="142">
        <f>M24+M25</f>
        <v>0</v>
      </c>
      <c r="N29" s="142">
        <f>N24+N25</f>
        <v>0</v>
      </c>
      <c r="O29" s="142">
        <f>O26+O23+O13+O22+O21+O20+O19+O18+O17+O16+O15</f>
        <v>0</v>
      </c>
      <c r="P29" s="142">
        <f t="shared" ref="P29:AC29" si="8">P15+P17+P18+P19+P20+P21+P22+P23+P26</f>
        <v>0</v>
      </c>
      <c r="Q29" s="142">
        <f t="shared" si="8"/>
        <v>0</v>
      </c>
      <c r="R29" s="142">
        <f t="shared" si="8"/>
        <v>0</v>
      </c>
      <c r="S29" s="142">
        <f t="shared" si="8"/>
        <v>0</v>
      </c>
      <c r="T29" s="142">
        <f t="shared" si="8"/>
        <v>0</v>
      </c>
      <c r="U29" s="142">
        <f>U15+U17+U18+U19+U20+U21+U22+U23+U26</f>
        <v>0</v>
      </c>
      <c r="V29" s="142">
        <f t="shared" si="8"/>
        <v>0</v>
      </c>
      <c r="W29" s="142">
        <f t="shared" si="8"/>
        <v>0</v>
      </c>
      <c r="X29" s="142">
        <f t="shared" si="8"/>
        <v>0</v>
      </c>
      <c r="Y29" s="142">
        <f t="shared" si="8"/>
        <v>18895.3</v>
      </c>
      <c r="Z29" s="142">
        <f>Z15+Z17+Z18+Z19+Z20+Z21+Z22+Z23+Z26</f>
        <v>18895.3</v>
      </c>
      <c r="AA29" s="142">
        <f t="shared" si="8"/>
        <v>0</v>
      </c>
      <c r="AB29" s="142">
        <f t="shared" si="8"/>
        <v>0</v>
      </c>
      <c r="AC29" s="142">
        <f t="shared" si="8"/>
        <v>0</v>
      </c>
      <c r="AD29" s="142">
        <f>E29+J29+O29+T29+Y29</f>
        <v>53220.3</v>
      </c>
      <c r="AE29" s="209"/>
    </row>
    <row r="30" spans="1:31" ht="23.25">
      <c r="A30" s="275" t="s">
        <v>73</v>
      </c>
      <c r="B30" s="276"/>
      <c r="C30" s="276"/>
      <c r="D30" s="210"/>
      <c r="E30" s="142">
        <f t="shared" ref="E30:S30" si="9">E24+E25</f>
        <v>23306</v>
      </c>
      <c r="F30" s="142">
        <f t="shared" si="9"/>
        <v>0</v>
      </c>
      <c r="G30" s="142">
        <f t="shared" si="9"/>
        <v>23306</v>
      </c>
      <c r="H30" s="142">
        <f t="shared" si="9"/>
        <v>0</v>
      </c>
      <c r="I30" s="142">
        <f t="shared" si="9"/>
        <v>0</v>
      </c>
      <c r="J30" s="142">
        <f t="shared" si="9"/>
        <v>24218</v>
      </c>
      <c r="K30" s="142">
        <f t="shared" si="9"/>
        <v>0</v>
      </c>
      <c r="L30" s="142">
        <f t="shared" si="9"/>
        <v>24218</v>
      </c>
      <c r="M30" s="142">
        <f t="shared" si="9"/>
        <v>0</v>
      </c>
      <c r="N30" s="142">
        <f t="shared" si="9"/>
        <v>0</v>
      </c>
      <c r="O30" s="136">
        <f t="shared" si="9"/>
        <v>24218</v>
      </c>
      <c r="P30" s="142">
        <f t="shared" si="9"/>
        <v>0</v>
      </c>
      <c r="Q30" s="136">
        <f>Q24+Q25</f>
        <v>24218</v>
      </c>
      <c r="R30" s="142">
        <f t="shared" si="9"/>
        <v>0</v>
      </c>
      <c r="S30" s="142">
        <f t="shared" si="9"/>
        <v>0</v>
      </c>
      <c r="T30" s="136">
        <f>T24+T25</f>
        <v>24218</v>
      </c>
      <c r="U30" s="142">
        <f>U25+U24</f>
        <v>0</v>
      </c>
      <c r="V30" s="136">
        <f>V24+V25</f>
        <v>24218</v>
      </c>
      <c r="W30" s="142">
        <f t="shared" ref="W30:AC30" si="10">W24+W25</f>
        <v>0</v>
      </c>
      <c r="X30" s="142">
        <f t="shared" si="10"/>
        <v>0</v>
      </c>
      <c r="Y30" s="142">
        <f t="shared" si="10"/>
        <v>0</v>
      </c>
      <c r="Z30" s="142">
        <f t="shared" si="10"/>
        <v>0</v>
      </c>
      <c r="AA30" s="142">
        <f t="shared" si="10"/>
        <v>0</v>
      </c>
      <c r="AB30" s="142">
        <f t="shared" si="10"/>
        <v>0</v>
      </c>
      <c r="AC30" s="142">
        <f t="shared" si="10"/>
        <v>0</v>
      </c>
      <c r="AD30" s="142">
        <f>E30+J30+O30+T30+Y30</f>
        <v>95960</v>
      </c>
      <c r="AE30" s="209"/>
    </row>
    <row r="31" spans="1:31" ht="23.25">
      <c r="A31" s="41" t="s">
        <v>222</v>
      </c>
      <c r="B31" s="628" t="s">
        <v>276</v>
      </c>
      <c r="C31" s="629"/>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4"/>
    </row>
    <row r="32" spans="1:31" ht="93">
      <c r="A32" s="155" t="s">
        <v>21</v>
      </c>
      <c r="B32" s="185" t="s">
        <v>192</v>
      </c>
      <c r="C32" s="41" t="s">
        <v>94</v>
      </c>
      <c r="D32" s="41" t="s">
        <v>93</v>
      </c>
      <c r="E32" s="142">
        <f>F32+G32+H32+I32</f>
        <v>1892</v>
      </c>
      <c r="F32" s="142">
        <f>2664-772</f>
        <v>1892</v>
      </c>
      <c r="G32" s="142">
        <v>0</v>
      </c>
      <c r="H32" s="142">
        <v>0</v>
      </c>
      <c r="I32" s="142">
        <v>0</v>
      </c>
      <c r="J32" s="136">
        <f>K32+L32+M32+N32</f>
        <v>1606</v>
      </c>
      <c r="K32" s="136">
        <f>1892-286</f>
        <v>1606</v>
      </c>
      <c r="L32" s="142">
        <v>0</v>
      </c>
      <c r="M32" s="142">
        <v>0</v>
      </c>
      <c r="N32" s="142">
        <v>0</v>
      </c>
      <c r="O32" s="142">
        <f>P32+Q32+R32+S32</f>
        <v>0</v>
      </c>
      <c r="P32" s="142">
        <v>0</v>
      </c>
      <c r="Q32" s="142">
        <v>0</v>
      </c>
      <c r="R32" s="142">
        <v>0</v>
      </c>
      <c r="S32" s="142">
        <v>0</v>
      </c>
      <c r="T32" s="142">
        <f>U32+V32+W32+X32</f>
        <v>0</v>
      </c>
      <c r="U32" s="142">
        <v>0</v>
      </c>
      <c r="V32" s="142">
        <v>0</v>
      </c>
      <c r="W32" s="142">
        <v>0</v>
      </c>
      <c r="X32" s="142">
        <v>0</v>
      </c>
      <c r="Y32" s="142">
        <f>Z32+AA32+AB32+AC32</f>
        <v>2664</v>
      </c>
      <c r="Z32" s="142">
        <v>2664</v>
      </c>
      <c r="AA32" s="142">
        <v>0</v>
      </c>
      <c r="AB32" s="142">
        <v>0</v>
      </c>
      <c r="AC32" s="142">
        <v>0</v>
      </c>
      <c r="AD32" s="142">
        <f>E32+J32+O32+T32+Y32</f>
        <v>6162</v>
      </c>
    </row>
    <row r="33" spans="1:31" ht="20.25">
      <c r="A33" s="602" t="s">
        <v>22</v>
      </c>
      <c r="B33" s="603"/>
      <c r="C33" s="604"/>
      <c r="D33" s="274"/>
      <c r="E33" s="148">
        <f>E32</f>
        <v>1892</v>
      </c>
      <c r="F33" s="148">
        <f>SUM(F32)</f>
        <v>1892</v>
      </c>
      <c r="G33" s="148">
        <f t="shared" ref="G33:AD33" si="11">SUM(G32:G32)</f>
        <v>0</v>
      </c>
      <c r="H33" s="148">
        <f t="shared" si="11"/>
        <v>0</v>
      </c>
      <c r="I33" s="148">
        <f t="shared" si="11"/>
        <v>0</v>
      </c>
      <c r="J33" s="148">
        <f>J32</f>
        <v>1606</v>
      </c>
      <c r="K33" s="148">
        <f t="shared" si="11"/>
        <v>1606</v>
      </c>
      <c r="L33" s="148">
        <f t="shared" si="11"/>
        <v>0</v>
      </c>
      <c r="M33" s="148">
        <f t="shared" si="11"/>
        <v>0</v>
      </c>
      <c r="N33" s="148">
        <f t="shared" si="11"/>
        <v>0</v>
      </c>
      <c r="O33" s="148">
        <f t="shared" si="11"/>
        <v>0</v>
      </c>
      <c r="P33" s="148">
        <f t="shared" si="11"/>
        <v>0</v>
      </c>
      <c r="Q33" s="148">
        <f t="shared" si="11"/>
        <v>0</v>
      </c>
      <c r="R33" s="148">
        <f t="shared" si="11"/>
        <v>0</v>
      </c>
      <c r="S33" s="148">
        <f t="shared" si="11"/>
        <v>0</v>
      </c>
      <c r="T33" s="148">
        <f t="shared" si="11"/>
        <v>0</v>
      </c>
      <c r="U33" s="148">
        <f t="shared" si="11"/>
        <v>0</v>
      </c>
      <c r="V33" s="148">
        <f t="shared" si="11"/>
        <v>0</v>
      </c>
      <c r="W33" s="148">
        <f t="shared" si="11"/>
        <v>0</v>
      </c>
      <c r="X33" s="148">
        <f t="shared" si="11"/>
        <v>0</v>
      </c>
      <c r="Y33" s="148">
        <f t="shared" si="11"/>
        <v>2664</v>
      </c>
      <c r="Z33" s="148">
        <f t="shared" si="11"/>
        <v>2664</v>
      </c>
      <c r="AA33" s="148">
        <f t="shared" si="11"/>
        <v>0</v>
      </c>
      <c r="AB33" s="148">
        <f t="shared" si="11"/>
        <v>0</v>
      </c>
      <c r="AC33" s="148">
        <f t="shared" si="11"/>
        <v>0</v>
      </c>
      <c r="AD33" s="148">
        <f t="shared" si="11"/>
        <v>6162</v>
      </c>
    </row>
    <row r="34" spans="1:31" ht="20.25">
      <c r="A34" s="41" t="s">
        <v>229</v>
      </c>
      <c r="B34" s="605" t="s">
        <v>277</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7"/>
    </row>
    <row r="35" spans="1:31" ht="46.5">
      <c r="A35" s="155" t="s">
        <v>24</v>
      </c>
      <c r="B35" s="185" t="s">
        <v>288</v>
      </c>
      <c r="C35" s="205" t="s">
        <v>94</v>
      </c>
      <c r="D35" s="41" t="s">
        <v>93</v>
      </c>
      <c r="E35" s="142">
        <f>F35+G35+H35+I35</f>
        <v>2949</v>
      </c>
      <c r="F35" s="142">
        <v>2949</v>
      </c>
      <c r="G35" s="142">
        <v>0</v>
      </c>
      <c r="H35" s="142">
        <v>0</v>
      </c>
      <c r="I35" s="142">
        <v>0</v>
      </c>
      <c r="J35" s="136">
        <f>K35+L35+M35+N35</f>
        <v>2362</v>
      </c>
      <c r="K35" s="136">
        <f>1775+587</f>
        <v>2362</v>
      </c>
      <c r="L35" s="142">
        <v>0</v>
      </c>
      <c r="M35" s="142">
        <v>0</v>
      </c>
      <c r="N35" s="142">
        <v>0</v>
      </c>
      <c r="O35" s="142">
        <f xml:space="preserve"> SUM(P35:S35)</f>
        <v>0</v>
      </c>
      <c r="P35" s="142">
        <v>0</v>
      </c>
      <c r="Q35" s="142">
        <f>SUM(Q36,Q37,Q38,Q39)</f>
        <v>0</v>
      </c>
      <c r="R35" s="142">
        <f>SUM(R36,R37,R38,R39)</f>
        <v>0</v>
      </c>
      <c r="S35" s="142">
        <f>SUM(S36,S37,S38,S39)</f>
        <v>0</v>
      </c>
      <c r="T35" s="142">
        <f xml:space="preserve"> SUM(U35:X35)</f>
        <v>0</v>
      </c>
      <c r="U35" s="142">
        <v>0</v>
      </c>
      <c r="V35" s="142">
        <f>SUM(V36,V37,V38,V39)</f>
        <v>0</v>
      </c>
      <c r="W35" s="142">
        <f>SUM(W36,W37,W38,W39)</f>
        <v>0</v>
      </c>
      <c r="X35" s="142">
        <f>SUM(X36,X37,X38,X39)</f>
        <v>0</v>
      </c>
      <c r="Y35" s="142">
        <f xml:space="preserve"> SUM(Z35:AC35)</f>
        <v>3306</v>
      </c>
      <c r="Z35" s="142">
        <v>3306</v>
      </c>
      <c r="AA35" s="142">
        <f>SUM(AA36,AA37,AA38,AA39)</f>
        <v>0</v>
      </c>
      <c r="AB35" s="142">
        <f>SUM(AB36,AB37,AB38,AB39)</f>
        <v>0</v>
      </c>
      <c r="AC35" s="142">
        <f>SUM(AC36,AC37,AC38,AC39)</f>
        <v>0</v>
      </c>
      <c r="AD35" s="142">
        <f>E35+J35+O35+T35+Y35</f>
        <v>8617</v>
      </c>
    </row>
    <row r="36" spans="1:31" ht="139.5">
      <c r="A36" s="155" t="s">
        <v>151</v>
      </c>
      <c r="B36" s="175" t="s">
        <v>76</v>
      </c>
      <c r="C36" s="205" t="s">
        <v>94</v>
      </c>
      <c r="D36" s="41" t="s">
        <v>93</v>
      </c>
      <c r="E36" s="142">
        <f t="shared" ref="E36:E46" si="12">F36+G36+H36+I36</f>
        <v>9</v>
      </c>
      <c r="F36" s="142">
        <v>9</v>
      </c>
      <c r="G36" s="142">
        <v>0</v>
      </c>
      <c r="H36" s="142">
        <v>0</v>
      </c>
      <c r="I36" s="142">
        <v>0</v>
      </c>
      <c r="J36" s="142">
        <f t="shared" ref="J36:J46" si="13">K36+L36+M36+N36</f>
        <v>9</v>
      </c>
      <c r="K36" s="142">
        <v>9</v>
      </c>
      <c r="L36" s="142">
        <v>0</v>
      </c>
      <c r="M36" s="142">
        <v>0</v>
      </c>
      <c r="N36" s="142">
        <v>0</v>
      </c>
      <c r="O36" s="142">
        <f t="shared" ref="O36:O46" si="14">P36+Q36+R36+S36</f>
        <v>0</v>
      </c>
      <c r="P36" s="142">
        <v>0</v>
      </c>
      <c r="Q36" s="142">
        <v>0</v>
      </c>
      <c r="R36" s="142">
        <v>0</v>
      </c>
      <c r="S36" s="142">
        <v>0</v>
      </c>
      <c r="T36" s="142">
        <f t="shared" ref="T36:T46" si="15">U36+V36+W36+X36</f>
        <v>0</v>
      </c>
      <c r="U36" s="142">
        <v>0</v>
      </c>
      <c r="V36" s="142">
        <v>0</v>
      </c>
      <c r="W36" s="142">
        <v>0</v>
      </c>
      <c r="X36" s="142">
        <v>0</v>
      </c>
      <c r="Y36" s="142">
        <f t="shared" ref="Y36:Y46" si="16">Z36+AA36+AB36+AC36</f>
        <v>9</v>
      </c>
      <c r="Z36" s="142">
        <v>9</v>
      </c>
      <c r="AA36" s="142">
        <v>0</v>
      </c>
      <c r="AB36" s="142">
        <v>0</v>
      </c>
      <c r="AC36" s="142">
        <v>0</v>
      </c>
      <c r="AD36" s="142">
        <f t="shared" ref="AD36:AD48" si="17">E36+J36+O36+T36+Y36</f>
        <v>27</v>
      </c>
    </row>
    <row r="37" spans="1:31" ht="37.5">
      <c r="A37" s="155" t="s">
        <v>235</v>
      </c>
      <c r="B37" s="175" t="s">
        <v>71</v>
      </c>
      <c r="C37" s="41" t="s">
        <v>94</v>
      </c>
      <c r="D37" s="41" t="s">
        <v>168</v>
      </c>
      <c r="E37" s="142">
        <f t="shared" si="12"/>
        <v>426</v>
      </c>
      <c r="F37" s="142">
        <v>426</v>
      </c>
      <c r="G37" s="142">
        <v>0</v>
      </c>
      <c r="H37" s="142">
        <v>0</v>
      </c>
      <c r="I37" s="142">
        <v>0</v>
      </c>
      <c r="J37" s="142">
        <f t="shared" si="13"/>
        <v>0</v>
      </c>
      <c r="K37" s="142">
        <v>0</v>
      </c>
      <c r="L37" s="142">
        <v>0</v>
      </c>
      <c r="M37" s="142">
        <v>0</v>
      </c>
      <c r="N37" s="142">
        <v>0</v>
      </c>
      <c r="O37" s="142">
        <f t="shared" si="14"/>
        <v>0</v>
      </c>
      <c r="P37" s="142">
        <v>0</v>
      </c>
      <c r="Q37" s="142">
        <v>0</v>
      </c>
      <c r="R37" s="142">
        <v>0</v>
      </c>
      <c r="S37" s="142">
        <v>0</v>
      </c>
      <c r="T37" s="142">
        <f t="shared" si="15"/>
        <v>0</v>
      </c>
      <c r="U37" s="142">
        <v>0</v>
      </c>
      <c r="V37" s="142">
        <v>0</v>
      </c>
      <c r="W37" s="142">
        <v>0</v>
      </c>
      <c r="X37" s="142">
        <v>0</v>
      </c>
      <c r="Y37" s="142">
        <f t="shared" si="16"/>
        <v>0</v>
      </c>
      <c r="Z37" s="142">
        <v>0</v>
      </c>
      <c r="AA37" s="142">
        <v>0</v>
      </c>
      <c r="AB37" s="142">
        <v>0</v>
      </c>
      <c r="AC37" s="142">
        <v>0</v>
      </c>
      <c r="AD37" s="142">
        <f>E37+J37+O37+T37+Y37</f>
        <v>426</v>
      </c>
    </row>
    <row r="38" spans="1:31" ht="23.25">
      <c r="A38" s="155" t="s">
        <v>236</v>
      </c>
      <c r="B38" s="175" t="s">
        <v>110</v>
      </c>
      <c r="C38" s="608" t="s">
        <v>105</v>
      </c>
      <c r="D38" s="41" t="s">
        <v>93</v>
      </c>
      <c r="E38" s="142">
        <f t="shared" si="12"/>
        <v>3304</v>
      </c>
      <c r="F38" s="142">
        <v>3304</v>
      </c>
      <c r="G38" s="142">
        <v>0</v>
      </c>
      <c r="H38" s="142">
        <v>0</v>
      </c>
      <c r="I38" s="142">
        <v>0</v>
      </c>
      <c r="J38" s="136">
        <f t="shared" si="13"/>
        <v>3080</v>
      </c>
      <c r="K38" s="136">
        <f>3304-224</f>
        <v>3080</v>
      </c>
      <c r="L38" s="136">
        <v>0</v>
      </c>
      <c r="M38" s="142">
        <v>0</v>
      </c>
      <c r="N38" s="142">
        <v>0</v>
      </c>
      <c r="O38" s="142">
        <f t="shared" si="14"/>
        <v>0</v>
      </c>
      <c r="P38" s="142">
        <v>0</v>
      </c>
      <c r="Q38" s="142">
        <v>0</v>
      </c>
      <c r="R38" s="142">
        <v>0</v>
      </c>
      <c r="S38" s="142">
        <v>0</v>
      </c>
      <c r="T38" s="142">
        <f t="shared" si="15"/>
        <v>0</v>
      </c>
      <c r="U38" s="142">
        <v>0</v>
      </c>
      <c r="V38" s="142">
        <v>0</v>
      </c>
      <c r="W38" s="142">
        <v>0</v>
      </c>
      <c r="X38" s="142">
        <v>0</v>
      </c>
      <c r="Y38" s="142">
        <f t="shared" si="16"/>
        <v>3304</v>
      </c>
      <c r="Z38" s="142">
        <v>3304</v>
      </c>
      <c r="AA38" s="142">
        <v>0</v>
      </c>
      <c r="AB38" s="142">
        <v>0</v>
      </c>
      <c r="AC38" s="142">
        <v>0</v>
      </c>
      <c r="AD38" s="142">
        <f>E38+J38+O38+T38+Y38</f>
        <v>9688</v>
      </c>
    </row>
    <row r="39" spans="1:31" ht="93">
      <c r="A39" s="155" t="s">
        <v>237</v>
      </c>
      <c r="B39" s="175" t="s">
        <v>191</v>
      </c>
      <c r="C39" s="609"/>
      <c r="D39" s="41" t="s">
        <v>283</v>
      </c>
      <c r="E39" s="142">
        <f t="shared" si="12"/>
        <v>378</v>
      </c>
      <c r="F39" s="142">
        <v>378</v>
      </c>
      <c r="G39" s="142">
        <v>0</v>
      </c>
      <c r="H39" s="142">
        <v>0</v>
      </c>
      <c r="I39" s="142">
        <v>0</v>
      </c>
      <c r="J39" s="136">
        <f t="shared" si="13"/>
        <v>419</v>
      </c>
      <c r="K39" s="136">
        <f>324+95</f>
        <v>419</v>
      </c>
      <c r="L39" s="136">
        <v>0</v>
      </c>
      <c r="M39" s="136">
        <v>0</v>
      </c>
      <c r="N39" s="142">
        <v>0</v>
      </c>
      <c r="O39" s="142">
        <f t="shared" si="14"/>
        <v>0</v>
      </c>
      <c r="P39" s="142">
        <v>0</v>
      </c>
      <c r="Q39" s="142">
        <v>0</v>
      </c>
      <c r="R39" s="142">
        <v>0</v>
      </c>
      <c r="S39" s="142">
        <v>0</v>
      </c>
      <c r="T39" s="142">
        <f t="shared" si="15"/>
        <v>0</v>
      </c>
      <c r="U39" s="142">
        <v>0</v>
      </c>
      <c r="V39" s="142">
        <v>0</v>
      </c>
      <c r="W39" s="142">
        <v>0</v>
      </c>
      <c r="X39" s="142">
        <v>0</v>
      </c>
      <c r="Y39" s="142">
        <f t="shared" si="16"/>
        <v>378</v>
      </c>
      <c r="Z39" s="142">
        <v>378</v>
      </c>
      <c r="AA39" s="142">
        <v>0</v>
      </c>
      <c r="AB39" s="142">
        <v>0</v>
      </c>
      <c r="AC39" s="142">
        <v>0</v>
      </c>
      <c r="AD39" s="142">
        <f>E39+J39+O39+T39+Y39</f>
        <v>1175</v>
      </c>
    </row>
    <row r="40" spans="1:31" ht="93">
      <c r="A40" s="155" t="s">
        <v>238</v>
      </c>
      <c r="B40" s="175" t="s">
        <v>77</v>
      </c>
      <c r="C40" s="205" t="s">
        <v>94</v>
      </c>
      <c r="D40" s="41" t="s">
        <v>93</v>
      </c>
      <c r="E40" s="142">
        <f t="shared" si="12"/>
        <v>12</v>
      </c>
      <c r="F40" s="142">
        <v>12</v>
      </c>
      <c r="G40" s="142">
        <v>0</v>
      </c>
      <c r="H40" s="142">
        <v>0</v>
      </c>
      <c r="I40" s="142">
        <v>0</v>
      </c>
      <c r="J40" s="142">
        <f t="shared" si="13"/>
        <v>12</v>
      </c>
      <c r="K40" s="142">
        <v>12</v>
      </c>
      <c r="L40" s="142">
        <v>0</v>
      </c>
      <c r="M40" s="142">
        <v>0</v>
      </c>
      <c r="N40" s="142">
        <v>0</v>
      </c>
      <c r="O40" s="142">
        <f t="shared" si="14"/>
        <v>0</v>
      </c>
      <c r="P40" s="142">
        <v>0</v>
      </c>
      <c r="Q40" s="142">
        <v>0</v>
      </c>
      <c r="R40" s="142">
        <v>0</v>
      </c>
      <c r="S40" s="142">
        <v>0</v>
      </c>
      <c r="T40" s="142">
        <f t="shared" si="15"/>
        <v>0</v>
      </c>
      <c r="U40" s="142">
        <v>0</v>
      </c>
      <c r="V40" s="142">
        <v>0</v>
      </c>
      <c r="W40" s="142">
        <v>0</v>
      </c>
      <c r="X40" s="142">
        <v>0</v>
      </c>
      <c r="Y40" s="142">
        <f t="shared" si="16"/>
        <v>12</v>
      </c>
      <c r="Z40" s="142">
        <v>12</v>
      </c>
      <c r="AA40" s="142">
        <v>0</v>
      </c>
      <c r="AB40" s="142">
        <v>0</v>
      </c>
      <c r="AC40" s="142">
        <v>0</v>
      </c>
      <c r="AD40" s="142">
        <f t="shared" si="17"/>
        <v>36</v>
      </c>
    </row>
    <row r="41" spans="1:31" ht="93">
      <c r="A41" s="155" t="s">
        <v>239</v>
      </c>
      <c r="B41" s="175" t="s">
        <v>265</v>
      </c>
      <c r="C41" s="610" t="s">
        <v>105</v>
      </c>
      <c r="D41" s="41" t="s">
        <v>168</v>
      </c>
      <c r="E41" s="142">
        <f t="shared" si="12"/>
        <v>50</v>
      </c>
      <c r="F41" s="142">
        <v>50</v>
      </c>
      <c r="G41" s="142">
        <v>0</v>
      </c>
      <c r="H41" s="142">
        <v>0</v>
      </c>
      <c r="I41" s="142">
        <v>0</v>
      </c>
      <c r="J41" s="142">
        <f t="shared" si="13"/>
        <v>0</v>
      </c>
      <c r="K41" s="142">
        <v>0</v>
      </c>
      <c r="L41" s="142">
        <v>0</v>
      </c>
      <c r="M41" s="142">
        <v>0</v>
      </c>
      <c r="N41" s="142">
        <v>0</v>
      </c>
      <c r="O41" s="142">
        <f t="shared" si="14"/>
        <v>0</v>
      </c>
      <c r="P41" s="142">
        <v>0</v>
      </c>
      <c r="Q41" s="142">
        <v>0</v>
      </c>
      <c r="R41" s="142">
        <v>0</v>
      </c>
      <c r="S41" s="142">
        <v>0</v>
      </c>
      <c r="T41" s="142">
        <f t="shared" si="15"/>
        <v>0</v>
      </c>
      <c r="U41" s="142">
        <v>0</v>
      </c>
      <c r="V41" s="142">
        <v>0</v>
      </c>
      <c r="W41" s="142">
        <v>0</v>
      </c>
      <c r="X41" s="142">
        <v>0</v>
      </c>
      <c r="Y41" s="142">
        <f t="shared" si="16"/>
        <v>0</v>
      </c>
      <c r="Z41" s="142">
        <v>0</v>
      </c>
      <c r="AA41" s="142">
        <v>0</v>
      </c>
      <c r="AB41" s="142">
        <v>0</v>
      </c>
      <c r="AC41" s="142">
        <v>0</v>
      </c>
      <c r="AD41" s="142">
        <f t="shared" si="17"/>
        <v>50</v>
      </c>
    </row>
    <row r="42" spans="1:31" ht="69.75">
      <c r="A42" s="155" t="s">
        <v>240</v>
      </c>
      <c r="B42" s="175" t="s">
        <v>111</v>
      </c>
      <c r="C42" s="611"/>
      <c r="D42" s="41" t="s">
        <v>168</v>
      </c>
      <c r="E42" s="142">
        <f t="shared" si="12"/>
        <v>50</v>
      </c>
      <c r="F42" s="142">
        <v>50</v>
      </c>
      <c r="G42" s="142">
        <v>0</v>
      </c>
      <c r="H42" s="142">
        <v>0</v>
      </c>
      <c r="I42" s="142">
        <v>0</v>
      </c>
      <c r="J42" s="142">
        <f t="shared" si="13"/>
        <v>50</v>
      </c>
      <c r="K42" s="142">
        <v>50</v>
      </c>
      <c r="L42" s="142">
        <v>0</v>
      </c>
      <c r="M42" s="142">
        <v>0</v>
      </c>
      <c r="N42" s="142">
        <v>0</v>
      </c>
      <c r="O42" s="142">
        <f t="shared" si="14"/>
        <v>0</v>
      </c>
      <c r="P42" s="142">
        <v>0</v>
      </c>
      <c r="Q42" s="142">
        <v>0</v>
      </c>
      <c r="R42" s="142">
        <v>0</v>
      </c>
      <c r="S42" s="142">
        <v>0</v>
      </c>
      <c r="T42" s="142">
        <f t="shared" si="15"/>
        <v>0</v>
      </c>
      <c r="U42" s="142">
        <v>0</v>
      </c>
      <c r="V42" s="142">
        <v>0</v>
      </c>
      <c r="W42" s="142">
        <v>0</v>
      </c>
      <c r="X42" s="142">
        <v>0</v>
      </c>
      <c r="Y42" s="142">
        <f t="shared" si="16"/>
        <v>0</v>
      </c>
      <c r="Z42" s="142">
        <v>0</v>
      </c>
      <c r="AA42" s="142">
        <v>0</v>
      </c>
      <c r="AB42" s="142">
        <v>0</v>
      </c>
      <c r="AC42" s="142">
        <v>0</v>
      </c>
      <c r="AD42" s="142">
        <f t="shared" si="17"/>
        <v>100</v>
      </c>
    </row>
    <row r="43" spans="1:31" ht="93">
      <c r="A43" s="155" t="s">
        <v>241</v>
      </c>
      <c r="B43" s="175" t="s">
        <v>112</v>
      </c>
      <c r="C43" s="611"/>
      <c r="D43" s="41" t="s">
        <v>93</v>
      </c>
      <c r="E43" s="142">
        <f t="shared" si="12"/>
        <v>810</v>
      </c>
      <c r="F43" s="142">
        <f>480+330</f>
        <v>810</v>
      </c>
      <c r="G43" s="142">
        <v>0</v>
      </c>
      <c r="H43" s="142">
        <v>0</v>
      </c>
      <c r="I43" s="142">
        <v>0</v>
      </c>
      <c r="J43" s="136">
        <f>K43+L43+M43+N43</f>
        <v>770</v>
      </c>
      <c r="K43" s="136">
        <f>720+50</f>
        <v>770</v>
      </c>
      <c r="L43" s="136">
        <v>0</v>
      </c>
      <c r="M43" s="136">
        <v>0</v>
      </c>
      <c r="N43" s="142">
        <v>0</v>
      </c>
      <c r="O43" s="142">
        <f t="shared" si="14"/>
        <v>0</v>
      </c>
      <c r="P43" s="142">
        <v>0</v>
      </c>
      <c r="Q43" s="142">
        <v>0</v>
      </c>
      <c r="R43" s="142">
        <v>0</v>
      </c>
      <c r="S43" s="142">
        <v>0</v>
      </c>
      <c r="T43" s="142">
        <f t="shared" si="15"/>
        <v>0</v>
      </c>
      <c r="U43" s="142">
        <v>0</v>
      </c>
      <c r="V43" s="142">
        <v>0</v>
      </c>
      <c r="W43" s="142">
        <v>0</v>
      </c>
      <c r="X43" s="142">
        <v>0</v>
      </c>
      <c r="Y43" s="142">
        <f t="shared" si="16"/>
        <v>480</v>
      </c>
      <c r="Z43" s="142">
        <v>480</v>
      </c>
      <c r="AA43" s="142">
        <v>0</v>
      </c>
      <c r="AB43" s="142">
        <v>0</v>
      </c>
      <c r="AC43" s="142">
        <v>0</v>
      </c>
      <c r="AD43" s="142">
        <f>E43+J43+O43+T43+Y43</f>
        <v>2060</v>
      </c>
    </row>
    <row r="44" spans="1:31" ht="116.25">
      <c r="A44" s="211" t="s">
        <v>242</v>
      </c>
      <c r="B44" s="175" t="s">
        <v>113</v>
      </c>
      <c r="C44" s="611"/>
      <c r="D44" s="41" t="s">
        <v>168</v>
      </c>
      <c r="E44" s="142">
        <f t="shared" si="12"/>
        <v>30</v>
      </c>
      <c r="F44" s="142">
        <v>30</v>
      </c>
      <c r="G44" s="142">
        <v>0</v>
      </c>
      <c r="H44" s="142">
        <v>0</v>
      </c>
      <c r="I44" s="142">
        <v>0</v>
      </c>
      <c r="J44" s="142">
        <f t="shared" si="13"/>
        <v>10</v>
      </c>
      <c r="K44" s="142">
        <v>10</v>
      </c>
      <c r="L44" s="142">
        <v>0</v>
      </c>
      <c r="M44" s="142">
        <v>0</v>
      </c>
      <c r="N44" s="142">
        <v>0</v>
      </c>
      <c r="O44" s="142">
        <f t="shared" si="14"/>
        <v>0</v>
      </c>
      <c r="P44" s="142">
        <v>0</v>
      </c>
      <c r="Q44" s="142">
        <v>0</v>
      </c>
      <c r="R44" s="142">
        <v>0</v>
      </c>
      <c r="S44" s="142">
        <v>0</v>
      </c>
      <c r="T44" s="142">
        <f t="shared" si="15"/>
        <v>0</v>
      </c>
      <c r="U44" s="142">
        <v>0</v>
      </c>
      <c r="V44" s="142">
        <v>0</v>
      </c>
      <c r="W44" s="142">
        <v>0</v>
      </c>
      <c r="X44" s="142">
        <v>0</v>
      </c>
      <c r="Y44" s="142">
        <f t="shared" si="16"/>
        <v>0</v>
      </c>
      <c r="Z44" s="142">
        <v>0</v>
      </c>
      <c r="AA44" s="142">
        <v>0</v>
      </c>
      <c r="AB44" s="142">
        <v>0</v>
      </c>
      <c r="AC44" s="142">
        <v>0</v>
      </c>
      <c r="AD44" s="142">
        <f t="shared" si="17"/>
        <v>40</v>
      </c>
    </row>
    <row r="45" spans="1:31" ht="69.75">
      <c r="A45" s="155" t="s">
        <v>243</v>
      </c>
      <c r="B45" s="175" t="s">
        <v>114</v>
      </c>
      <c r="C45" s="612"/>
      <c r="D45" s="41" t="s">
        <v>168</v>
      </c>
      <c r="E45" s="142">
        <f t="shared" si="12"/>
        <v>50</v>
      </c>
      <c r="F45" s="142">
        <v>50</v>
      </c>
      <c r="G45" s="142">
        <v>0</v>
      </c>
      <c r="H45" s="142">
        <v>0</v>
      </c>
      <c r="I45" s="142">
        <v>0</v>
      </c>
      <c r="J45" s="142">
        <f t="shared" si="13"/>
        <v>50</v>
      </c>
      <c r="K45" s="142">
        <v>50</v>
      </c>
      <c r="L45" s="142">
        <v>0</v>
      </c>
      <c r="M45" s="142">
        <v>0</v>
      </c>
      <c r="N45" s="142">
        <v>0</v>
      </c>
      <c r="O45" s="142">
        <f t="shared" si="14"/>
        <v>0</v>
      </c>
      <c r="P45" s="142">
        <v>0</v>
      </c>
      <c r="Q45" s="142">
        <v>0</v>
      </c>
      <c r="R45" s="142">
        <v>0</v>
      </c>
      <c r="S45" s="142">
        <v>0</v>
      </c>
      <c r="T45" s="142">
        <f t="shared" si="15"/>
        <v>0</v>
      </c>
      <c r="U45" s="142">
        <v>0</v>
      </c>
      <c r="V45" s="142">
        <v>0</v>
      </c>
      <c r="W45" s="142">
        <v>0</v>
      </c>
      <c r="X45" s="142">
        <v>0</v>
      </c>
      <c r="Y45" s="142">
        <f t="shared" si="16"/>
        <v>0</v>
      </c>
      <c r="Z45" s="142">
        <v>0</v>
      </c>
      <c r="AA45" s="142">
        <v>0</v>
      </c>
      <c r="AB45" s="142">
        <v>0</v>
      </c>
      <c r="AC45" s="142">
        <v>0</v>
      </c>
      <c r="AD45" s="142">
        <f t="shared" si="17"/>
        <v>100</v>
      </c>
    </row>
    <row r="46" spans="1:31" ht="69.75">
      <c r="A46" s="155" t="s">
        <v>244</v>
      </c>
      <c r="B46" s="175" t="s">
        <v>78</v>
      </c>
      <c r="C46" s="41" t="s">
        <v>18</v>
      </c>
      <c r="D46" s="41" t="s">
        <v>93</v>
      </c>
      <c r="E46" s="142">
        <f t="shared" si="12"/>
        <v>96</v>
      </c>
      <c r="F46" s="142">
        <f>96</f>
        <v>96</v>
      </c>
      <c r="G46" s="142">
        <v>0</v>
      </c>
      <c r="H46" s="142">
        <v>0</v>
      </c>
      <c r="I46" s="142">
        <v>0</v>
      </c>
      <c r="J46" s="142">
        <f t="shared" si="13"/>
        <v>68</v>
      </c>
      <c r="K46" s="142">
        <f>68</f>
        <v>68</v>
      </c>
      <c r="L46" s="142">
        <v>0</v>
      </c>
      <c r="M46" s="142">
        <v>0</v>
      </c>
      <c r="N46" s="142">
        <v>0</v>
      </c>
      <c r="O46" s="142">
        <f t="shared" si="14"/>
        <v>0</v>
      </c>
      <c r="P46" s="142">
        <v>0</v>
      </c>
      <c r="Q46" s="142">
        <v>0</v>
      </c>
      <c r="R46" s="142">
        <v>0</v>
      </c>
      <c r="S46" s="142">
        <v>0</v>
      </c>
      <c r="T46" s="142">
        <f t="shared" si="15"/>
        <v>0</v>
      </c>
      <c r="U46" s="142">
        <v>0</v>
      </c>
      <c r="V46" s="142">
        <v>0</v>
      </c>
      <c r="W46" s="142">
        <v>0</v>
      </c>
      <c r="X46" s="142">
        <v>0</v>
      </c>
      <c r="Y46" s="142">
        <f t="shared" si="16"/>
        <v>96</v>
      </c>
      <c r="Z46" s="142">
        <v>96</v>
      </c>
      <c r="AA46" s="142">
        <v>0</v>
      </c>
      <c r="AB46" s="142">
        <v>0</v>
      </c>
      <c r="AC46" s="142">
        <v>0</v>
      </c>
      <c r="AD46" s="142">
        <f t="shared" si="17"/>
        <v>260</v>
      </c>
    </row>
    <row r="47" spans="1:31" ht="93">
      <c r="A47" s="155" t="s">
        <v>245</v>
      </c>
      <c r="B47" s="175" t="s">
        <v>145</v>
      </c>
      <c r="C47" s="41" t="s">
        <v>94</v>
      </c>
      <c r="D47" s="41" t="s">
        <v>93</v>
      </c>
      <c r="E47" s="142">
        <f>F47+G47+H47+I47</f>
        <v>28325</v>
      </c>
      <c r="F47" s="142">
        <f>6567-902</f>
        <v>5665</v>
      </c>
      <c r="G47" s="142">
        <f>26268-3608</f>
        <v>22660</v>
      </c>
      <c r="H47" s="142">
        <v>0</v>
      </c>
      <c r="I47" s="142">
        <v>0</v>
      </c>
      <c r="J47" s="136">
        <f>K47+L47+M47+N47</f>
        <v>4455</v>
      </c>
      <c r="K47" s="136">
        <f>550+341</f>
        <v>891</v>
      </c>
      <c r="L47" s="136">
        <v>3564</v>
      </c>
      <c r="M47" s="142">
        <v>0</v>
      </c>
      <c r="N47" s="142">
        <v>0</v>
      </c>
      <c r="O47" s="142">
        <f>P47+Q47+R47+S47</f>
        <v>0</v>
      </c>
      <c r="P47" s="142">
        <v>0</v>
      </c>
      <c r="Q47" s="142">
        <v>0</v>
      </c>
      <c r="R47" s="142">
        <v>0</v>
      </c>
      <c r="S47" s="142">
        <v>0</v>
      </c>
      <c r="T47" s="142">
        <f>U47+V47+W47+X47</f>
        <v>0</v>
      </c>
      <c r="U47" s="142">
        <v>0</v>
      </c>
      <c r="V47" s="142">
        <v>0</v>
      </c>
      <c r="W47" s="142">
        <v>0</v>
      </c>
      <c r="X47" s="142">
        <v>0</v>
      </c>
      <c r="Y47" s="142">
        <v>2321</v>
      </c>
      <c r="Z47" s="142">
        <v>2321</v>
      </c>
      <c r="AA47" s="142">
        <v>0</v>
      </c>
      <c r="AB47" s="142">
        <v>0</v>
      </c>
      <c r="AC47" s="142">
        <v>0</v>
      </c>
      <c r="AD47" s="142">
        <f>E47+J47+O47+T47+Y47</f>
        <v>35101</v>
      </c>
      <c r="AE47" s="212"/>
    </row>
    <row r="48" spans="1:31" ht="46.5">
      <c r="A48" s="213" t="s">
        <v>246</v>
      </c>
      <c r="B48" s="187" t="s">
        <v>87</v>
      </c>
      <c r="C48" s="268" t="s">
        <v>52</v>
      </c>
      <c r="D48" s="41" t="s">
        <v>93</v>
      </c>
      <c r="E48" s="142">
        <f>F48+G48+H48+I48</f>
        <v>384.8</v>
      </c>
      <c r="F48" s="142">
        <f>387-2.2</f>
        <v>384.8</v>
      </c>
      <c r="G48" s="142">
        <v>0</v>
      </c>
      <c r="H48" s="142">
        <v>0</v>
      </c>
      <c r="I48" s="142">
        <v>0</v>
      </c>
      <c r="J48" s="142">
        <v>387</v>
      </c>
      <c r="K48" s="142">
        <v>387</v>
      </c>
      <c r="L48" s="142">
        <v>0</v>
      </c>
      <c r="M48" s="142">
        <v>0</v>
      </c>
      <c r="N48" s="142">
        <v>0</v>
      </c>
      <c r="O48" s="142">
        <v>387</v>
      </c>
      <c r="P48" s="142">
        <v>387</v>
      </c>
      <c r="Q48" s="142">
        <v>0</v>
      </c>
      <c r="R48" s="142">
        <v>0</v>
      </c>
      <c r="S48" s="142">
        <v>0</v>
      </c>
      <c r="T48" s="142">
        <f>U48+V48+W48+X48</f>
        <v>387</v>
      </c>
      <c r="U48" s="142">
        <v>387</v>
      </c>
      <c r="V48" s="142">
        <v>0</v>
      </c>
      <c r="W48" s="142">
        <v>0</v>
      </c>
      <c r="X48" s="142">
        <v>0</v>
      </c>
      <c r="Y48" s="142">
        <f>Z48+AA48+AB48+AC48</f>
        <v>387</v>
      </c>
      <c r="Z48" s="142">
        <v>387</v>
      </c>
      <c r="AA48" s="142">
        <v>0</v>
      </c>
      <c r="AB48" s="142">
        <v>0</v>
      </c>
      <c r="AC48" s="142">
        <v>0</v>
      </c>
      <c r="AD48" s="142">
        <f t="shared" si="17"/>
        <v>1932.8</v>
      </c>
    </row>
    <row r="49" spans="1:32" ht="75">
      <c r="A49" s="213" t="s">
        <v>247</v>
      </c>
      <c r="B49" s="187" t="s">
        <v>132</v>
      </c>
      <c r="C49" s="268" t="s">
        <v>147</v>
      </c>
      <c r="D49" s="204">
        <v>2020</v>
      </c>
      <c r="E49" s="142">
        <f>F49+G49+H49+I49</f>
        <v>1248</v>
      </c>
      <c r="F49" s="142">
        <f>1248</f>
        <v>1248</v>
      </c>
      <c r="G49" s="142">
        <v>0</v>
      </c>
      <c r="H49" s="142">
        <v>0</v>
      </c>
      <c r="I49" s="142">
        <v>0</v>
      </c>
      <c r="J49" s="142">
        <f>K49+L49+M49+N49</f>
        <v>0</v>
      </c>
      <c r="K49" s="142">
        <v>0</v>
      </c>
      <c r="L49" s="142">
        <v>0</v>
      </c>
      <c r="M49" s="142">
        <v>0</v>
      </c>
      <c r="N49" s="142">
        <v>0</v>
      </c>
      <c r="O49" s="142">
        <f>P49+Q49+R49+S49</f>
        <v>0</v>
      </c>
      <c r="P49" s="142">
        <v>0</v>
      </c>
      <c r="Q49" s="142">
        <v>0</v>
      </c>
      <c r="R49" s="142">
        <v>0</v>
      </c>
      <c r="S49" s="142">
        <v>0</v>
      </c>
      <c r="T49" s="142">
        <f>U49+V49+W49+X49</f>
        <v>0</v>
      </c>
      <c r="U49" s="142">
        <v>0</v>
      </c>
      <c r="V49" s="142">
        <v>0</v>
      </c>
      <c r="W49" s="142">
        <v>0</v>
      </c>
      <c r="X49" s="142">
        <v>0</v>
      </c>
      <c r="Y49" s="142">
        <f>Z49+AA49+AB49+AC49</f>
        <v>0</v>
      </c>
      <c r="Z49" s="142">
        <v>0</v>
      </c>
      <c r="AA49" s="142">
        <v>0</v>
      </c>
      <c r="AB49" s="142">
        <v>0</v>
      </c>
      <c r="AC49" s="142">
        <v>0</v>
      </c>
      <c r="AD49" s="142">
        <f>E49+J49+O49+T49+Y49</f>
        <v>1248</v>
      </c>
    </row>
    <row r="50" spans="1:32" ht="23.25">
      <c r="A50" s="575" t="s">
        <v>25</v>
      </c>
      <c r="B50" s="575"/>
      <c r="C50" s="575"/>
      <c r="D50" s="274"/>
      <c r="E50" s="148">
        <f t="shared" ref="E50:K50" si="18">E51+E52</f>
        <v>38121.800000000003</v>
      </c>
      <c r="F50" s="148">
        <f t="shared" si="18"/>
        <v>15461.8</v>
      </c>
      <c r="G50" s="148">
        <f t="shared" si="18"/>
        <v>22660</v>
      </c>
      <c r="H50" s="148">
        <f t="shared" si="18"/>
        <v>0</v>
      </c>
      <c r="I50" s="148">
        <f t="shared" si="18"/>
        <v>0</v>
      </c>
      <c r="J50" s="148">
        <f>J52+J51</f>
        <v>11672</v>
      </c>
      <c r="K50" s="148">
        <f t="shared" si="18"/>
        <v>8108</v>
      </c>
      <c r="L50" s="148">
        <f>SUM(L35,L36:L48)</f>
        <v>3564</v>
      </c>
      <c r="M50" s="148">
        <f>SUM(M35,M36:M48)</f>
        <v>0</v>
      </c>
      <c r="N50" s="148">
        <f>SUM(N35,N36:N48)</f>
        <v>0</v>
      </c>
      <c r="O50" s="148">
        <f>O51+O52</f>
        <v>387</v>
      </c>
      <c r="P50" s="148">
        <f>P51+P52</f>
        <v>387</v>
      </c>
      <c r="Q50" s="148">
        <f>SUM(Q35,Q36:Q48)</f>
        <v>0</v>
      </c>
      <c r="R50" s="148">
        <f>SUM(R35,R36:R48)</f>
        <v>0</v>
      </c>
      <c r="S50" s="148">
        <f>SUM(S35,S36:S48)</f>
        <v>0</v>
      </c>
      <c r="T50" s="148">
        <f>T51+T52</f>
        <v>387</v>
      </c>
      <c r="U50" s="148">
        <f>U51+U52</f>
        <v>387</v>
      </c>
      <c r="V50" s="148">
        <f>SUM(V35,V36:V48)</f>
        <v>0</v>
      </c>
      <c r="W50" s="148">
        <f>SUM(W35,W36:W48)</f>
        <v>0</v>
      </c>
      <c r="X50" s="148">
        <f>SUM(X35,X36:X48)</f>
        <v>0</v>
      </c>
      <c r="Y50" s="148">
        <f>Y51+Y52</f>
        <v>10293</v>
      </c>
      <c r="Z50" s="148">
        <f>Z51+Z52</f>
        <v>10293</v>
      </c>
      <c r="AA50" s="148">
        <f>SUM(AA35,AA36:AA48)</f>
        <v>0</v>
      </c>
      <c r="AB50" s="148">
        <f>SUM(AB35,AB36:AB48)</f>
        <v>0</v>
      </c>
      <c r="AC50" s="148">
        <f>SUM(AC35,AC36:AC48)</f>
        <v>0</v>
      </c>
      <c r="AD50" s="148">
        <f>E50+J50+O50+T50+Y50</f>
        <v>60860.800000000003</v>
      </c>
    </row>
    <row r="51" spans="1:32" ht="23.25">
      <c r="A51" s="267" t="s">
        <v>73</v>
      </c>
      <c r="B51" s="267"/>
      <c r="C51" s="276"/>
      <c r="D51" s="157"/>
      <c r="E51" s="152">
        <f t="shared" ref="E51:AC51" si="19">E48</f>
        <v>384.8</v>
      </c>
      <c r="F51" s="152">
        <f t="shared" si="19"/>
        <v>384.8</v>
      </c>
      <c r="G51" s="152">
        <v>0</v>
      </c>
      <c r="H51" s="152">
        <f t="shared" si="19"/>
        <v>0</v>
      </c>
      <c r="I51" s="152">
        <f t="shared" si="19"/>
        <v>0</v>
      </c>
      <c r="J51" s="152">
        <f t="shared" si="19"/>
        <v>387</v>
      </c>
      <c r="K51" s="152">
        <f t="shared" si="19"/>
        <v>387</v>
      </c>
      <c r="L51" s="152">
        <f t="shared" si="19"/>
        <v>0</v>
      </c>
      <c r="M51" s="152">
        <f t="shared" si="19"/>
        <v>0</v>
      </c>
      <c r="N51" s="152">
        <f t="shared" si="19"/>
        <v>0</v>
      </c>
      <c r="O51" s="152">
        <f t="shared" si="19"/>
        <v>387</v>
      </c>
      <c r="P51" s="152">
        <f t="shared" si="19"/>
        <v>387</v>
      </c>
      <c r="Q51" s="152">
        <f t="shared" si="19"/>
        <v>0</v>
      </c>
      <c r="R51" s="152">
        <f t="shared" si="19"/>
        <v>0</v>
      </c>
      <c r="S51" s="152">
        <f t="shared" si="19"/>
        <v>0</v>
      </c>
      <c r="T51" s="152">
        <f t="shared" si="19"/>
        <v>387</v>
      </c>
      <c r="U51" s="152">
        <f t="shared" si="19"/>
        <v>387</v>
      </c>
      <c r="V51" s="152">
        <f t="shared" si="19"/>
        <v>0</v>
      </c>
      <c r="W51" s="152">
        <f t="shared" si="19"/>
        <v>0</v>
      </c>
      <c r="X51" s="152">
        <f t="shared" si="19"/>
        <v>0</v>
      </c>
      <c r="Y51" s="152">
        <f t="shared" si="19"/>
        <v>387</v>
      </c>
      <c r="Z51" s="152">
        <f t="shared" si="19"/>
        <v>387</v>
      </c>
      <c r="AA51" s="152">
        <f t="shared" si="19"/>
        <v>0</v>
      </c>
      <c r="AB51" s="152">
        <f t="shared" si="19"/>
        <v>0</v>
      </c>
      <c r="AC51" s="152">
        <f t="shared" si="19"/>
        <v>0</v>
      </c>
      <c r="AD51" s="158">
        <f>E51+J51+O51+T51+Y51</f>
        <v>1932.8</v>
      </c>
    </row>
    <row r="52" spans="1:32" ht="23.25">
      <c r="A52" s="267" t="s">
        <v>135</v>
      </c>
      <c r="B52" s="267"/>
      <c r="C52" s="276"/>
      <c r="D52" s="157"/>
      <c r="E52" s="142">
        <f>E35+E36+E37+E38+E39+E40+E41+E42+E43+E44+E45+E46+E47+E49</f>
        <v>37737</v>
      </c>
      <c r="F52" s="142">
        <f>F35+F36+F37+F38+F39+F40+F41+F42+F43+F44+F45+F46+F47+F49</f>
        <v>15077</v>
      </c>
      <c r="G52" s="142">
        <v>22660</v>
      </c>
      <c r="H52" s="142">
        <f>0</f>
        <v>0</v>
      </c>
      <c r="I52" s="142">
        <v>0</v>
      </c>
      <c r="J52" s="142">
        <f>J35+J36+J37+J38+J39+J40+J41+J42+J43+J44+J45+J46+J47+J49</f>
        <v>11285</v>
      </c>
      <c r="K52" s="142">
        <f>K35+K36+K37+K38+K39+K40+K41+K42+K43+K44+K45+K46+K47+K49</f>
        <v>7721</v>
      </c>
      <c r="L52" s="142">
        <v>0</v>
      </c>
      <c r="M52" s="142">
        <v>0</v>
      </c>
      <c r="N52" s="142">
        <v>0</v>
      </c>
      <c r="O52" s="142">
        <f>O35+O36+O37+O38+O39+O40+O42+O41+O43+O44+O45+O46+O47+O49</f>
        <v>0</v>
      </c>
      <c r="P52" s="142">
        <f>P35+P36+P37+P38+P39+P40+P41+P42+P43+P44+P45+P46+P47+P49</f>
        <v>0</v>
      </c>
      <c r="Q52" s="142">
        <v>0</v>
      </c>
      <c r="R52" s="142">
        <v>0</v>
      </c>
      <c r="S52" s="142">
        <v>0</v>
      </c>
      <c r="T52" s="142">
        <f>T35+T36+T37+T38+T39+T40+T41+T42+T43+T44+T45+T46+T47+T49</f>
        <v>0</v>
      </c>
      <c r="U52" s="142">
        <f>U35+U36+U37+U38+U39+U40+U41+U42+U43+U44+U45+U46+U47+U49</f>
        <v>0</v>
      </c>
      <c r="V52" s="142">
        <v>0</v>
      </c>
      <c r="W52" s="142">
        <v>0</v>
      </c>
      <c r="X52" s="142">
        <v>0</v>
      </c>
      <c r="Y52" s="142">
        <f>Y35+Y36+Y37+Y38+Y39+Y40+Y41+Y42+Y43+Y44+Y45+Y46+Y47+Y49</f>
        <v>9906</v>
      </c>
      <c r="Z52" s="142">
        <f>Z35+Z36+Z37+Z38+Z39+Z40+Z41+Z42+Z43+Z44+Z45+Z46+Z47+Z49</f>
        <v>9906</v>
      </c>
      <c r="AA52" s="142">
        <v>0</v>
      </c>
      <c r="AB52" s="142">
        <v>0</v>
      </c>
      <c r="AC52" s="142">
        <v>0</v>
      </c>
      <c r="AD52" s="142">
        <f>E52+J52+O52+T52+Y52</f>
        <v>58928</v>
      </c>
    </row>
    <row r="53" spans="1:32" ht="23.25">
      <c r="A53" s="41" t="s">
        <v>223</v>
      </c>
      <c r="B53" s="572" t="s">
        <v>248</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4"/>
    </row>
    <row r="54" spans="1:32" ht="46.5">
      <c r="A54" s="155" t="s">
        <v>27</v>
      </c>
      <c r="B54" s="175" t="s">
        <v>120</v>
      </c>
      <c r="C54" s="41" t="s">
        <v>94</v>
      </c>
      <c r="D54" s="41" t="s">
        <v>93</v>
      </c>
      <c r="E54" s="142">
        <f>F54+G54+H54+I54</f>
        <v>700</v>
      </c>
      <c r="F54" s="142">
        <f>700</f>
        <v>700</v>
      </c>
      <c r="G54" s="142">
        <v>0</v>
      </c>
      <c r="H54" s="142">
        <v>0</v>
      </c>
      <c r="I54" s="142">
        <v>0</v>
      </c>
      <c r="J54" s="142">
        <f>K54+L54+M54+N54</f>
        <v>600</v>
      </c>
      <c r="K54" s="142">
        <v>600</v>
      </c>
      <c r="L54" s="142">
        <v>0</v>
      </c>
      <c r="M54" s="142">
        <v>0</v>
      </c>
      <c r="N54" s="142">
        <v>0</v>
      </c>
      <c r="O54" s="142">
        <f>P54+Q54+R54+S54</f>
        <v>0</v>
      </c>
      <c r="P54" s="142">
        <v>0</v>
      </c>
      <c r="Q54" s="142">
        <v>0</v>
      </c>
      <c r="R54" s="142">
        <v>0</v>
      </c>
      <c r="S54" s="142">
        <v>0</v>
      </c>
      <c r="T54" s="142">
        <f>U54+V54+W54+X54</f>
        <v>0</v>
      </c>
      <c r="U54" s="142">
        <v>0</v>
      </c>
      <c r="V54" s="142">
        <v>0</v>
      </c>
      <c r="W54" s="142">
        <v>0</v>
      </c>
      <c r="X54" s="142">
        <v>0</v>
      </c>
      <c r="Y54" s="142">
        <f>Z54+AA54+AB54+AC54</f>
        <v>700</v>
      </c>
      <c r="Z54" s="142">
        <v>700</v>
      </c>
      <c r="AA54" s="142">
        <v>0</v>
      </c>
      <c r="AB54" s="142">
        <v>0</v>
      </c>
      <c r="AC54" s="142">
        <v>0</v>
      </c>
      <c r="AD54" s="142">
        <f>E54+J54+O54+T54+Y54</f>
        <v>2000</v>
      </c>
    </row>
    <row r="55" spans="1:32" ht="23.25">
      <c r="A55" s="575" t="s">
        <v>44</v>
      </c>
      <c r="B55" s="575"/>
      <c r="C55" s="575"/>
      <c r="D55" s="274"/>
      <c r="E55" s="148">
        <f t="shared" ref="E55:AD55" si="20">SUM(E54:E54)</f>
        <v>700</v>
      </c>
      <c r="F55" s="148">
        <f>SUM(F54)</f>
        <v>700</v>
      </c>
      <c r="G55" s="148">
        <f t="shared" si="20"/>
        <v>0</v>
      </c>
      <c r="H55" s="148">
        <f t="shared" si="20"/>
        <v>0</v>
      </c>
      <c r="I55" s="148">
        <f t="shared" si="20"/>
        <v>0</v>
      </c>
      <c r="J55" s="148">
        <f>J54</f>
        <v>600</v>
      </c>
      <c r="K55" s="148">
        <f t="shared" si="20"/>
        <v>600</v>
      </c>
      <c r="L55" s="148">
        <f t="shared" si="20"/>
        <v>0</v>
      </c>
      <c r="M55" s="148">
        <f t="shared" si="20"/>
        <v>0</v>
      </c>
      <c r="N55" s="148">
        <f t="shared" si="20"/>
        <v>0</v>
      </c>
      <c r="O55" s="148">
        <f t="shared" si="20"/>
        <v>0</v>
      </c>
      <c r="P55" s="148">
        <f t="shared" si="20"/>
        <v>0</v>
      </c>
      <c r="Q55" s="148">
        <f t="shared" si="20"/>
        <v>0</v>
      </c>
      <c r="R55" s="148">
        <f t="shared" si="20"/>
        <v>0</v>
      </c>
      <c r="S55" s="148">
        <f t="shared" si="20"/>
        <v>0</v>
      </c>
      <c r="T55" s="148">
        <f t="shared" si="20"/>
        <v>0</v>
      </c>
      <c r="U55" s="148">
        <f t="shared" si="20"/>
        <v>0</v>
      </c>
      <c r="V55" s="148">
        <f t="shared" si="20"/>
        <v>0</v>
      </c>
      <c r="W55" s="148">
        <f t="shared" si="20"/>
        <v>0</v>
      </c>
      <c r="X55" s="148">
        <f t="shared" si="20"/>
        <v>0</v>
      </c>
      <c r="Y55" s="148">
        <f t="shared" si="20"/>
        <v>700</v>
      </c>
      <c r="Z55" s="148">
        <f t="shared" si="20"/>
        <v>700</v>
      </c>
      <c r="AA55" s="148">
        <f t="shared" si="20"/>
        <v>0</v>
      </c>
      <c r="AB55" s="148">
        <f t="shared" si="20"/>
        <v>0</v>
      </c>
      <c r="AC55" s="148">
        <f t="shared" si="20"/>
        <v>0</v>
      </c>
      <c r="AD55" s="148">
        <f t="shared" si="20"/>
        <v>2000</v>
      </c>
    </row>
    <row r="56" spans="1:32" ht="23.25">
      <c r="A56" s="41" t="s">
        <v>249</v>
      </c>
      <c r="B56" s="572" t="s">
        <v>250</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4"/>
    </row>
    <row r="57" spans="1:32" ht="111" customHeight="1">
      <c r="A57" s="626" t="s">
        <v>46</v>
      </c>
      <c r="B57" s="613" t="s">
        <v>291</v>
      </c>
      <c r="C57" s="41" t="s">
        <v>285</v>
      </c>
      <c r="D57" s="224">
        <v>2020</v>
      </c>
      <c r="E57" s="142">
        <f>F57+G57+H57+I57</f>
        <v>1449</v>
      </c>
      <c r="F57" s="142">
        <f>1656-207</f>
        <v>1449</v>
      </c>
      <c r="G57" s="142">
        <v>0</v>
      </c>
      <c r="H57" s="142">
        <v>0</v>
      </c>
      <c r="I57" s="142">
        <v>0</v>
      </c>
      <c r="J57" s="142">
        <f>K57+L57+M57+N57</f>
        <v>0</v>
      </c>
      <c r="K57" s="142">
        <v>0</v>
      </c>
      <c r="L57" s="142">
        <v>0</v>
      </c>
      <c r="M57" s="142">
        <v>0</v>
      </c>
      <c r="N57" s="142">
        <v>0</v>
      </c>
      <c r="O57" s="142">
        <f>P57+Q57+R57+S57</f>
        <v>0</v>
      </c>
      <c r="P57" s="142">
        <v>0</v>
      </c>
      <c r="Q57" s="142">
        <v>0</v>
      </c>
      <c r="R57" s="142">
        <v>0</v>
      </c>
      <c r="S57" s="142">
        <v>0</v>
      </c>
      <c r="T57" s="142">
        <f>U57+V57+W57+X57</f>
        <v>0</v>
      </c>
      <c r="U57" s="142">
        <v>0</v>
      </c>
      <c r="V57" s="142">
        <v>0</v>
      </c>
      <c r="W57" s="142">
        <v>0</v>
      </c>
      <c r="X57" s="142">
        <v>0</v>
      </c>
      <c r="Y57" s="142">
        <f>Z57+AA57+AB57+AC57</f>
        <v>0</v>
      </c>
      <c r="Z57" s="142">
        <v>0</v>
      </c>
      <c r="AA57" s="142">
        <v>0</v>
      </c>
      <c r="AB57" s="142">
        <v>0</v>
      </c>
      <c r="AC57" s="142">
        <v>0</v>
      </c>
      <c r="AD57" s="142">
        <f>E57+I57+O57+T57+0</f>
        <v>1449</v>
      </c>
    </row>
    <row r="58" spans="1:32" ht="76.5" customHeight="1">
      <c r="A58" s="627"/>
      <c r="B58" s="614"/>
      <c r="C58" s="41" t="s">
        <v>286</v>
      </c>
      <c r="D58" s="224" t="s">
        <v>284</v>
      </c>
      <c r="E58" s="142">
        <f>F58+G58+H58+I58</f>
        <v>0</v>
      </c>
      <c r="F58" s="142">
        <v>0</v>
      </c>
      <c r="G58" s="142">
        <v>0</v>
      </c>
      <c r="H58" s="142">
        <v>0</v>
      </c>
      <c r="I58" s="142">
        <v>0</v>
      </c>
      <c r="J58" s="142">
        <f>K58+L58+M58+N58</f>
        <v>1437</v>
      </c>
      <c r="K58" s="142">
        <f>1437</f>
        <v>1437</v>
      </c>
      <c r="L58" s="142">
        <v>0</v>
      </c>
      <c r="M58" s="142">
        <v>0</v>
      </c>
      <c r="N58" s="142">
        <v>0</v>
      </c>
      <c r="O58" s="142">
        <f>P58+Q58+R58+S58</f>
        <v>1437</v>
      </c>
      <c r="P58" s="142">
        <v>1437</v>
      </c>
      <c r="Q58" s="142">
        <v>0</v>
      </c>
      <c r="R58" s="142">
        <v>0</v>
      </c>
      <c r="S58" s="142">
        <v>0</v>
      </c>
      <c r="T58" s="142">
        <f>U58+V58+W58+X58</f>
        <v>1437</v>
      </c>
      <c r="U58" s="142">
        <v>1437</v>
      </c>
      <c r="V58" s="142">
        <v>0</v>
      </c>
      <c r="W58" s="142">
        <v>0</v>
      </c>
      <c r="X58" s="142">
        <v>0</v>
      </c>
      <c r="Y58" s="142">
        <f>Z58+AA58+AB58+AC58</f>
        <v>1656</v>
      </c>
      <c r="Z58" s="142">
        <v>1656</v>
      </c>
      <c r="AA58" s="142">
        <v>0</v>
      </c>
      <c r="AB58" s="142">
        <v>0</v>
      </c>
      <c r="AC58" s="142">
        <v>0</v>
      </c>
      <c r="AD58" s="142">
        <f>E58+J58+O58+T58+Y58</f>
        <v>5967</v>
      </c>
    </row>
    <row r="59" spans="1:32" ht="69.75">
      <c r="A59" s="155" t="s">
        <v>251</v>
      </c>
      <c r="B59" s="175" t="s">
        <v>292</v>
      </c>
      <c r="C59" s="41" t="s">
        <v>52</v>
      </c>
      <c r="D59" s="41" t="s">
        <v>93</v>
      </c>
      <c r="E59" s="142">
        <f>F59+G59+H59+I59</f>
        <v>55</v>
      </c>
      <c r="F59" s="142">
        <f>86-31</f>
        <v>55</v>
      </c>
      <c r="G59" s="142">
        <v>0</v>
      </c>
      <c r="H59" s="142">
        <v>0</v>
      </c>
      <c r="I59" s="142">
        <v>0</v>
      </c>
      <c r="J59" s="142">
        <f>K59+L59+M59+N59</f>
        <v>70</v>
      </c>
      <c r="K59" s="142">
        <v>70</v>
      </c>
      <c r="L59" s="142">
        <v>0</v>
      </c>
      <c r="M59" s="142">
        <v>0</v>
      </c>
      <c r="N59" s="142">
        <v>0</v>
      </c>
      <c r="O59" s="142">
        <f>P59+Q59+R59+S59</f>
        <v>70</v>
      </c>
      <c r="P59" s="142">
        <v>70</v>
      </c>
      <c r="Q59" s="142">
        <v>0</v>
      </c>
      <c r="R59" s="142">
        <v>0</v>
      </c>
      <c r="S59" s="142">
        <v>0</v>
      </c>
      <c r="T59" s="142">
        <f>U59+V59+W59+X59</f>
        <v>70</v>
      </c>
      <c r="U59" s="142">
        <v>70</v>
      </c>
      <c r="V59" s="142">
        <v>0</v>
      </c>
      <c r="W59" s="142">
        <v>0</v>
      </c>
      <c r="X59" s="142">
        <v>0</v>
      </c>
      <c r="Y59" s="142">
        <f>Z59+AA59+AB59+AC59</f>
        <v>86</v>
      </c>
      <c r="Z59" s="142">
        <v>86</v>
      </c>
      <c r="AA59" s="142">
        <v>0</v>
      </c>
      <c r="AB59" s="142">
        <v>0</v>
      </c>
      <c r="AC59" s="142">
        <v>0</v>
      </c>
      <c r="AD59" s="142">
        <f>E59+J59+O59+T59+Y59</f>
        <v>351</v>
      </c>
    </row>
    <row r="60" spans="1:32" ht="23.25">
      <c r="A60" s="575" t="s">
        <v>47</v>
      </c>
      <c r="B60" s="575"/>
      <c r="C60" s="575"/>
      <c r="D60" s="274"/>
      <c r="E60" s="148">
        <f>E61+E62</f>
        <v>1504</v>
      </c>
      <c r="F60" s="148">
        <f>F61+F62</f>
        <v>1504</v>
      </c>
      <c r="G60" s="148">
        <f t="shared" ref="G60:AC60" si="21">SUM(G58:G59)</f>
        <v>0</v>
      </c>
      <c r="H60" s="148">
        <f t="shared" si="21"/>
        <v>0</v>
      </c>
      <c r="I60" s="148">
        <f t="shared" si="21"/>
        <v>0</v>
      </c>
      <c r="J60" s="148">
        <f t="shared" si="21"/>
        <v>1507</v>
      </c>
      <c r="K60" s="148">
        <f t="shared" si="21"/>
        <v>1507</v>
      </c>
      <c r="L60" s="148">
        <f t="shared" si="21"/>
        <v>0</v>
      </c>
      <c r="M60" s="148">
        <f t="shared" si="21"/>
        <v>0</v>
      </c>
      <c r="N60" s="148">
        <f t="shared" si="21"/>
        <v>0</v>
      </c>
      <c r="O60" s="148">
        <f t="shared" si="21"/>
        <v>1507</v>
      </c>
      <c r="P60" s="148">
        <f t="shared" si="21"/>
        <v>1507</v>
      </c>
      <c r="Q60" s="148">
        <f t="shared" si="21"/>
        <v>0</v>
      </c>
      <c r="R60" s="148">
        <f t="shared" si="21"/>
        <v>0</v>
      </c>
      <c r="S60" s="148">
        <f t="shared" si="21"/>
        <v>0</v>
      </c>
      <c r="T60" s="148">
        <f t="shared" si="21"/>
        <v>1507</v>
      </c>
      <c r="U60" s="148">
        <f t="shared" si="21"/>
        <v>1507</v>
      </c>
      <c r="V60" s="148">
        <f t="shared" si="21"/>
        <v>0</v>
      </c>
      <c r="W60" s="148">
        <f t="shared" si="21"/>
        <v>0</v>
      </c>
      <c r="X60" s="148">
        <f t="shared" si="21"/>
        <v>0</v>
      </c>
      <c r="Y60" s="148">
        <f t="shared" si="21"/>
        <v>1742</v>
      </c>
      <c r="Z60" s="148">
        <f t="shared" si="21"/>
        <v>1742</v>
      </c>
      <c r="AA60" s="148">
        <f t="shared" si="21"/>
        <v>0</v>
      </c>
      <c r="AB60" s="148">
        <f t="shared" si="21"/>
        <v>0</v>
      </c>
      <c r="AC60" s="148">
        <f t="shared" si="21"/>
        <v>0</v>
      </c>
      <c r="AD60" s="148">
        <f>AD61+AD62</f>
        <v>7767</v>
      </c>
    </row>
    <row r="61" spans="1:32" ht="23.25">
      <c r="A61" s="267" t="s">
        <v>73</v>
      </c>
      <c r="B61" s="267"/>
      <c r="C61" s="276"/>
      <c r="D61" s="157"/>
      <c r="E61" s="152">
        <f>E59</f>
        <v>55</v>
      </c>
      <c r="F61" s="152">
        <f>F59</f>
        <v>55</v>
      </c>
      <c r="G61" s="152">
        <v>0</v>
      </c>
      <c r="H61" s="152">
        <v>0</v>
      </c>
      <c r="I61" s="152">
        <v>0</v>
      </c>
      <c r="J61" s="152">
        <f>K61+L61+M61+N61</f>
        <v>1507</v>
      </c>
      <c r="K61" s="152">
        <f>K58+K59</f>
        <v>1507</v>
      </c>
      <c r="L61" s="152">
        <v>0</v>
      </c>
      <c r="M61" s="152">
        <v>0</v>
      </c>
      <c r="N61" s="152">
        <v>0</v>
      </c>
      <c r="O61" s="152">
        <f>O58+O59</f>
        <v>1507</v>
      </c>
      <c r="P61" s="152">
        <f>P58+P59</f>
        <v>1507</v>
      </c>
      <c r="Q61" s="152">
        <v>0</v>
      </c>
      <c r="R61" s="152">
        <v>0</v>
      </c>
      <c r="S61" s="152">
        <v>0</v>
      </c>
      <c r="T61" s="152">
        <f>T58+T59</f>
        <v>1507</v>
      </c>
      <c r="U61" s="152">
        <f>U58+U59</f>
        <v>1507</v>
      </c>
      <c r="V61" s="152">
        <v>0</v>
      </c>
      <c r="W61" s="152">
        <v>0</v>
      </c>
      <c r="X61" s="152">
        <v>0</v>
      </c>
      <c r="Y61" s="152">
        <f>Y58+Y59</f>
        <v>1742</v>
      </c>
      <c r="Z61" s="152">
        <f>Z58+Z59</f>
        <v>1742</v>
      </c>
      <c r="AA61" s="152">
        <v>0</v>
      </c>
      <c r="AB61" s="152">
        <v>0</v>
      </c>
      <c r="AC61" s="152">
        <v>0</v>
      </c>
      <c r="AD61" s="158">
        <f>AD58+AD59</f>
        <v>6318</v>
      </c>
    </row>
    <row r="62" spans="1:32" ht="23.25">
      <c r="A62" s="267" t="s">
        <v>135</v>
      </c>
      <c r="B62" s="267"/>
      <c r="C62" s="276"/>
      <c r="D62" s="157"/>
      <c r="E62" s="152">
        <f>F62+G62+H62+I62</f>
        <v>1449</v>
      </c>
      <c r="F62" s="152">
        <f>F57</f>
        <v>1449</v>
      </c>
      <c r="G62" s="152">
        <v>0</v>
      </c>
      <c r="H62" s="152">
        <v>0</v>
      </c>
      <c r="I62" s="152">
        <v>0</v>
      </c>
      <c r="J62" s="152">
        <v>0</v>
      </c>
      <c r="K62" s="152">
        <v>0</v>
      </c>
      <c r="L62" s="152">
        <v>0</v>
      </c>
      <c r="M62" s="152">
        <v>0</v>
      </c>
      <c r="N62" s="152">
        <v>0</v>
      </c>
      <c r="O62" s="152">
        <v>0</v>
      </c>
      <c r="P62" s="152">
        <v>0</v>
      </c>
      <c r="Q62" s="152">
        <v>0</v>
      </c>
      <c r="R62" s="152">
        <v>0</v>
      </c>
      <c r="S62" s="152">
        <v>0</v>
      </c>
      <c r="T62" s="152">
        <v>0</v>
      </c>
      <c r="U62" s="152">
        <v>0</v>
      </c>
      <c r="V62" s="152">
        <v>0</v>
      </c>
      <c r="W62" s="152">
        <v>0</v>
      </c>
      <c r="X62" s="152">
        <v>0</v>
      </c>
      <c r="Y62" s="152">
        <v>0</v>
      </c>
      <c r="Z62" s="152">
        <v>0</v>
      </c>
      <c r="AA62" s="152">
        <v>0</v>
      </c>
      <c r="AB62" s="152">
        <v>0</v>
      </c>
      <c r="AC62" s="152">
        <v>0</v>
      </c>
      <c r="AD62" s="158">
        <f>AD57</f>
        <v>1449</v>
      </c>
    </row>
    <row r="63" spans="1:32" ht="23.25">
      <c r="A63" s="41" t="s">
        <v>224</v>
      </c>
      <c r="B63" s="572" t="s">
        <v>278</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4"/>
    </row>
    <row r="64" spans="1:32" ht="144" customHeight="1">
      <c r="A64" s="155" t="s">
        <v>48</v>
      </c>
      <c r="B64" s="170" t="s">
        <v>108</v>
      </c>
      <c r="C64" s="41" t="s">
        <v>94</v>
      </c>
      <c r="D64" s="41" t="s">
        <v>93</v>
      </c>
      <c r="E64" s="142">
        <f>F64+G64+H64+I64</f>
        <v>766</v>
      </c>
      <c r="F64" s="142">
        <f>409+357</f>
        <v>766</v>
      </c>
      <c r="G64" s="142">
        <v>0</v>
      </c>
      <c r="H64" s="142">
        <v>0</v>
      </c>
      <c r="I64" s="142">
        <v>0</v>
      </c>
      <c r="J64" s="136">
        <f>K64+L64+M64+N64</f>
        <v>628</v>
      </c>
      <c r="K64" s="136">
        <f>655-27</f>
        <v>628</v>
      </c>
      <c r="L64" s="142">
        <v>0</v>
      </c>
      <c r="M64" s="142">
        <v>0</v>
      </c>
      <c r="N64" s="142">
        <v>0</v>
      </c>
      <c r="O64" s="142">
        <f>P64+Q64+R64+S64</f>
        <v>0</v>
      </c>
      <c r="P64" s="142">
        <v>0</v>
      </c>
      <c r="Q64" s="142">
        <v>0</v>
      </c>
      <c r="R64" s="142">
        <v>0</v>
      </c>
      <c r="S64" s="142">
        <v>0</v>
      </c>
      <c r="T64" s="142">
        <v>0</v>
      </c>
      <c r="U64" s="142">
        <v>0</v>
      </c>
      <c r="V64" s="142">
        <v>0</v>
      </c>
      <c r="W64" s="142">
        <v>0</v>
      </c>
      <c r="X64" s="142">
        <v>0</v>
      </c>
      <c r="Y64" s="142">
        <v>510</v>
      </c>
      <c r="Z64" s="142">
        <v>510</v>
      </c>
      <c r="AA64" s="142">
        <v>0</v>
      </c>
      <c r="AB64" s="142">
        <v>0</v>
      </c>
      <c r="AC64" s="142">
        <v>0</v>
      </c>
      <c r="AD64" s="142">
        <f>E64+J64+O64+T64+Y64</f>
        <v>1904</v>
      </c>
      <c r="AF64" s="200" t="s">
        <v>131</v>
      </c>
    </row>
    <row r="65" spans="1:30">
      <c r="A65" s="631" t="s">
        <v>49</v>
      </c>
      <c r="B65" s="631"/>
      <c r="C65" s="631"/>
      <c r="D65" s="274"/>
      <c r="E65" s="148">
        <f t="shared" ref="E65:AD65" si="22">SUM(E64:E64)</f>
        <v>766</v>
      </c>
      <c r="F65" s="148">
        <f>SUM(F64)</f>
        <v>766</v>
      </c>
      <c r="G65" s="148">
        <f t="shared" si="22"/>
        <v>0</v>
      </c>
      <c r="H65" s="148">
        <f t="shared" si="22"/>
        <v>0</v>
      </c>
      <c r="I65" s="148">
        <f t="shared" si="22"/>
        <v>0</v>
      </c>
      <c r="J65" s="258">
        <f>J64</f>
        <v>628</v>
      </c>
      <c r="K65" s="258">
        <f t="shared" si="22"/>
        <v>628</v>
      </c>
      <c r="L65" s="148">
        <f t="shared" si="22"/>
        <v>0</v>
      </c>
      <c r="M65" s="148">
        <f t="shared" si="22"/>
        <v>0</v>
      </c>
      <c r="N65" s="148">
        <f t="shared" si="22"/>
        <v>0</v>
      </c>
      <c r="O65" s="148">
        <f t="shared" si="22"/>
        <v>0</v>
      </c>
      <c r="P65" s="148">
        <f t="shared" si="22"/>
        <v>0</v>
      </c>
      <c r="Q65" s="148">
        <f t="shared" si="22"/>
        <v>0</v>
      </c>
      <c r="R65" s="148">
        <f t="shared" si="22"/>
        <v>0</v>
      </c>
      <c r="S65" s="148">
        <f t="shared" si="22"/>
        <v>0</v>
      </c>
      <c r="T65" s="148">
        <f t="shared" si="22"/>
        <v>0</v>
      </c>
      <c r="U65" s="148">
        <f t="shared" si="22"/>
        <v>0</v>
      </c>
      <c r="V65" s="148">
        <f t="shared" si="22"/>
        <v>0</v>
      </c>
      <c r="W65" s="148">
        <f t="shared" si="22"/>
        <v>0</v>
      </c>
      <c r="X65" s="148">
        <f t="shared" si="22"/>
        <v>0</v>
      </c>
      <c r="Y65" s="148">
        <f t="shared" si="22"/>
        <v>510</v>
      </c>
      <c r="Z65" s="148">
        <f t="shared" si="22"/>
        <v>510</v>
      </c>
      <c r="AA65" s="148">
        <f t="shared" si="22"/>
        <v>0</v>
      </c>
      <c r="AB65" s="148">
        <f t="shared" si="22"/>
        <v>0</v>
      </c>
      <c r="AC65" s="148">
        <f t="shared" si="22"/>
        <v>0</v>
      </c>
      <c r="AD65" s="148">
        <f t="shared" si="22"/>
        <v>1904</v>
      </c>
    </row>
    <row r="66" spans="1:30" ht="23.25">
      <c r="A66" s="274" t="s">
        <v>252</v>
      </c>
      <c r="B66" s="572" t="s">
        <v>279</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4"/>
    </row>
    <row r="67" spans="1:30" ht="93.75">
      <c r="A67" s="274" t="s">
        <v>50</v>
      </c>
      <c r="B67" s="170" t="s">
        <v>115</v>
      </c>
      <c r="C67" s="41" t="s">
        <v>106</v>
      </c>
      <c r="D67" s="41" t="s">
        <v>93</v>
      </c>
      <c r="E67" s="142">
        <f>F67+G67+H67+I67</f>
        <v>25286</v>
      </c>
      <c r="F67" s="142">
        <f>27786-2500</f>
        <v>25286</v>
      </c>
      <c r="G67" s="142">
        <v>0</v>
      </c>
      <c r="H67" s="142">
        <v>0</v>
      </c>
      <c r="I67" s="142">
        <v>0</v>
      </c>
      <c r="J67" s="136">
        <f>K67+L67+M67+N67</f>
        <v>29781</v>
      </c>
      <c r="K67" s="136">
        <f>40120-110-10229</f>
        <v>29781</v>
      </c>
      <c r="L67" s="136">
        <v>0</v>
      </c>
      <c r="M67" s="136">
        <v>0</v>
      </c>
      <c r="N67" s="142">
        <v>0</v>
      </c>
      <c r="O67" s="142">
        <f>P67+Q67+R67+S67</f>
        <v>0</v>
      </c>
      <c r="P67" s="142">
        <v>0</v>
      </c>
      <c r="Q67" s="142">
        <v>0</v>
      </c>
      <c r="R67" s="142">
        <v>0</v>
      </c>
      <c r="S67" s="142">
        <v>0</v>
      </c>
      <c r="T67" s="142">
        <f>U67+V67+W67+X67</f>
        <v>0</v>
      </c>
      <c r="U67" s="142">
        <v>0</v>
      </c>
      <c r="V67" s="142">
        <v>0</v>
      </c>
      <c r="W67" s="142">
        <v>0</v>
      </c>
      <c r="X67" s="142">
        <v>0</v>
      </c>
      <c r="Y67" s="142">
        <v>40120</v>
      </c>
      <c r="Z67" s="142">
        <v>40120</v>
      </c>
      <c r="AA67" s="142">
        <v>0</v>
      </c>
      <c r="AB67" s="142">
        <v>0</v>
      </c>
      <c r="AC67" s="142">
        <v>0</v>
      </c>
      <c r="AD67" s="142">
        <f>E67+J67+O67+T67+Y67</f>
        <v>95187</v>
      </c>
    </row>
    <row r="68" spans="1:30" ht="23.25">
      <c r="A68" s="632" t="s">
        <v>53</v>
      </c>
      <c r="B68" s="633"/>
      <c r="C68" s="634"/>
      <c r="D68" s="274"/>
      <c r="E68" s="148">
        <f t="shared" ref="E68:AD68" si="23">SUM(E67:E67)</f>
        <v>25286</v>
      </c>
      <c r="F68" s="148">
        <f>SUM(F67)</f>
        <v>25286</v>
      </c>
      <c r="G68" s="148">
        <f t="shared" si="23"/>
        <v>0</v>
      </c>
      <c r="H68" s="148">
        <f t="shared" si="23"/>
        <v>0</v>
      </c>
      <c r="I68" s="148">
        <f t="shared" si="23"/>
        <v>0</v>
      </c>
      <c r="J68" s="148">
        <f>J67</f>
        <v>29781</v>
      </c>
      <c r="K68" s="148">
        <f t="shared" si="23"/>
        <v>29781</v>
      </c>
      <c r="L68" s="148">
        <f t="shared" si="23"/>
        <v>0</v>
      </c>
      <c r="M68" s="148">
        <f t="shared" si="23"/>
        <v>0</v>
      </c>
      <c r="N68" s="148">
        <f t="shared" si="23"/>
        <v>0</v>
      </c>
      <c r="O68" s="148">
        <f t="shared" si="23"/>
        <v>0</v>
      </c>
      <c r="P68" s="148">
        <f t="shared" si="23"/>
        <v>0</v>
      </c>
      <c r="Q68" s="148">
        <f t="shared" si="23"/>
        <v>0</v>
      </c>
      <c r="R68" s="148">
        <f t="shared" si="23"/>
        <v>0</v>
      </c>
      <c r="S68" s="148">
        <f t="shared" si="23"/>
        <v>0</v>
      </c>
      <c r="T68" s="148">
        <f t="shared" si="23"/>
        <v>0</v>
      </c>
      <c r="U68" s="148">
        <f t="shared" si="23"/>
        <v>0</v>
      </c>
      <c r="V68" s="148">
        <f t="shared" si="23"/>
        <v>0</v>
      </c>
      <c r="W68" s="148">
        <f t="shared" si="23"/>
        <v>0</v>
      </c>
      <c r="X68" s="148">
        <f t="shared" si="23"/>
        <v>0</v>
      </c>
      <c r="Y68" s="148">
        <f t="shared" si="23"/>
        <v>40120</v>
      </c>
      <c r="Z68" s="148">
        <f t="shared" si="23"/>
        <v>40120</v>
      </c>
      <c r="AA68" s="148">
        <f t="shared" si="23"/>
        <v>0</v>
      </c>
      <c r="AB68" s="148">
        <f t="shared" si="23"/>
        <v>0</v>
      </c>
      <c r="AC68" s="148">
        <f t="shared" si="23"/>
        <v>0</v>
      </c>
      <c r="AD68" s="148">
        <f t="shared" si="23"/>
        <v>95187</v>
      </c>
    </row>
    <row r="69" spans="1:30" ht="23.25">
      <c r="A69" s="274" t="s">
        <v>254</v>
      </c>
      <c r="B69" s="572" t="s">
        <v>280</v>
      </c>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4"/>
    </row>
    <row r="70" spans="1:30" ht="37.5">
      <c r="A70" s="274" t="s">
        <v>55</v>
      </c>
      <c r="B70" s="191" t="s">
        <v>96</v>
      </c>
      <c r="C70" s="41" t="s">
        <v>94</v>
      </c>
      <c r="D70" s="41" t="s">
        <v>93</v>
      </c>
      <c r="E70" s="142">
        <f>F70+G70+H70+I70</f>
        <v>7420</v>
      </c>
      <c r="F70" s="142">
        <f>6486+934</f>
        <v>7420</v>
      </c>
      <c r="G70" s="142">
        <v>0</v>
      </c>
      <c r="H70" s="142">
        <v>0</v>
      </c>
      <c r="I70" s="142">
        <v>0</v>
      </c>
      <c r="J70" s="136">
        <f>K70+L70+M70+N70</f>
        <v>7050</v>
      </c>
      <c r="K70" s="136">
        <f>7350-300</f>
        <v>7050</v>
      </c>
      <c r="L70" s="142">
        <v>0</v>
      </c>
      <c r="M70" s="142">
        <v>0</v>
      </c>
      <c r="N70" s="142">
        <v>0</v>
      </c>
      <c r="O70" s="142">
        <f>P70+Q70+R70+S70</f>
        <v>0</v>
      </c>
      <c r="P70" s="142">
        <v>0</v>
      </c>
      <c r="Q70" s="142">
        <v>0</v>
      </c>
      <c r="R70" s="142">
        <v>0</v>
      </c>
      <c r="S70" s="142">
        <v>0</v>
      </c>
      <c r="T70" s="142">
        <f>U70+V70+W70+X70</f>
        <v>0</v>
      </c>
      <c r="U70" s="142">
        <v>0</v>
      </c>
      <c r="V70" s="142">
        <v>0</v>
      </c>
      <c r="W70" s="142">
        <v>0</v>
      </c>
      <c r="X70" s="142">
        <v>0</v>
      </c>
      <c r="Y70" s="142">
        <f>Z70+AA70+AB70+AC70</f>
        <v>6486</v>
      </c>
      <c r="Z70" s="142">
        <v>6486</v>
      </c>
      <c r="AA70" s="142">
        <v>0</v>
      </c>
      <c r="AB70" s="142">
        <v>0</v>
      </c>
      <c r="AC70" s="142">
        <v>0</v>
      </c>
      <c r="AD70" s="142">
        <f>E70+J70+O70+T70+Y70</f>
        <v>20956</v>
      </c>
    </row>
    <row r="71" spans="1:30" ht="69.75">
      <c r="A71" s="274" t="s">
        <v>256</v>
      </c>
      <c r="B71" s="170" t="s">
        <v>209</v>
      </c>
      <c r="C71" s="41" t="s">
        <v>94</v>
      </c>
      <c r="D71" s="41" t="s">
        <v>93</v>
      </c>
      <c r="E71" s="142">
        <f>SUM(F71:I71)</f>
        <v>681</v>
      </c>
      <c r="F71" s="142">
        <v>681</v>
      </c>
      <c r="G71" s="142">
        <v>0</v>
      </c>
      <c r="H71" s="142">
        <v>0</v>
      </c>
      <c r="I71" s="142">
        <v>0</v>
      </c>
      <c r="J71" s="142">
        <f>K71+L71+M71+N71</f>
        <v>684</v>
      </c>
      <c r="K71" s="142">
        <f>684</f>
        <v>684</v>
      </c>
      <c r="L71" s="142">
        <v>0</v>
      </c>
      <c r="M71" s="142">
        <v>0</v>
      </c>
      <c r="N71" s="142">
        <v>0</v>
      </c>
      <c r="O71" s="142">
        <f>P71+Q71+R71+S71</f>
        <v>0</v>
      </c>
      <c r="P71" s="142">
        <v>0</v>
      </c>
      <c r="Q71" s="142">
        <v>0</v>
      </c>
      <c r="R71" s="142">
        <v>0</v>
      </c>
      <c r="S71" s="142">
        <v>0</v>
      </c>
      <c r="T71" s="142">
        <f>U71+V71+W71+X71</f>
        <v>0</v>
      </c>
      <c r="U71" s="142">
        <v>0</v>
      </c>
      <c r="V71" s="142">
        <v>0</v>
      </c>
      <c r="W71" s="142">
        <v>0</v>
      </c>
      <c r="X71" s="142">
        <v>0</v>
      </c>
      <c r="Y71" s="142">
        <f>Z71+AA71+AB71+AC71</f>
        <v>660</v>
      </c>
      <c r="Z71" s="142">
        <v>660</v>
      </c>
      <c r="AA71" s="142">
        <v>0</v>
      </c>
      <c r="AB71" s="142">
        <v>0</v>
      </c>
      <c r="AC71" s="142">
        <v>0</v>
      </c>
      <c r="AD71" s="142">
        <f>E71+J71+O71+T71+Y71</f>
        <v>2025</v>
      </c>
    </row>
    <row r="72" spans="1:30" ht="116.25">
      <c r="A72" s="274" t="s">
        <v>257</v>
      </c>
      <c r="B72" s="170" t="s">
        <v>271</v>
      </c>
      <c r="C72" s="41" t="s">
        <v>266</v>
      </c>
      <c r="D72" s="41">
        <v>2020</v>
      </c>
      <c r="E72" s="142">
        <f>F72+G72+H72+I72</f>
        <v>774</v>
      </c>
      <c r="F72" s="142">
        <v>774</v>
      </c>
      <c r="G72" s="142">
        <v>0</v>
      </c>
      <c r="H72" s="142">
        <v>0</v>
      </c>
      <c r="I72" s="142">
        <v>0</v>
      </c>
      <c r="J72" s="142">
        <f>K72+L72+M72+N72</f>
        <v>350</v>
      </c>
      <c r="K72" s="142">
        <v>350</v>
      </c>
      <c r="L72" s="142">
        <v>0</v>
      </c>
      <c r="M72" s="142">
        <v>0</v>
      </c>
      <c r="N72" s="142">
        <v>0</v>
      </c>
      <c r="O72" s="142">
        <f>P72+Q72+R72+S72</f>
        <v>0</v>
      </c>
      <c r="P72" s="142">
        <v>0</v>
      </c>
      <c r="Q72" s="142">
        <v>0</v>
      </c>
      <c r="R72" s="142">
        <v>0</v>
      </c>
      <c r="S72" s="142">
        <v>0</v>
      </c>
      <c r="T72" s="142">
        <f>U72+V72+W72+X72</f>
        <v>0</v>
      </c>
      <c r="U72" s="142">
        <v>0</v>
      </c>
      <c r="V72" s="142">
        <v>0</v>
      </c>
      <c r="W72" s="142">
        <v>0</v>
      </c>
      <c r="X72" s="142">
        <v>0</v>
      </c>
      <c r="Y72" s="142">
        <f>Z72+AA72+AB72+AC72</f>
        <v>774</v>
      </c>
      <c r="Z72" s="142">
        <v>774</v>
      </c>
      <c r="AA72" s="142">
        <v>0</v>
      </c>
      <c r="AB72" s="142">
        <v>0</v>
      </c>
      <c r="AC72" s="142">
        <v>0</v>
      </c>
      <c r="AD72" s="148">
        <f>E72+J72+O72+T72+Y72</f>
        <v>1898</v>
      </c>
    </row>
    <row r="73" spans="1:30" ht="23.25">
      <c r="A73" s="632" t="s">
        <v>56</v>
      </c>
      <c r="B73" s="633"/>
      <c r="C73" s="634"/>
      <c r="D73" s="274"/>
      <c r="E73" s="148">
        <f>E70+E71+E72</f>
        <v>8875</v>
      </c>
      <c r="F73" s="148">
        <f>F70+F71+F72</f>
        <v>8875</v>
      </c>
      <c r="G73" s="148">
        <f>SUM(G70:G70)</f>
        <v>0</v>
      </c>
      <c r="H73" s="148">
        <f>SUM(H70:H70)</f>
        <v>0</v>
      </c>
      <c r="I73" s="148">
        <f>SUM(I70:I70)</f>
        <v>0</v>
      </c>
      <c r="J73" s="148">
        <f>J70+J71+J72</f>
        <v>8084</v>
      </c>
      <c r="K73" s="148">
        <f>K70+K71+K72</f>
        <v>8084</v>
      </c>
      <c r="L73" s="148">
        <f>SUM(L70:L70)</f>
        <v>0</v>
      </c>
      <c r="M73" s="148">
        <f>SUM(M70:M70)</f>
        <v>0</v>
      </c>
      <c r="N73" s="148">
        <f>SUM(N70:N70)</f>
        <v>0</v>
      </c>
      <c r="O73" s="148">
        <f>O70+O71+O72</f>
        <v>0</v>
      </c>
      <c r="P73" s="148">
        <f>P70+P71+P72</f>
        <v>0</v>
      </c>
      <c r="Q73" s="148">
        <f>SUM(Q70:Q70)</f>
        <v>0</v>
      </c>
      <c r="R73" s="148">
        <f>SUM(R70:R70)</f>
        <v>0</v>
      </c>
      <c r="S73" s="148">
        <f>SUM(S70:S70)</f>
        <v>0</v>
      </c>
      <c r="T73" s="148">
        <f>T70+T71+T72</f>
        <v>0</v>
      </c>
      <c r="U73" s="148">
        <f>U70+U71+U72</f>
        <v>0</v>
      </c>
      <c r="V73" s="148">
        <f>SUM(V70:V70)</f>
        <v>0</v>
      </c>
      <c r="W73" s="148">
        <f>SUM(W70:W70)</f>
        <v>0</v>
      </c>
      <c r="X73" s="148">
        <f>SUM(X70:X70)</f>
        <v>0</v>
      </c>
      <c r="Y73" s="148">
        <f>Y70+Y71+Y72</f>
        <v>7920</v>
      </c>
      <c r="Z73" s="148">
        <f>Z70+Z71+Z72</f>
        <v>7920</v>
      </c>
      <c r="AA73" s="148">
        <f>SUM(AA70:AA70)</f>
        <v>0</v>
      </c>
      <c r="AB73" s="148">
        <f>SUM(AB70:AB70)</f>
        <v>0</v>
      </c>
      <c r="AC73" s="148">
        <f>SUM(AC70:AC70)</f>
        <v>0</v>
      </c>
      <c r="AD73" s="148">
        <f>SUM(AD70:AD72)</f>
        <v>24879</v>
      </c>
    </row>
    <row r="74" spans="1:30" ht="23.25">
      <c r="A74" s="267" t="s">
        <v>135</v>
      </c>
      <c r="B74" s="267"/>
      <c r="C74" s="276"/>
      <c r="D74" s="157"/>
      <c r="E74" s="152">
        <f>E70+E71+E72</f>
        <v>8875</v>
      </c>
      <c r="F74" s="152">
        <f>F70+F71+F72</f>
        <v>8875</v>
      </c>
      <c r="G74" s="152">
        <v>0</v>
      </c>
      <c r="H74" s="152">
        <v>0</v>
      </c>
      <c r="I74" s="152">
        <v>0</v>
      </c>
      <c r="J74" s="152">
        <f>J70+J71+J72</f>
        <v>8084</v>
      </c>
      <c r="K74" s="152">
        <f>K70+K71+K72</f>
        <v>8084</v>
      </c>
      <c r="L74" s="152">
        <v>0</v>
      </c>
      <c r="M74" s="152">
        <v>0</v>
      </c>
      <c r="N74" s="152">
        <v>0</v>
      </c>
      <c r="O74" s="152">
        <f>O73</f>
        <v>0</v>
      </c>
      <c r="P74" s="152">
        <f>P73</f>
        <v>0</v>
      </c>
      <c r="Q74" s="152">
        <v>0</v>
      </c>
      <c r="R74" s="152">
        <v>0</v>
      </c>
      <c r="S74" s="152">
        <v>0</v>
      </c>
      <c r="T74" s="152">
        <f>T70+T71+T72</f>
        <v>0</v>
      </c>
      <c r="U74" s="152">
        <f>U70+U71+U72</f>
        <v>0</v>
      </c>
      <c r="V74" s="152">
        <v>0</v>
      </c>
      <c r="W74" s="152">
        <v>0</v>
      </c>
      <c r="X74" s="152">
        <v>0</v>
      </c>
      <c r="Y74" s="152">
        <f>Y70+Y71+Y72</f>
        <v>7920</v>
      </c>
      <c r="Z74" s="152">
        <f>Z70+Z71+Z72</f>
        <v>7920</v>
      </c>
      <c r="AA74" s="152">
        <v>0</v>
      </c>
      <c r="AB74" s="152">
        <v>0</v>
      </c>
      <c r="AC74" s="152">
        <v>0</v>
      </c>
      <c r="AD74" s="158">
        <f>AD70+AD71</f>
        <v>22981</v>
      </c>
    </row>
    <row r="75" spans="1:30" ht="23.25">
      <c r="A75" s="274" t="s">
        <v>97</v>
      </c>
      <c r="B75" s="572" t="s">
        <v>281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4"/>
    </row>
    <row r="76" spans="1:30" ht="116.25">
      <c r="A76" s="214" t="s">
        <v>57</v>
      </c>
      <c r="B76" s="191" t="s">
        <v>290</v>
      </c>
      <c r="C76" s="41" t="s">
        <v>73</v>
      </c>
      <c r="D76" s="41" t="s">
        <v>93</v>
      </c>
      <c r="E76" s="142">
        <f xml:space="preserve"> SUM(F76:I76)</f>
        <v>136.19999999999999</v>
      </c>
      <c r="F76" s="142">
        <f>74.6+61.6</f>
        <v>136.19999999999999</v>
      </c>
      <c r="G76" s="142">
        <v>0</v>
      </c>
      <c r="H76" s="142">
        <v>0</v>
      </c>
      <c r="I76" s="142">
        <v>0</v>
      </c>
      <c r="J76" s="142">
        <f xml:space="preserve"> SUM(K76:N76)</f>
        <v>142</v>
      </c>
      <c r="K76" s="142">
        <v>142</v>
      </c>
      <c r="L76" s="142">
        <v>0</v>
      </c>
      <c r="M76" s="142">
        <v>0</v>
      </c>
      <c r="N76" s="142">
        <v>0</v>
      </c>
      <c r="O76" s="142">
        <f xml:space="preserve"> SUM(P76:S76)</f>
        <v>142</v>
      </c>
      <c r="P76" s="142">
        <v>142</v>
      </c>
      <c r="Q76" s="142">
        <v>0</v>
      </c>
      <c r="R76" s="142">
        <v>0</v>
      </c>
      <c r="S76" s="142">
        <v>0</v>
      </c>
      <c r="T76" s="142">
        <f xml:space="preserve"> SUM(U76:X76)</f>
        <v>142</v>
      </c>
      <c r="U76" s="142">
        <v>142</v>
      </c>
      <c r="V76" s="142">
        <v>0</v>
      </c>
      <c r="W76" s="142">
        <v>0</v>
      </c>
      <c r="X76" s="142">
        <v>0</v>
      </c>
      <c r="Y76" s="142">
        <f xml:space="preserve"> SUM(Z76:AC76)</f>
        <v>145</v>
      </c>
      <c r="Z76" s="142">
        <v>145</v>
      </c>
      <c r="AA76" s="142">
        <v>0</v>
      </c>
      <c r="AB76" s="142">
        <v>0</v>
      </c>
      <c r="AC76" s="142">
        <v>0</v>
      </c>
      <c r="AD76" s="142">
        <f>E76+J76+O76+T76+Y76</f>
        <v>707.2</v>
      </c>
    </row>
    <row r="77" spans="1:30" ht="23.25">
      <c r="A77" s="575" t="s">
        <v>58</v>
      </c>
      <c r="B77" s="575"/>
      <c r="C77" s="575"/>
      <c r="D77" s="274"/>
      <c r="E77" s="148">
        <f>E76</f>
        <v>136.19999999999999</v>
      </c>
      <c r="F77" s="148">
        <f>F76</f>
        <v>136.19999999999999</v>
      </c>
      <c r="G77" s="148">
        <v>0</v>
      </c>
      <c r="H77" s="148">
        <v>0</v>
      </c>
      <c r="I77" s="148">
        <v>0</v>
      </c>
      <c r="J77" s="148">
        <f t="shared" ref="J77:AC77" si="24">J76</f>
        <v>142</v>
      </c>
      <c r="K77" s="148">
        <f t="shared" si="24"/>
        <v>142</v>
      </c>
      <c r="L77" s="148">
        <f t="shared" si="24"/>
        <v>0</v>
      </c>
      <c r="M77" s="148">
        <f t="shared" si="24"/>
        <v>0</v>
      </c>
      <c r="N77" s="148">
        <f t="shared" si="24"/>
        <v>0</v>
      </c>
      <c r="O77" s="148">
        <f t="shared" si="24"/>
        <v>142</v>
      </c>
      <c r="P77" s="148">
        <f t="shared" si="24"/>
        <v>142</v>
      </c>
      <c r="Q77" s="148">
        <f t="shared" si="24"/>
        <v>0</v>
      </c>
      <c r="R77" s="148">
        <f t="shared" si="24"/>
        <v>0</v>
      </c>
      <c r="S77" s="148">
        <f t="shared" si="24"/>
        <v>0</v>
      </c>
      <c r="T77" s="148">
        <f t="shared" si="24"/>
        <v>142</v>
      </c>
      <c r="U77" s="148">
        <f t="shared" si="24"/>
        <v>142</v>
      </c>
      <c r="V77" s="148">
        <f t="shared" si="24"/>
        <v>0</v>
      </c>
      <c r="W77" s="148">
        <f t="shared" si="24"/>
        <v>0</v>
      </c>
      <c r="X77" s="148">
        <f t="shared" si="24"/>
        <v>0</v>
      </c>
      <c r="Y77" s="148">
        <f t="shared" si="24"/>
        <v>145</v>
      </c>
      <c r="Z77" s="148">
        <f t="shared" si="24"/>
        <v>145</v>
      </c>
      <c r="AA77" s="148">
        <f t="shared" si="24"/>
        <v>0</v>
      </c>
      <c r="AB77" s="148">
        <f t="shared" si="24"/>
        <v>0</v>
      </c>
      <c r="AC77" s="148">
        <f t="shared" si="24"/>
        <v>0</v>
      </c>
      <c r="AD77" s="148">
        <f>E77+J77+O77+T77+Y77</f>
        <v>707.2</v>
      </c>
    </row>
    <row r="78" spans="1:30" ht="23.25">
      <c r="A78" s="206">
        <v>10</v>
      </c>
      <c r="B78" s="562" t="s">
        <v>259</v>
      </c>
      <c r="C78" s="563"/>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4"/>
    </row>
    <row r="79" spans="1:30" ht="93">
      <c r="A79" s="215" t="s">
        <v>59</v>
      </c>
      <c r="B79" s="191" t="s">
        <v>186</v>
      </c>
      <c r="C79" s="271" t="s">
        <v>107</v>
      </c>
      <c r="D79" s="41" t="s">
        <v>93</v>
      </c>
      <c r="E79" s="216">
        <v>500</v>
      </c>
      <c r="F79" s="216">
        <v>500</v>
      </c>
      <c r="G79" s="216">
        <v>0</v>
      </c>
      <c r="H79" s="216">
        <v>0</v>
      </c>
      <c r="I79" s="216">
        <v>0</v>
      </c>
      <c r="J79" s="216">
        <f>K79+L79+M79+N79</f>
        <v>24</v>
      </c>
      <c r="K79" s="216">
        <v>24</v>
      </c>
      <c r="L79" s="216">
        <v>0</v>
      </c>
      <c r="M79" s="216">
        <v>0</v>
      </c>
      <c r="N79" s="216">
        <v>0</v>
      </c>
      <c r="O79" s="216">
        <v>0</v>
      </c>
      <c r="P79" s="216">
        <v>0</v>
      </c>
      <c r="Q79" s="216">
        <v>0</v>
      </c>
      <c r="R79" s="216">
        <v>0</v>
      </c>
      <c r="S79" s="216">
        <v>0</v>
      </c>
      <c r="T79" s="216">
        <f>U79+V79+W79+X79</f>
        <v>0</v>
      </c>
      <c r="U79" s="216">
        <v>0</v>
      </c>
      <c r="V79" s="216">
        <v>0</v>
      </c>
      <c r="W79" s="216">
        <v>0</v>
      </c>
      <c r="X79" s="216">
        <v>0</v>
      </c>
      <c r="Y79" s="216">
        <v>6480</v>
      </c>
      <c r="Z79" s="216">
        <v>6480</v>
      </c>
      <c r="AA79" s="216">
        <v>0</v>
      </c>
      <c r="AB79" s="216">
        <v>0</v>
      </c>
      <c r="AC79" s="216">
        <v>0</v>
      </c>
      <c r="AD79" s="107">
        <f>E79+J79+O79+T79+Y79</f>
        <v>7004</v>
      </c>
    </row>
    <row r="80" spans="1:30" ht="75">
      <c r="A80" s="215" t="s">
        <v>98</v>
      </c>
      <c r="B80" s="170" t="s">
        <v>159</v>
      </c>
      <c r="C80" s="163" t="s">
        <v>107</v>
      </c>
      <c r="D80" s="41" t="s">
        <v>93</v>
      </c>
      <c r="E80" s="216">
        <v>2880</v>
      </c>
      <c r="F80" s="216">
        <v>2880</v>
      </c>
      <c r="G80" s="216">
        <v>0</v>
      </c>
      <c r="H80" s="216">
        <v>0</v>
      </c>
      <c r="I80" s="216">
        <v>0</v>
      </c>
      <c r="J80" s="216">
        <f>K80+L80+M80+N80</f>
        <v>2880</v>
      </c>
      <c r="K80" s="216">
        <v>2880</v>
      </c>
      <c r="L80" s="216">
        <v>0</v>
      </c>
      <c r="M80" s="216">
        <v>0</v>
      </c>
      <c r="N80" s="216">
        <v>0</v>
      </c>
      <c r="O80" s="216">
        <v>0</v>
      </c>
      <c r="P80" s="216">
        <v>0</v>
      </c>
      <c r="Q80" s="216">
        <v>0</v>
      </c>
      <c r="R80" s="216">
        <v>0</v>
      </c>
      <c r="S80" s="216">
        <v>0</v>
      </c>
      <c r="T80" s="216">
        <f>U80+V80+W80+X80</f>
        <v>0</v>
      </c>
      <c r="U80" s="216">
        <v>0</v>
      </c>
      <c r="V80" s="216">
        <v>0</v>
      </c>
      <c r="W80" s="216">
        <v>0</v>
      </c>
      <c r="X80" s="216">
        <v>0</v>
      </c>
      <c r="Y80" s="216">
        <v>5760</v>
      </c>
      <c r="Z80" s="216">
        <v>5760</v>
      </c>
      <c r="AA80" s="216">
        <v>0</v>
      </c>
      <c r="AB80" s="216">
        <v>0</v>
      </c>
      <c r="AC80" s="216">
        <v>0</v>
      </c>
      <c r="AD80" s="107">
        <f>E80+J80+O80+T80+Y80</f>
        <v>11520</v>
      </c>
    </row>
    <row r="81" spans="1:30" ht="23.25">
      <c r="A81" s="632" t="s">
        <v>60</v>
      </c>
      <c r="B81" s="633"/>
      <c r="C81" s="634"/>
      <c r="D81" s="215"/>
      <c r="E81" s="107">
        <f>E79+E80</f>
        <v>3380</v>
      </c>
      <c r="F81" s="107">
        <f>SUM(F79:F80)</f>
        <v>3380</v>
      </c>
      <c r="G81" s="107">
        <f>G79</f>
        <v>0</v>
      </c>
      <c r="H81" s="107">
        <f>I79</f>
        <v>0</v>
      </c>
      <c r="I81" s="107">
        <f t="shared" ref="I81:V81" si="25">I79</f>
        <v>0</v>
      </c>
      <c r="J81" s="107">
        <f>K81+L81+M81+N81</f>
        <v>2904</v>
      </c>
      <c r="K81" s="107">
        <f>K79+K80</f>
        <v>2904</v>
      </c>
      <c r="L81" s="107">
        <f t="shared" si="25"/>
        <v>0</v>
      </c>
      <c r="M81" s="107">
        <f t="shared" si="25"/>
        <v>0</v>
      </c>
      <c r="N81" s="107">
        <f t="shared" si="25"/>
        <v>0</v>
      </c>
      <c r="O81" s="107">
        <f>P81+Q81+R81+S81</f>
        <v>0</v>
      </c>
      <c r="P81" s="107">
        <f>P79+P80</f>
        <v>0</v>
      </c>
      <c r="Q81" s="107">
        <f t="shared" si="25"/>
        <v>0</v>
      </c>
      <c r="R81" s="107">
        <f t="shared" si="25"/>
        <v>0</v>
      </c>
      <c r="S81" s="107">
        <f t="shared" si="25"/>
        <v>0</v>
      </c>
      <c r="T81" s="107">
        <f>U81+V81+W81+X81</f>
        <v>0</v>
      </c>
      <c r="U81" s="107">
        <f>T79+T80</f>
        <v>0</v>
      </c>
      <c r="V81" s="107">
        <f t="shared" si="25"/>
        <v>0</v>
      </c>
      <c r="W81" s="107">
        <f>V79</f>
        <v>0</v>
      </c>
      <c r="X81" s="107">
        <f t="shared" ref="X81:AC81" si="26">X79</f>
        <v>0</v>
      </c>
      <c r="Y81" s="107">
        <f>Z81+AA81+AB81+AC81</f>
        <v>12240</v>
      </c>
      <c r="Z81" s="107">
        <f>Z79+Z80</f>
        <v>12240</v>
      </c>
      <c r="AA81" s="107">
        <f t="shared" si="26"/>
        <v>0</v>
      </c>
      <c r="AB81" s="107">
        <f t="shared" si="26"/>
        <v>0</v>
      </c>
      <c r="AC81" s="107">
        <f t="shared" si="26"/>
        <v>0</v>
      </c>
      <c r="AD81" s="107">
        <f>E81+J81+O81+T81+Y81</f>
        <v>18524</v>
      </c>
    </row>
    <row r="82" spans="1:30" ht="23.25">
      <c r="A82" s="630" t="s">
        <v>67</v>
      </c>
      <c r="B82" s="630"/>
      <c r="C82" s="630"/>
      <c r="D82" s="215"/>
      <c r="E82" s="107">
        <f>E27+E33+E50+E55+E60+E65+E68+E73+E77+E81</f>
        <v>157092.37</v>
      </c>
      <c r="F82" s="107">
        <f>F27+F33+F50+F55+F60+F65+F68+F73+F77+F81</f>
        <v>108956.7</v>
      </c>
      <c r="G82" s="107">
        <f t="shared" ref="G82:N82" si="27">G27+G33+G50+G55+G60+G65+G68+G73+G77+G81</f>
        <v>45966</v>
      </c>
      <c r="H82" s="107">
        <f t="shared" si="27"/>
        <v>0</v>
      </c>
      <c r="I82" s="107">
        <f t="shared" si="27"/>
        <v>2169.67</v>
      </c>
      <c r="J82" s="107">
        <f>K82+L82+M82+N82</f>
        <v>134137</v>
      </c>
      <c r="K82" s="107">
        <f t="shared" si="27"/>
        <v>106355</v>
      </c>
      <c r="L82" s="107">
        <f t="shared" si="27"/>
        <v>27782</v>
      </c>
      <c r="M82" s="107">
        <f t="shared" si="27"/>
        <v>0</v>
      </c>
      <c r="N82" s="107">
        <f t="shared" si="27"/>
        <v>0</v>
      </c>
      <c r="O82" s="107">
        <f>P82+Q82+R82+S82</f>
        <v>26254</v>
      </c>
      <c r="P82" s="107">
        <f>P27+P33+P50+P55+P60+P65+P68+P73+P77+P81</f>
        <v>2036</v>
      </c>
      <c r="Q82" s="107">
        <f>Q27+Q33+Q50+Q55+Q60+Q65+Q68+Q73+Q77+Q81</f>
        <v>24218</v>
      </c>
      <c r="R82" s="107">
        <f>R27+R33+R50+R55+R60+R65+R68+R73+R77+R81</f>
        <v>0</v>
      </c>
      <c r="S82" s="107">
        <f>S27+S33+S50+S55+S60+S65+S68+S73+S77+S81</f>
        <v>0</v>
      </c>
      <c r="T82" s="107">
        <f>U82+V82+W82+X82</f>
        <v>26254</v>
      </c>
      <c r="U82" s="107">
        <f>U27+U33+U50+U60+U65+U68+U73+U77+U81</f>
        <v>2036</v>
      </c>
      <c r="V82" s="107">
        <f>V27+V33+V50+V55+V60+V65+V68+V73+V77+V81</f>
        <v>24218</v>
      </c>
      <c r="W82" s="107">
        <f>W27+W33+W50+W55+W60+W65+W68+W73+W77+W81</f>
        <v>0</v>
      </c>
      <c r="X82" s="107">
        <f>X27+X33+X50+X55+X60+X65+X68+X73+X77+X81</f>
        <v>0</v>
      </c>
      <c r="Y82" s="107">
        <f>Z82+AA82+AB82+AC82</f>
        <v>130729.3</v>
      </c>
      <c r="Z82" s="107">
        <f>Z27+Z33+Z50+Z55+Z60+Z65+Z68+Z73+Z77+Z81</f>
        <v>130729.3</v>
      </c>
      <c r="AA82" s="107">
        <f>AA27+AA33+AA50+AA55+AA60+AA65+AA68+AA73+AA77+AA81</f>
        <v>0</v>
      </c>
      <c r="AB82" s="107">
        <f>AB27+AB33+AB50+AB55+AB60+AB65+AB68+AB73+AB77+AB81</f>
        <v>0</v>
      </c>
      <c r="AC82" s="107">
        <f>AC27+AC33+AC50+AC55+AC60+AC65+AC68+AC73+AC77+AC81</f>
        <v>0</v>
      </c>
      <c r="AD82" s="107">
        <f>AD27+AD33+AD50+AD55+AD60+AD65+AD68+AD73+AD77+AD81</f>
        <v>474466.67</v>
      </c>
    </row>
    <row r="83" spans="1:30">
      <c r="E83" s="217"/>
      <c r="F83" s="217"/>
      <c r="G83" s="217"/>
      <c r="H83" s="217"/>
      <c r="I83" s="217"/>
      <c r="J83" s="217"/>
    </row>
    <row r="84" spans="1:30">
      <c r="A84" s="272" t="s">
        <v>202</v>
      </c>
      <c r="K84" s="223"/>
      <c r="L84" s="285"/>
      <c r="M84" s="285"/>
      <c r="N84" s="285"/>
      <c r="O84" s="271"/>
      <c r="P84" s="271"/>
      <c r="Q84" s="271"/>
      <c r="R84" s="271"/>
      <c r="S84" s="271"/>
      <c r="T84" s="271"/>
      <c r="U84" s="271"/>
      <c r="V84" s="271"/>
      <c r="W84" s="271"/>
    </row>
    <row r="85" spans="1:30">
      <c r="C85" s="199">
        <v>2020</v>
      </c>
      <c r="E85" s="218"/>
      <c r="J85" s="199">
        <v>2021</v>
      </c>
      <c r="O85" s="199">
        <v>2022</v>
      </c>
      <c r="T85" s="199">
        <v>2023</v>
      </c>
      <c r="Y85" s="199">
        <v>2024</v>
      </c>
    </row>
    <row r="86" spans="1:30" ht="225">
      <c r="A86" s="222" t="s">
        <v>201</v>
      </c>
      <c r="B86" s="219" t="s">
        <v>134</v>
      </c>
      <c r="C86" s="218">
        <f>E29+E33+E52+E55+E62+E65+E68+E74+E81</f>
        <v>96915</v>
      </c>
      <c r="F86" s="218" t="s">
        <v>134</v>
      </c>
      <c r="I86" s="199" t="s">
        <v>134</v>
      </c>
      <c r="J86" s="218">
        <f>J29+J33+J52+J55+J65+J68+J74+J81</f>
        <v>72383</v>
      </c>
      <c r="N86" s="199" t="s">
        <v>134</v>
      </c>
      <c r="O86" s="218">
        <f>O29+O33+O52+O55+O65+O68+O74+O81</f>
        <v>0</v>
      </c>
      <c r="S86" s="199" t="s">
        <v>134</v>
      </c>
      <c r="T86" s="218">
        <f>T29+T33+T52+T55+T62+T65+T68+T74+T81</f>
        <v>0</v>
      </c>
      <c r="X86" s="199" t="s">
        <v>134</v>
      </c>
      <c r="Y86" s="218">
        <f>Y29+Y33+Y52+Y55+Y62+Y65+Y68+Y74+Y81</f>
        <v>92955.3</v>
      </c>
      <c r="AC86" s="218">
        <f>C86+J86+O86+T86+Y86</f>
        <v>262253.3</v>
      </c>
    </row>
    <row r="87" spans="1:30">
      <c r="B87" s="219" t="s">
        <v>137</v>
      </c>
      <c r="C87" s="218">
        <f>E30+E51+E61+E77</f>
        <v>23882</v>
      </c>
      <c r="F87" s="199" t="s">
        <v>137</v>
      </c>
      <c r="I87" s="199" t="s">
        <v>137</v>
      </c>
      <c r="J87" s="218">
        <f>J30+J51+J60+J77</f>
        <v>26254</v>
      </c>
      <c r="N87" s="199" t="s">
        <v>137</v>
      </c>
      <c r="O87" s="218">
        <f>O30+O51+O61+O77</f>
        <v>26254</v>
      </c>
      <c r="S87" s="199" t="s">
        <v>137</v>
      </c>
      <c r="T87" s="218">
        <f>T30+T51+T61+T77</f>
        <v>26254</v>
      </c>
      <c r="X87" s="199" t="s">
        <v>137</v>
      </c>
      <c r="Y87" s="218">
        <f>Y30+Y51+Y61+Y77</f>
        <v>2274</v>
      </c>
      <c r="AC87" s="218">
        <f>C87+J87+O87+T87+Y87</f>
        <v>104918</v>
      </c>
    </row>
    <row r="88" spans="1:30">
      <c r="B88" s="219" t="s">
        <v>138</v>
      </c>
      <c r="C88" s="218">
        <f>E28</f>
        <v>36295.369999999995</v>
      </c>
      <c r="F88" s="199" t="s">
        <v>289</v>
      </c>
      <c r="I88" s="199" t="s">
        <v>140</v>
      </c>
      <c r="J88" s="218">
        <f>K28</f>
        <v>35500</v>
      </c>
      <c r="N88" s="199" t="s">
        <v>140</v>
      </c>
      <c r="O88" s="218">
        <f>P28</f>
        <v>0</v>
      </c>
      <c r="S88" s="199" t="s">
        <v>140</v>
      </c>
      <c r="T88" s="218">
        <f>T28</f>
        <v>0</v>
      </c>
      <c r="X88" s="199" t="s">
        <v>140</v>
      </c>
      <c r="Y88" s="218">
        <f>Y28</f>
        <v>35500</v>
      </c>
      <c r="AC88" s="218">
        <f>C88+J88+O88+T88+Y88</f>
        <v>107295.37</v>
      </c>
    </row>
    <row r="89" spans="1:30">
      <c r="C89" s="218"/>
      <c r="J89" s="218"/>
      <c r="O89" s="218">
        <f>O86+O87</f>
        <v>26254</v>
      </c>
      <c r="T89" s="218"/>
      <c r="Y89" s="218"/>
      <c r="AC89" s="218"/>
    </row>
    <row r="90" spans="1:30">
      <c r="B90" s="219"/>
      <c r="C90" s="218">
        <f>C86+C87+C88</f>
        <v>157092.37</v>
      </c>
      <c r="J90" s="218">
        <f>J86+J87+J88</f>
        <v>134137</v>
      </c>
      <c r="K90" s="218"/>
      <c r="N90" s="199" t="s">
        <v>137</v>
      </c>
      <c r="O90" s="218"/>
      <c r="S90" s="199" t="s">
        <v>137</v>
      </c>
      <c r="T90" s="218"/>
      <c r="X90" s="199" t="s">
        <v>173</v>
      </c>
      <c r="Y90" s="218"/>
      <c r="AC90" s="218"/>
    </row>
    <row r="91" spans="1:30">
      <c r="C91" s="218"/>
      <c r="J91" s="218"/>
      <c r="O91" s="218"/>
      <c r="T91" s="218"/>
      <c r="Y91" s="218">
        <f>Y86+Y87+Y88</f>
        <v>130729.3</v>
      </c>
      <c r="AC91" s="218">
        <f>AC86+AC87+AC88</f>
        <v>474466.67</v>
      </c>
    </row>
    <row r="92" spans="1:30">
      <c r="C92" s="218"/>
      <c r="J92" s="218"/>
      <c r="O92" s="218"/>
      <c r="T92" s="218"/>
      <c r="Y92" s="218"/>
    </row>
    <row r="94" spans="1:30">
      <c r="B94" s="219" t="s">
        <v>195</v>
      </c>
      <c r="C94" s="218">
        <f>I82+N82+S82+X82+AC82</f>
        <v>2169.67</v>
      </c>
    </row>
    <row r="95" spans="1:30">
      <c r="B95" s="220" t="s">
        <v>196</v>
      </c>
      <c r="C95" s="218">
        <f>F82+K82+P82+U82+Z82</f>
        <v>350113</v>
      </c>
    </row>
    <row r="96" spans="1:30">
      <c r="B96" s="220" t="s">
        <v>197</v>
      </c>
      <c r="C96" s="218">
        <f>G82+L82+Q82+V82+AA82</f>
        <v>122184</v>
      </c>
    </row>
    <row r="97" spans="2:29">
      <c r="C97" s="218">
        <f>C94+C95+C96</f>
        <v>474466.67</v>
      </c>
      <c r="AC97" s="218">
        <f>AC91-865014</f>
        <v>-390547.33</v>
      </c>
    </row>
    <row r="99" spans="2:29">
      <c r="B99" s="218">
        <f>127165-F82</f>
        <v>18208.300000000003</v>
      </c>
    </row>
    <row r="101" spans="2:29">
      <c r="Y101" s="221">
        <f>973249000-19710000-88655000</f>
        <v>864884000</v>
      </c>
    </row>
    <row r="104" spans="2:29">
      <c r="D104" s="221"/>
      <c r="E104" s="221"/>
    </row>
    <row r="105" spans="2:29">
      <c r="D105" s="221"/>
      <c r="E105" s="221"/>
    </row>
    <row r="110" spans="2:29">
      <c r="D110" s="218">
        <f>G82+L82+Q82+V82+AA82</f>
        <v>122184</v>
      </c>
    </row>
  </sheetData>
  <mergeCells count="41">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A57:A58"/>
    <mergeCell ref="B57:B58"/>
    <mergeCell ref="C13:C14"/>
    <mergeCell ref="A27:C27"/>
    <mergeCell ref="B31:AD31"/>
    <mergeCell ref="A33:C33"/>
    <mergeCell ref="B34:AD34"/>
    <mergeCell ref="C38:C39"/>
    <mergeCell ref="C41:C45"/>
    <mergeCell ref="A50:C50"/>
    <mergeCell ref="B53:AD53"/>
    <mergeCell ref="A55:C55"/>
    <mergeCell ref="B56:AD56"/>
    <mergeCell ref="A82:C82"/>
    <mergeCell ref="A60:C60"/>
    <mergeCell ref="B63:AD63"/>
    <mergeCell ref="A65:C65"/>
    <mergeCell ref="B66:AD66"/>
    <mergeCell ref="A68:C68"/>
    <mergeCell ref="B69:AD69"/>
    <mergeCell ref="A73:C73"/>
    <mergeCell ref="B75:AD75"/>
    <mergeCell ref="A77:C77"/>
    <mergeCell ref="B78:AD78"/>
    <mergeCell ref="A81:C81"/>
  </mergeCells>
  <pageMargins left="0.17" right="0.16" top="0.17" bottom="0.16" header="0.17" footer="0.16"/>
  <pageSetup paperSize="9" scale="21" orientation="landscape" r:id="rId1"/>
  <colBreaks count="1" manualBreakCount="1">
    <brk id="30" max="1048575" man="1"/>
  </colBreaks>
  <legacyDrawing r:id="rId2"/>
</worksheet>
</file>

<file path=xl/worksheets/sheet9.xml><?xml version="1.0" encoding="utf-8"?>
<worksheet xmlns="http://schemas.openxmlformats.org/spreadsheetml/2006/main" xmlns:r="http://schemas.openxmlformats.org/officeDocument/2006/relationships">
  <dimension ref="A1:AF110"/>
  <sheetViews>
    <sheetView view="pageBreakPreview" topLeftCell="E76" zoomScale="60" zoomScaleNormal="50" workbookViewId="0">
      <selection activeCell="K82" sqref="K82"/>
    </sheetView>
  </sheetViews>
  <sheetFormatPr defaultRowHeight="18.75"/>
  <cols>
    <col min="1" max="1" width="6.140625" style="293" customWidth="1"/>
    <col min="2" max="2" width="188" style="199" customWidth="1"/>
    <col min="3" max="3" width="42.42578125" style="199" customWidth="1"/>
    <col min="4" max="4" width="23.5703125" style="199" customWidth="1"/>
    <col min="5" max="5" width="21.28515625" style="199" customWidth="1"/>
    <col min="6" max="6" width="22.42578125" style="199" customWidth="1"/>
    <col min="7" max="7" width="16.140625" style="199" customWidth="1"/>
    <col min="8" max="9" width="16.85546875" style="199" customWidth="1"/>
    <col min="10" max="10" width="21.140625" style="199" customWidth="1"/>
    <col min="11" max="11" width="18.140625" style="199" customWidth="1"/>
    <col min="12" max="12" width="15" style="199" customWidth="1"/>
    <col min="13" max="13" width="14.7109375" style="199" customWidth="1"/>
    <col min="14" max="14" width="14.28515625" style="199" customWidth="1"/>
    <col min="15" max="15" width="17.140625" style="199" customWidth="1"/>
    <col min="16" max="16" width="18.7109375" style="199" customWidth="1"/>
    <col min="17" max="17" width="17.28515625" style="199" customWidth="1"/>
    <col min="18" max="18" width="19" style="199" customWidth="1"/>
    <col min="19" max="19" width="13" style="199" customWidth="1"/>
    <col min="20" max="20" width="16.42578125" style="199" customWidth="1"/>
    <col min="21" max="21" width="12.7109375" style="199" customWidth="1"/>
    <col min="22" max="22" width="11.85546875" style="199" customWidth="1"/>
    <col min="23" max="23" width="11.7109375" style="199" customWidth="1"/>
    <col min="24" max="24" width="10.28515625" style="199" customWidth="1"/>
    <col min="25" max="25" width="21.85546875" style="199" customWidth="1"/>
    <col min="26" max="26" width="14.5703125" style="199" customWidth="1"/>
    <col min="27" max="27" width="13" style="199" customWidth="1"/>
    <col min="28" max="28" width="12.7109375" style="199" customWidth="1"/>
    <col min="29" max="29" width="14.28515625" style="199" customWidth="1"/>
    <col min="30" max="30" width="17.7109375" style="199" customWidth="1"/>
    <col min="31" max="16384" width="9.140625" style="200"/>
  </cols>
  <sheetData>
    <row r="1" spans="1:30">
      <c r="Z1" s="199" t="s">
        <v>260</v>
      </c>
    </row>
    <row r="2" spans="1:30">
      <c r="Z2" s="199" t="s">
        <v>261</v>
      </c>
    </row>
    <row r="3" spans="1:30">
      <c r="L3" s="291"/>
      <c r="M3" s="291"/>
      <c r="N3" s="291"/>
      <c r="O3" s="291"/>
      <c r="P3" s="291"/>
      <c r="Q3" s="291"/>
      <c r="R3" s="291"/>
      <c r="S3" s="291"/>
      <c r="T3" s="291"/>
      <c r="U3" s="291"/>
      <c r="V3" s="291"/>
      <c r="W3" s="291"/>
      <c r="X3" s="291"/>
      <c r="Y3" s="291"/>
      <c r="Z3" s="615" t="s">
        <v>262</v>
      </c>
      <c r="AA3" s="615"/>
      <c r="AB3" s="615"/>
      <c r="AC3" s="615"/>
      <c r="AD3" s="615"/>
    </row>
    <row r="4" spans="1:30">
      <c r="V4" s="616" t="s">
        <v>272</v>
      </c>
      <c r="W4" s="616"/>
      <c r="X4" s="616"/>
      <c r="Y4" s="616"/>
      <c r="Z4" s="616"/>
      <c r="AA4" s="616"/>
      <c r="AB4" s="616"/>
      <c r="AC4" s="616"/>
      <c r="AD4" s="616"/>
    </row>
    <row r="5" spans="1:30">
      <c r="A5" s="617" t="s">
        <v>0</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row>
    <row r="7" spans="1:30" ht="19.5">
      <c r="A7" s="618" t="s">
        <v>1</v>
      </c>
      <c r="B7" s="618" t="s">
        <v>219</v>
      </c>
      <c r="C7" s="618" t="s">
        <v>2</v>
      </c>
      <c r="D7" s="619" t="s">
        <v>3</v>
      </c>
      <c r="E7" s="622" t="s">
        <v>273</v>
      </c>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row>
    <row r="8" spans="1:30">
      <c r="A8" s="618"/>
      <c r="B8" s="618"/>
      <c r="C8" s="618"/>
      <c r="D8" s="620"/>
      <c r="E8" s="618" t="s">
        <v>88</v>
      </c>
      <c r="F8" s="618"/>
      <c r="G8" s="618"/>
      <c r="H8" s="618"/>
      <c r="I8" s="618"/>
      <c r="J8" s="618" t="s">
        <v>89</v>
      </c>
      <c r="K8" s="618"/>
      <c r="L8" s="618"/>
      <c r="M8" s="618"/>
      <c r="N8" s="618"/>
      <c r="O8" s="618" t="s">
        <v>90</v>
      </c>
      <c r="P8" s="618"/>
      <c r="Q8" s="618"/>
      <c r="R8" s="618"/>
      <c r="S8" s="618"/>
      <c r="T8" s="618" t="s">
        <v>91</v>
      </c>
      <c r="U8" s="618"/>
      <c r="V8" s="618"/>
      <c r="W8" s="618"/>
      <c r="X8" s="618"/>
      <c r="Y8" s="618" t="s">
        <v>92</v>
      </c>
      <c r="Z8" s="618"/>
      <c r="AA8" s="618"/>
      <c r="AB8" s="618"/>
      <c r="AC8" s="618"/>
      <c r="AD8" s="618" t="s">
        <v>5</v>
      </c>
    </row>
    <row r="9" spans="1:30" ht="87.75">
      <c r="A9" s="618"/>
      <c r="B9" s="618"/>
      <c r="C9" s="618"/>
      <c r="D9" s="621"/>
      <c r="E9" s="294" t="s">
        <v>6</v>
      </c>
      <c r="F9" s="201" t="s">
        <v>7</v>
      </c>
      <c r="G9" s="201" t="s">
        <v>8</v>
      </c>
      <c r="H9" s="201" t="s">
        <v>9</v>
      </c>
      <c r="I9" s="202" t="s">
        <v>10</v>
      </c>
      <c r="J9" s="294" t="s">
        <v>6</v>
      </c>
      <c r="K9" s="201" t="s">
        <v>7</v>
      </c>
      <c r="L9" s="201" t="s">
        <v>8</v>
      </c>
      <c r="M9" s="201" t="s">
        <v>9</v>
      </c>
      <c r="N9" s="202" t="s">
        <v>10</v>
      </c>
      <c r="O9" s="294" t="s">
        <v>6</v>
      </c>
      <c r="P9" s="201" t="s">
        <v>7</v>
      </c>
      <c r="Q9" s="201" t="s">
        <v>8</v>
      </c>
      <c r="R9" s="201" t="s">
        <v>9</v>
      </c>
      <c r="S9" s="202" t="s">
        <v>10</v>
      </c>
      <c r="T9" s="294" t="s">
        <v>6</v>
      </c>
      <c r="U9" s="201" t="s">
        <v>7</v>
      </c>
      <c r="V9" s="201" t="s">
        <v>8</v>
      </c>
      <c r="W9" s="201" t="s">
        <v>9</v>
      </c>
      <c r="X9" s="202" t="s">
        <v>10</v>
      </c>
      <c r="Y9" s="294" t="s">
        <v>6</v>
      </c>
      <c r="Z9" s="201" t="s">
        <v>7</v>
      </c>
      <c r="AA9" s="201" t="s">
        <v>8</v>
      </c>
      <c r="AB9" s="201" t="s">
        <v>9</v>
      </c>
      <c r="AC9" s="202" t="s">
        <v>10</v>
      </c>
      <c r="AD9" s="618"/>
    </row>
    <row r="10" spans="1:30">
      <c r="A10" s="203">
        <v>1</v>
      </c>
      <c r="B10" s="203">
        <v>2</v>
      </c>
      <c r="C10" s="203">
        <v>3</v>
      </c>
      <c r="D10" s="203">
        <v>4</v>
      </c>
      <c r="E10" s="203">
        <v>5</v>
      </c>
      <c r="F10" s="203">
        <v>6</v>
      </c>
      <c r="G10" s="203">
        <v>7</v>
      </c>
      <c r="H10" s="203">
        <v>8</v>
      </c>
      <c r="I10" s="203">
        <v>9</v>
      </c>
      <c r="J10" s="203">
        <v>10</v>
      </c>
      <c r="K10" s="203">
        <v>11</v>
      </c>
      <c r="L10" s="203">
        <v>12</v>
      </c>
      <c r="M10" s="203">
        <v>13</v>
      </c>
      <c r="N10" s="203">
        <v>14</v>
      </c>
      <c r="O10" s="203">
        <v>15</v>
      </c>
      <c r="P10" s="203">
        <v>16</v>
      </c>
      <c r="Q10" s="203">
        <v>17</v>
      </c>
      <c r="R10" s="203">
        <v>18</v>
      </c>
      <c r="S10" s="203">
        <v>19</v>
      </c>
      <c r="T10" s="203">
        <v>20</v>
      </c>
      <c r="U10" s="203">
        <v>21</v>
      </c>
      <c r="V10" s="203">
        <v>22</v>
      </c>
      <c r="W10" s="203">
        <v>23</v>
      </c>
      <c r="X10" s="203">
        <v>24</v>
      </c>
      <c r="Y10" s="203">
        <v>25</v>
      </c>
      <c r="Z10" s="203">
        <v>26</v>
      </c>
      <c r="AA10" s="203">
        <v>27</v>
      </c>
      <c r="AB10" s="203">
        <v>28</v>
      </c>
      <c r="AC10" s="203">
        <v>29</v>
      </c>
      <c r="AD10" s="203">
        <v>30</v>
      </c>
    </row>
    <row r="11" spans="1:30">
      <c r="A11" s="623" t="s">
        <v>274</v>
      </c>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5"/>
    </row>
    <row r="12" spans="1:30" ht="23.25">
      <c r="A12" s="41" t="s">
        <v>221</v>
      </c>
      <c r="B12" s="600" t="s">
        <v>275</v>
      </c>
      <c r="C12" s="601"/>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4"/>
    </row>
    <row r="13" spans="1:30" ht="108" customHeight="1">
      <c r="A13" s="155" t="s">
        <v>12</v>
      </c>
      <c r="B13" s="173" t="s">
        <v>81</v>
      </c>
      <c r="C13" s="610" t="s">
        <v>14</v>
      </c>
      <c r="D13" s="204" t="s">
        <v>93</v>
      </c>
      <c r="E13" s="178">
        <f>SUM(F13:I13)</f>
        <v>28350</v>
      </c>
      <c r="F13" s="178">
        <f>43350-15000</f>
        <v>28350</v>
      </c>
      <c r="G13" s="178">
        <v>0</v>
      </c>
      <c r="H13" s="178">
        <v>0</v>
      </c>
      <c r="I13" s="178">
        <v>0</v>
      </c>
      <c r="J13" s="178">
        <f>K13+L13+M13+N13</f>
        <v>35500</v>
      </c>
      <c r="K13" s="178">
        <f>19722+15778</f>
        <v>35500</v>
      </c>
      <c r="L13" s="178">
        <v>0</v>
      </c>
      <c r="M13" s="142">
        <v>0</v>
      </c>
      <c r="N13" s="142">
        <v>0</v>
      </c>
      <c r="O13" s="142">
        <v>0</v>
      </c>
      <c r="P13" s="142">
        <v>0</v>
      </c>
      <c r="Q13" s="142">
        <v>0</v>
      </c>
      <c r="R13" s="142">
        <v>0</v>
      </c>
      <c r="S13" s="142">
        <v>0</v>
      </c>
      <c r="T13" s="142">
        <f>U13+V13+W13+X13</f>
        <v>0</v>
      </c>
      <c r="U13" s="142">
        <v>0</v>
      </c>
      <c r="V13" s="142">
        <v>0</v>
      </c>
      <c r="W13" s="142">
        <v>0</v>
      </c>
      <c r="X13" s="142">
        <v>0</v>
      </c>
      <c r="Y13" s="142">
        <f>Z13+AA13+AB13+AC13</f>
        <v>35500</v>
      </c>
      <c r="Z13" s="142">
        <v>35500</v>
      </c>
      <c r="AA13" s="142">
        <v>0</v>
      </c>
      <c r="AB13" s="142">
        <v>0</v>
      </c>
      <c r="AC13" s="142">
        <v>0</v>
      </c>
      <c r="AD13" s="148">
        <f t="shared" ref="AD13:AD18" si="0">E13+J13+O13+T13+Y13</f>
        <v>99350</v>
      </c>
    </row>
    <row r="14" spans="1:30" ht="116.25">
      <c r="A14" s="155" t="s">
        <v>13</v>
      </c>
      <c r="B14" s="174" t="s">
        <v>268</v>
      </c>
      <c r="C14" s="612"/>
      <c r="D14" s="204" t="s">
        <v>93</v>
      </c>
      <c r="E14" s="178">
        <f>SUM(F14:I14)</f>
        <v>7359</v>
      </c>
      <c r="F14" s="178">
        <f>12748-5387-2060</f>
        <v>5301</v>
      </c>
      <c r="G14" s="178">
        <v>0</v>
      </c>
      <c r="H14" s="178">
        <v>0</v>
      </c>
      <c r="I14" s="178">
        <f>4602-2544</f>
        <v>2058</v>
      </c>
      <c r="J14" s="178">
        <v>0</v>
      </c>
      <c r="K14" s="178">
        <v>0</v>
      </c>
      <c r="L14" s="178">
        <v>0</v>
      </c>
      <c r="M14" s="142">
        <v>0</v>
      </c>
      <c r="N14" s="142">
        <v>0</v>
      </c>
      <c r="O14" s="142">
        <v>0</v>
      </c>
      <c r="P14" s="142">
        <v>0</v>
      </c>
      <c r="Q14" s="142">
        <v>0</v>
      </c>
      <c r="R14" s="142">
        <v>0</v>
      </c>
      <c r="S14" s="142">
        <v>0</v>
      </c>
      <c r="T14" s="142">
        <f>U14+V14+W14+X14</f>
        <v>0</v>
      </c>
      <c r="U14" s="142">
        <v>0</v>
      </c>
      <c r="V14" s="142">
        <v>0</v>
      </c>
      <c r="W14" s="142">
        <v>0</v>
      </c>
      <c r="X14" s="142">
        <v>0</v>
      </c>
      <c r="Y14" s="142">
        <f>Z14+AA14+AB14+AC14</f>
        <v>0</v>
      </c>
      <c r="Z14" s="142">
        <v>0</v>
      </c>
      <c r="AA14" s="142">
        <v>0</v>
      </c>
      <c r="AB14" s="142">
        <v>0</v>
      </c>
      <c r="AC14" s="142">
        <v>0</v>
      </c>
      <c r="AD14" s="148">
        <f t="shared" si="0"/>
        <v>7359</v>
      </c>
    </row>
    <row r="15" spans="1:30" ht="93">
      <c r="A15" s="155" t="s">
        <v>15</v>
      </c>
      <c r="B15" s="191" t="s">
        <v>117</v>
      </c>
      <c r="C15" s="296" t="s">
        <v>218</v>
      </c>
      <c r="D15" s="41" t="s">
        <v>93</v>
      </c>
      <c r="E15" s="178">
        <f>F15+G15+H15+I15</f>
        <v>8260</v>
      </c>
      <c r="F15" s="178">
        <f>8260</f>
        <v>8260</v>
      </c>
      <c r="G15" s="178">
        <v>0</v>
      </c>
      <c r="H15" s="178">
        <v>0</v>
      </c>
      <c r="I15" s="178">
        <v>0</v>
      </c>
      <c r="J15" s="178">
        <f>K15+L15+M15+N15</f>
        <v>11513</v>
      </c>
      <c r="K15" s="178">
        <v>11513</v>
      </c>
      <c r="L15" s="178">
        <v>0</v>
      </c>
      <c r="M15" s="142">
        <v>0</v>
      </c>
      <c r="N15" s="142">
        <v>0</v>
      </c>
      <c r="O15" s="142">
        <f>P15+Q15+R15+S15</f>
        <v>0</v>
      </c>
      <c r="P15" s="142">
        <v>0</v>
      </c>
      <c r="Q15" s="142">
        <v>0</v>
      </c>
      <c r="R15" s="142">
        <v>0</v>
      </c>
      <c r="S15" s="142">
        <v>0</v>
      </c>
      <c r="T15" s="142">
        <f>U15+V15+W15+X15</f>
        <v>0</v>
      </c>
      <c r="U15" s="142">
        <v>0</v>
      </c>
      <c r="V15" s="142">
        <v>0</v>
      </c>
      <c r="W15" s="142">
        <v>0</v>
      </c>
      <c r="X15" s="142">
        <v>0</v>
      </c>
      <c r="Y15" s="142">
        <v>12655.3</v>
      </c>
      <c r="Z15" s="142">
        <v>12655.3</v>
      </c>
      <c r="AA15" s="142">
        <v>0</v>
      </c>
      <c r="AB15" s="142">
        <v>0</v>
      </c>
      <c r="AC15" s="142">
        <v>0</v>
      </c>
      <c r="AD15" s="148">
        <f t="shared" si="0"/>
        <v>32428.3</v>
      </c>
    </row>
    <row r="16" spans="1:30" ht="93">
      <c r="A16" s="155" t="s">
        <v>16</v>
      </c>
      <c r="B16" s="175" t="s">
        <v>270</v>
      </c>
      <c r="C16" s="205" t="s">
        <v>14</v>
      </c>
      <c r="D16" s="41" t="s">
        <v>93</v>
      </c>
      <c r="E16" s="178">
        <f>F16+G16+H16+I16</f>
        <v>586.36999999999978</v>
      </c>
      <c r="F16" s="178">
        <f>3300-2825.3</f>
        <v>474.69999999999982</v>
      </c>
      <c r="G16" s="178">
        <v>0</v>
      </c>
      <c r="H16" s="178">
        <v>0</v>
      </c>
      <c r="I16" s="178">
        <f>775-663.33</f>
        <v>111.66999999999996</v>
      </c>
      <c r="J16" s="178">
        <v>0</v>
      </c>
      <c r="K16" s="178">
        <v>0</v>
      </c>
      <c r="L16" s="178">
        <v>0</v>
      </c>
      <c r="M16" s="142">
        <v>0</v>
      </c>
      <c r="N16" s="142">
        <v>0</v>
      </c>
      <c r="O16" s="142">
        <v>0</v>
      </c>
      <c r="P16" s="142">
        <v>0</v>
      </c>
      <c r="Q16" s="142">
        <v>0</v>
      </c>
      <c r="R16" s="142">
        <v>0</v>
      </c>
      <c r="S16" s="142">
        <v>0</v>
      </c>
      <c r="T16" s="142">
        <v>0</v>
      </c>
      <c r="U16" s="142">
        <v>0</v>
      </c>
      <c r="V16" s="142">
        <v>0</v>
      </c>
      <c r="W16" s="142">
        <v>0</v>
      </c>
      <c r="X16" s="142">
        <v>0</v>
      </c>
      <c r="Y16" s="142">
        <v>0</v>
      </c>
      <c r="Z16" s="142">
        <v>0</v>
      </c>
      <c r="AA16" s="142">
        <v>0</v>
      </c>
      <c r="AB16" s="142">
        <v>0</v>
      </c>
      <c r="AC16" s="142">
        <v>0</v>
      </c>
      <c r="AD16" s="148">
        <f t="shared" si="0"/>
        <v>586.36999999999978</v>
      </c>
    </row>
    <row r="17" spans="1:31" ht="50.25" customHeight="1">
      <c r="A17" s="155" t="s">
        <v>17</v>
      </c>
      <c r="B17" s="175" t="s">
        <v>210</v>
      </c>
      <c r="C17" s="296" t="s">
        <v>94</v>
      </c>
      <c r="D17" s="141">
        <v>2020</v>
      </c>
      <c r="E17" s="178">
        <f t="shared" ref="E17:E22" si="1">F17+G17+H17+I17</f>
        <v>1192</v>
      </c>
      <c r="F17" s="178">
        <v>1192</v>
      </c>
      <c r="G17" s="178">
        <v>0</v>
      </c>
      <c r="H17" s="178">
        <v>0</v>
      </c>
      <c r="I17" s="178">
        <v>0</v>
      </c>
      <c r="J17" s="178">
        <f t="shared" ref="J17:J22" si="2">K17+L17+M17+N17</f>
        <v>0</v>
      </c>
      <c r="K17" s="178">
        <v>0</v>
      </c>
      <c r="L17" s="178">
        <v>0</v>
      </c>
      <c r="M17" s="142">
        <v>0</v>
      </c>
      <c r="N17" s="142">
        <v>0</v>
      </c>
      <c r="O17" s="142">
        <f>P17+Q17+R17+S17</f>
        <v>0</v>
      </c>
      <c r="P17" s="142">
        <v>0</v>
      </c>
      <c r="Q17" s="142">
        <v>0</v>
      </c>
      <c r="R17" s="142">
        <v>0</v>
      </c>
      <c r="S17" s="142">
        <v>0</v>
      </c>
      <c r="T17" s="142">
        <f>U17+V17+W17+X17</f>
        <v>0</v>
      </c>
      <c r="U17" s="142">
        <v>0</v>
      </c>
      <c r="V17" s="142">
        <v>0</v>
      </c>
      <c r="W17" s="142">
        <v>0</v>
      </c>
      <c r="X17" s="142">
        <v>0</v>
      </c>
      <c r="Y17" s="142">
        <f>Z17+AA17+AB17+AC17</f>
        <v>0</v>
      </c>
      <c r="Z17" s="142">
        <v>0</v>
      </c>
      <c r="AA17" s="142">
        <v>0</v>
      </c>
      <c r="AB17" s="142">
        <v>0</v>
      </c>
      <c r="AC17" s="142">
        <v>0</v>
      </c>
      <c r="AD17" s="142">
        <f t="shared" si="0"/>
        <v>1192</v>
      </c>
    </row>
    <row r="18" spans="1:31" ht="75" customHeight="1">
      <c r="A18" s="155" t="s">
        <v>163</v>
      </c>
      <c r="B18" s="175" t="s">
        <v>121</v>
      </c>
      <c r="C18" s="296" t="s">
        <v>94</v>
      </c>
      <c r="D18" s="141" t="s">
        <v>164</v>
      </c>
      <c r="E18" s="178">
        <f t="shared" si="1"/>
        <v>6060</v>
      </c>
      <c r="F18" s="178">
        <f>6183-123</f>
        <v>6060</v>
      </c>
      <c r="G18" s="178">
        <v>0</v>
      </c>
      <c r="H18" s="178">
        <v>0</v>
      </c>
      <c r="I18" s="178">
        <v>0</v>
      </c>
      <c r="J18" s="283">
        <f t="shared" si="2"/>
        <v>5706</v>
      </c>
      <c r="K18" s="283">
        <f>5832-126</f>
        <v>5706</v>
      </c>
      <c r="L18" s="178">
        <v>0</v>
      </c>
      <c r="M18" s="142">
        <v>0</v>
      </c>
      <c r="N18" s="142">
        <v>0</v>
      </c>
      <c r="O18" s="142">
        <f>P18+Q18+R18+S18</f>
        <v>0</v>
      </c>
      <c r="P18" s="142">
        <v>0</v>
      </c>
      <c r="Q18" s="142">
        <v>0</v>
      </c>
      <c r="R18" s="142">
        <v>0</v>
      </c>
      <c r="S18" s="142">
        <v>0</v>
      </c>
      <c r="T18" s="142">
        <f>U18+V18+W18+X18</f>
        <v>0</v>
      </c>
      <c r="U18" s="142">
        <v>0</v>
      </c>
      <c r="V18" s="142">
        <v>0</v>
      </c>
      <c r="W18" s="142">
        <v>0</v>
      </c>
      <c r="X18" s="142">
        <v>0</v>
      </c>
      <c r="Y18" s="142">
        <v>6150</v>
      </c>
      <c r="Z18" s="142">
        <v>6150</v>
      </c>
      <c r="AA18" s="142">
        <v>0</v>
      </c>
      <c r="AB18" s="142">
        <v>0</v>
      </c>
      <c r="AC18" s="142">
        <v>0</v>
      </c>
      <c r="AD18" s="142">
        <f t="shared" si="0"/>
        <v>17916</v>
      </c>
    </row>
    <row r="19" spans="1:31" ht="37.5">
      <c r="A19" s="155" t="s">
        <v>182</v>
      </c>
      <c r="B19" s="170" t="s">
        <v>124</v>
      </c>
      <c r="C19" s="296" t="s">
        <v>94</v>
      </c>
      <c r="D19" s="141" t="s">
        <v>282</v>
      </c>
      <c r="E19" s="178">
        <f t="shared" si="1"/>
        <v>785</v>
      </c>
      <c r="F19" s="178">
        <v>785</v>
      </c>
      <c r="G19" s="178">
        <v>0</v>
      </c>
      <c r="H19" s="178">
        <v>0</v>
      </c>
      <c r="I19" s="178">
        <v>0</v>
      </c>
      <c r="J19" s="178">
        <f t="shared" si="2"/>
        <v>90</v>
      </c>
      <c r="K19" s="178">
        <v>90</v>
      </c>
      <c r="L19" s="178">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f>E19+J19+O19+T19+Y19</f>
        <v>875</v>
      </c>
    </row>
    <row r="20" spans="1:31" ht="46.5">
      <c r="A20" s="155" t="s">
        <v>208</v>
      </c>
      <c r="B20" s="170" t="s">
        <v>126</v>
      </c>
      <c r="C20" s="296" t="s">
        <v>94</v>
      </c>
      <c r="D20" s="141">
        <v>2020</v>
      </c>
      <c r="E20" s="178">
        <f t="shared" si="1"/>
        <v>110</v>
      </c>
      <c r="F20" s="178">
        <v>110</v>
      </c>
      <c r="G20" s="178">
        <v>0</v>
      </c>
      <c r="H20" s="178">
        <v>0</v>
      </c>
      <c r="I20" s="178">
        <v>0</v>
      </c>
      <c r="J20" s="178">
        <f t="shared" si="2"/>
        <v>0</v>
      </c>
      <c r="K20" s="178">
        <v>0</v>
      </c>
      <c r="L20" s="178">
        <v>0</v>
      </c>
      <c r="M20" s="142">
        <v>0</v>
      </c>
      <c r="N20" s="142">
        <v>0</v>
      </c>
      <c r="O20" s="142">
        <f t="shared" ref="O20:O26" si="3">P20+Q20+R20+S20</f>
        <v>0</v>
      </c>
      <c r="P20" s="142">
        <v>0</v>
      </c>
      <c r="Q20" s="142">
        <v>0</v>
      </c>
      <c r="R20" s="142">
        <v>0</v>
      </c>
      <c r="S20" s="142">
        <v>0</v>
      </c>
      <c r="T20" s="142">
        <f t="shared" ref="T20:T26" si="4">U20+V20+W20+X20</f>
        <v>0</v>
      </c>
      <c r="U20" s="142">
        <v>0</v>
      </c>
      <c r="V20" s="142">
        <v>0</v>
      </c>
      <c r="W20" s="142">
        <v>0</v>
      </c>
      <c r="X20" s="142">
        <v>0</v>
      </c>
      <c r="Y20" s="142">
        <f>Z20+AA20+AB20+AC20</f>
        <v>0</v>
      </c>
      <c r="Z20" s="142">
        <v>0</v>
      </c>
      <c r="AA20" s="142">
        <v>0</v>
      </c>
      <c r="AB20" s="142">
        <v>0</v>
      </c>
      <c r="AC20" s="142">
        <v>0</v>
      </c>
      <c r="AD20" s="142">
        <f t="shared" ref="AD20:AD26" si="5">E20+J20+O20+T20+Y20</f>
        <v>110</v>
      </c>
    </row>
    <row r="21" spans="1:31" ht="69.75">
      <c r="A21" s="155" t="s">
        <v>211</v>
      </c>
      <c r="B21" s="170" t="s">
        <v>122</v>
      </c>
      <c r="C21" s="296" t="s">
        <v>94</v>
      </c>
      <c r="D21" s="141">
        <v>2020</v>
      </c>
      <c r="E21" s="178">
        <f t="shared" si="1"/>
        <v>53</v>
      </c>
      <c r="F21" s="178">
        <v>53</v>
      </c>
      <c r="G21" s="178">
        <v>0</v>
      </c>
      <c r="H21" s="178">
        <v>0</v>
      </c>
      <c r="I21" s="178">
        <v>0</v>
      </c>
      <c r="J21" s="178">
        <f t="shared" si="2"/>
        <v>0</v>
      </c>
      <c r="K21" s="178">
        <v>0</v>
      </c>
      <c r="L21" s="178">
        <v>0</v>
      </c>
      <c r="M21" s="142">
        <v>0</v>
      </c>
      <c r="N21" s="142">
        <v>0</v>
      </c>
      <c r="O21" s="142">
        <f t="shared" si="3"/>
        <v>0</v>
      </c>
      <c r="P21" s="142">
        <v>0</v>
      </c>
      <c r="Q21" s="142">
        <v>0</v>
      </c>
      <c r="R21" s="142">
        <v>0</v>
      </c>
      <c r="S21" s="142">
        <v>0</v>
      </c>
      <c r="T21" s="142">
        <f t="shared" si="4"/>
        <v>0</v>
      </c>
      <c r="U21" s="142">
        <v>0</v>
      </c>
      <c r="V21" s="142">
        <v>0</v>
      </c>
      <c r="W21" s="142">
        <v>0</v>
      </c>
      <c r="X21" s="142">
        <v>0</v>
      </c>
      <c r="Y21" s="142">
        <f>Z21+AA21+AB21+AC21</f>
        <v>0</v>
      </c>
      <c r="Z21" s="142">
        <v>0</v>
      </c>
      <c r="AA21" s="142">
        <v>0</v>
      </c>
      <c r="AB21" s="142">
        <v>0</v>
      </c>
      <c r="AC21" s="142">
        <v>0</v>
      </c>
      <c r="AD21" s="142">
        <f t="shared" si="5"/>
        <v>53</v>
      </c>
    </row>
    <row r="22" spans="1:31" ht="72.75" customHeight="1">
      <c r="A22" s="155" t="s">
        <v>212</v>
      </c>
      <c r="B22" s="170" t="s">
        <v>123</v>
      </c>
      <c r="C22" s="296" t="s">
        <v>94</v>
      </c>
      <c r="D22" s="141">
        <v>2020</v>
      </c>
      <c r="E22" s="178">
        <f t="shared" si="1"/>
        <v>130</v>
      </c>
      <c r="F22" s="178">
        <f>112+18</f>
        <v>130</v>
      </c>
      <c r="G22" s="178">
        <v>0</v>
      </c>
      <c r="H22" s="178">
        <v>0</v>
      </c>
      <c r="I22" s="178">
        <v>0</v>
      </c>
      <c r="J22" s="178">
        <f t="shared" si="2"/>
        <v>0</v>
      </c>
      <c r="K22" s="178">
        <v>0</v>
      </c>
      <c r="L22" s="178">
        <v>0</v>
      </c>
      <c r="M22" s="142">
        <v>0</v>
      </c>
      <c r="N22" s="142">
        <v>0</v>
      </c>
      <c r="O22" s="142">
        <f t="shared" si="3"/>
        <v>0</v>
      </c>
      <c r="P22" s="142">
        <v>0</v>
      </c>
      <c r="Q22" s="142">
        <v>0</v>
      </c>
      <c r="R22" s="142">
        <v>0</v>
      </c>
      <c r="S22" s="142">
        <v>0</v>
      </c>
      <c r="T22" s="142">
        <f t="shared" si="4"/>
        <v>0</v>
      </c>
      <c r="U22" s="142">
        <v>0</v>
      </c>
      <c r="V22" s="142">
        <v>0</v>
      </c>
      <c r="W22" s="142">
        <v>0</v>
      </c>
      <c r="X22" s="142">
        <v>0</v>
      </c>
      <c r="Y22" s="142">
        <f>Z22+AA22+AB22+AC22</f>
        <v>0</v>
      </c>
      <c r="Z22" s="142">
        <v>0</v>
      </c>
      <c r="AA22" s="142">
        <v>0</v>
      </c>
      <c r="AB22" s="142">
        <v>0</v>
      </c>
      <c r="AC22" s="142">
        <v>0</v>
      </c>
      <c r="AD22" s="142">
        <f t="shared" si="5"/>
        <v>130</v>
      </c>
    </row>
    <row r="23" spans="1:31" ht="63" customHeight="1">
      <c r="A23" s="155" t="s">
        <v>213</v>
      </c>
      <c r="B23" s="170" t="s">
        <v>125</v>
      </c>
      <c r="C23" s="296" t="s">
        <v>94</v>
      </c>
      <c r="D23" s="141" t="s">
        <v>164</v>
      </c>
      <c r="E23" s="178">
        <v>120</v>
      </c>
      <c r="F23" s="178">
        <v>120</v>
      </c>
      <c r="G23" s="178">
        <v>0</v>
      </c>
      <c r="H23" s="178">
        <v>0</v>
      </c>
      <c r="I23" s="178">
        <v>0</v>
      </c>
      <c r="J23" s="283">
        <f>K23+L23+M23+N23</f>
        <v>0</v>
      </c>
      <c r="K23" s="283">
        <f>60-60</f>
        <v>0</v>
      </c>
      <c r="L23" s="178">
        <v>0</v>
      </c>
      <c r="M23" s="142">
        <v>0</v>
      </c>
      <c r="N23" s="142">
        <v>0</v>
      </c>
      <c r="O23" s="142">
        <f t="shared" si="3"/>
        <v>0</v>
      </c>
      <c r="P23" s="142">
        <v>0</v>
      </c>
      <c r="Q23" s="142">
        <v>0</v>
      </c>
      <c r="R23" s="142">
        <v>0</v>
      </c>
      <c r="S23" s="142">
        <v>0</v>
      </c>
      <c r="T23" s="142">
        <f t="shared" si="4"/>
        <v>0</v>
      </c>
      <c r="U23" s="142">
        <v>0</v>
      </c>
      <c r="V23" s="142">
        <v>0</v>
      </c>
      <c r="W23" s="142">
        <v>0</v>
      </c>
      <c r="X23" s="142">
        <v>0</v>
      </c>
      <c r="Y23" s="142">
        <v>90</v>
      </c>
      <c r="Z23" s="142">
        <v>90</v>
      </c>
      <c r="AA23" s="142">
        <v>0</v>
      </c>
      <c r="AB23" s="142">
        <v>0</v>
      </c>
      <c r="AC23" s="142">
        <v>0</v>
      </c>
      <c r="AD23" s="142">
        <f t="shared" si="5"/>
        <v>210</v>
      </c>
    </row>
    <row r="24" spans="1:31" ht="54.75" customHeight="1">
      <c r="A24" s="155" t="s">
        <v>214</v>
      </c>
      <c r="B24" s="170" t="s">
        <v>205</v>
      </c>
      <c r="C24" s="296" t="s">
        <v>52</v>
      </c>
      <c r="D24" s="141" t="s">
        <v>287</v>
      </c>
      <c r="E24" s="178">
        <v>23068</v>
      </c>
      <c r="F24" s="178">
        <v>0</v>
      </c>
      <c r="G24" s="178">
        <v>23068</v>
      </c>
      <c r="H24" s="178">
        <v>0</v>
      </c>
      <c r="I24" s="178">
        <v>0</v>
      </c>
      <c r="J24" s="178">
        <f>K24+L24+M24+N24</f>
        <v>23742</v>
      </c>
      <c r="K24" s="178">
        <v>0</v>
      </c>
      <c r="L24" s="178">
        <v>23742</v>
      </c>
      <c r="M24" s="142">
        <v>0</v>
      </c>
      <c r="N24" s="142">
        <v>0</v>
      </c>
      <c r="O24" s="136">
        <f t="shared" si="3"/>
        <v>23742</v>
      </c>
      <c r="P24" s="142">
        <v>0</v>
      </c>
      <c r="Q24" s="136">
        <v>23742</v>
      </c>
      <c r="R24" s="142">
        <v>0</v>
      </c>
      <c r="S24" s="142">
        <v>0</v>
      </c>
      <c r="T24" s="136">
        <f t="shared" si="4"/>
        <v>23742</v>
      </c>
      <c r="U24" s="142">
        <v>0</v>
      </c>
      <c r="V24" s="136">
        <v>23742</v>
      </c>
      <c r="W24" s="142">
        <v>0</v>
      </c>
      <c r="X24" s="142">
        <v>0</v>
      </c>
      <c r="Y24" s="142">
        <v>0</v>
      </c>
      <c r="Z24" s="142">
        <v>0</v>
      </c>
      <c r="AA24" s="142">
        <v>0</v>
      </c>
      <c r="AB24" s="142">
        <v>0</v>
      </c>
      <c r="AC24" s="142">
        <v>0</v>
      </c>
      <c r="AD24" s="142">
        <f>E24+J24+O24+T24+Y24</f>
        <v>94294</v>
      </c>
    </row>
    <row r="25" spans="1:31" ht="61.5" customHeight="1">
      <c r="A25" s="155" t="s">
        <v>215</v>
      </c>
      <c r="B25" s="170" t="s">
        <v>198</v>
      </c>
      <c r="C25" s="296" t="s">
        <v>52</v>
      </c>
      <c r="D25" s="141" t="s">
        <v>287</v>
      </c>
      <c r="E25" s="178">
        <v>238</v>
      </c>
      <c r="F25" s="179">
        <v>0</v>
      </c>
      <c r="G25" s="178">
        <v>238</v>
      </c>
      <c r="H25" s="178">
        <v>0</v>
      </c>
      <c r="I25" s="178">
        <v>0</v>
      </c>
      <c r="J25" s="178">
        <f>K25+L25+M25+N25</f>
        <v>476</v>
      </c>
      <c r="K25" s="178">
        <v>0</v>
      </c>
      <c r="L25" s="178">
        <v>476</v>
      </c>
      <c r="M25" s="142">
        <v>0</v>
      </c>
      <c r="N25" s="142">
        <v>0</v>
      </c>
      <c r="O25" s="136">
        <f t="shared" si="3"/>
        <v>476</v>
      </c>
      <c r="P25" s="142">
        <v>0</v>
      </c>
      <c r="Q25" s="136">
        <v>476</v>
      </c>
      <c r="R25" s="142">
        <v>0</v>
      </c>
      <c r="S25" s="142">
        <v>0</v>
      </c>
      <c r="T25" s="136">
        <f t="shared" si="4"/>
        <v>476</v>
      </c>
      <c r="U25" s="142">
        <v>0</v>
      </c>
      <c r="V25" s="136">
        <v>476</v>
      </c>
      <c r="W25" s="142">
        <v>0</v>
      </c>
      <c r="X25" s="142">
        <v>0</v>
      </c>
      <c r="Y25" s="142">
        <v>0</v>
      </c>
      <c r="Z25" s="142">
        <v>0</v>
      </c>
      <c r="AA25" s="142">
        <v>0</v>
      </c>
      <c r="AB25" s="142">
        <v>0</v>
      </c>
      <c r="AC25" s="142">
        <v>0</v>
      </c>
      <c r="AD25" s="142">
        <f>E25+J25+O25+T25+Y25</f>
        <v>1666</v>
      </c>
    </row>
    <row r="26" spans="1:31" ht="46.5">
      <c r="A26" s="155" t="s">
        <v>216</v>
      </c>
      <c r="B26" s="175" t="s">
        <v>217</v>
      </c>
      <c r="C26" s="296" t="s">
        <v>94</v>
      </c>
      <c r="D26" s="141">
        <v>2020</v>
      </c>
      <c r="E26" s="178">
        <f>F26+G26+H26+I26</f>
        <v>120</v>
      </c>
      <c r="F26" s="178">
        <f>300-180</f>
        <v>120</v>
      </c>
      <c r="G26" s="178">
        <v>0</v>
      </c>
      <c r="H26" s="178">
        <v>0</v>
      </c>
      <c r="I26" s="178">
        <v>0</v>
      </c>
      <c r="J26" s="178">
        <f>K26+L26+M26+N26</f>
        <v>0</v>
      </c>
      <c r="K26" s="178">
        <v>0</v>
      </c>
      <c r="L26" s="178">
        <v>0</v>
      </c>
      <c r="M26" s="142">
        <v>0</v>
      </c>
      <c r="N26" s="142">
        <v>0</v>
      </c>
      <c r="O26" s="142">
        <f t="shared" si="3"/>
        <v>0</v>
      </c>
      <c r="P26" s="142">
        <v>0</v>
      </c>
      <c r="Q26" s="142">
        <v>0</v>
      </c>
      <c r="R26" s="142">
        <v>0</v>
      </c>
      <c r="S26" s="142">
        <v>0</v>
      </c>
      <c r="T26" s="142">
        <f t="shared" si="4"/>
        <v>0</v>
      </c>
      <c r="U26" s="142">
        <v>0</v>
      </c>
      <c r="V26" s="142">
        <v>0</v>
      </c>
      <c r="W26" s="142">
        <v>0</v>
      </c>
      <c r="X26" s="142">
        <v>0</v>
      </c>
      <c r="Y26" s="142">
        <f>Z26+AA26+AB26+AC26</f>
        <v>0</v>
      </c>
      <c r="Z26" s="142">
        <v>0</v>
      </c>
      <c r="AA26" s="142">
        <v>0</v>
      </c>
      <c r="AB26" s="142">
        <v>0</v>
      </c>
      <c r="AC26" s="142">
        <v>0</v>
      </c>
      <c r="AD26" s="142">
        <f t="shared" si="5"/>
        <v>120</v>
      </c>
    </row>
    <row r="27" spans="1:31" ht="23.25">
      <c r="A27" s="575" t="s">
        <v>19</v>
      </c>
      <c r="B27" s="575"/>
      <c r="C27" s="575"/>
      <c r="D27" s="206"/>
      <c r="E27" s="148">
        <f>E28+E29+E30</f>
        <v>76431.37</v>
      </c>
      <c r="F27" s="148">
        <f>SUM(F13:F26)</f>
        <v>50955.7</v>
      </c>
      <c r="G27" s="148">
        <f>G28+G29+G30</f>
        <v>23306</v>
      </c>
      <c r="H27" s="148">
        <f>SUM(H13:H17)</f>
        <v>0</v>
      </c>
      <c r="I27" s="148">
        <f>SUM(I13:I17)</f>
        <v>2169.67</v>
      </c>
      <c r="J27" s="148">
        <f>J28+J29+J30</f>
        <v>77027</v>
      </c>
      <c r="K27" s="148">
        <f>K28+K29</f>
        <v>52809</v>
      </c>
      <c r="L27" s="148">
        <f>L13+L14+L15+L16+L17+L18+L19+L20+L21+L22+L23+L24+L25+L26</f>
        <v>24218</v>
      </c>
      <c r="M27" s="148">
        <f>SUM(M13:M17)</f>
        <v>0</v>
      </c>
      <c r="N27" s="148">
        <f>SUM(N13:N17)</f>
        <v>0</v>
      </c>
      <c r="O27" s="258">
        <f>O24+O25</f>
        <v>24218</v>
      </c>
      <c r="P27" s="148">
        <f>P28+P29</f>
        <v>0</v>
      </c>
      <c r="Q27" s="258">
        <f>Q28+Q29+Q30</f>
        <v>24218</v>
      </c>
      <c r="R27" s="148">
        <f>SUM(R13:R17)</f>
        <v>0</v>
      </c>
      <c r="S27" s="148">
        <f>SUM(S13:S17)</f>
        <v>0</v>
      </c>
      <c r="T27" s="258">
        <f>SUM(T13:T26)</f>
        <v>24218</v>
      </c>
      <c r="U27" s="148">
        <f>SUM(U13:U26)</f>
        <v>0</v>
      </c>
      <c r="V27" s="258">
        <f>V28+V29+V30</f>
        <v>24218</v>
      </c>
      <c r="W27" s="148">
        <f>SUM(W13:W16)</f>
        <v>0</v>
      </c>
      <c r="X27" s="148">
        <f>SUM(X13:X16)</f>
        <v>0</v>
      </c>
      <c r="Y27" s="148">
        <f>Y28+Y29</f>
        <v>54395.3</v>
      </c>
      <c r="Z27" s="148">
        <f>Z28+Z29+Z30</f>
        <v>54395.3</v>
      </c>
      <c r="AA27" s="148">
        <f>SUM(AA13:AA17)</f>
        <v>0</v>
      </c>
      <c r="AB27" s="148">
        <f>SUM(AB13:AB17)</f>
        <v>0</v>
      </c>
      <c r="AC27" s="148">
        <f>SUM(AC13:AC17)</f>
        <v>0</v>
      </c>
      <c r="AD27" s="148">
        <f>AD28+AD29+AD30</f>
        <v>256289.66999999998</v>
      </c>
    </row>
    <row r="28" spans="1:31" ht="23.25">
      <c r="A28" s="287" t="s">
        <v>14</v>
      </c>
      <c r="B28" s="289"/>
      <c r="C28" s="290"/>
      <c r="D28" s="157"/>
      <c r="E28" s="142">
        <f>F28+G28+H28+I28</f>
        <v>36295.369999999995</v>
      </c>
      <c r="F28" s="142">
        <f>F13+F14+F16</f>
        <v>34125.699999999997</v>
      </c>
      <c r="G28" s="142">
        <f>G13+G14+G16</f>
        <v>0</v>
      </c>
      <c r="H28" s="142">
        <f>G13+G14+G16</f>
        <v>0</v>
      </c>
      <c r="I28" s="142">
        <f>I14+I16</f>
        <v>2169.67</v>
      </c>
      <c r="J28" s="142">
        <f t="shared" ref="J28:V28" si="6">J13+J14+J16</f>
        <v>35500</v>
      </c>
      <c r="K28" s="142">
        <f t="shared" si="6"/>
        <v>35500</v>
      </c>
      <c r="L28" s="142">
        <f t="shared" si="6"/>
        <v>0</v>
      </c>
      <c r="M28" s="142">
        <f t="shared" si="6"/>
        <v>0</v>
      </c>
      <c r="N28" s="142">
        <f t="shared" si="6"/>
        <v>0</v>
      </c>
      <c r="O28" s="142">
        <f t="shared" si="6"/>
        <v>0</v>
      </c>
      <c r="P28" s="142">
        <f t="shared" si="6"/>
        <v>0</v>
      </c>
      <c r="Q28" s="142">
        <f t="shared" si="6"/>
        <v>0</v>
      </c>
      <c r="R28" s="142">
        <f t="shared" si="6"/>
        <v>0</v>
      </c>
      <c r="S28" s="142">
        <f t="shared" si="6"/>
        <v>0</v>
      </c>
      <c r="T28" s="142">
        <f t="shared" si="6"/>
        <v>0</v>
      </c>
      <c r="U28" s="142">
        <f t="shared" si="6"/>
        <v>0</v>
      </c>
      <c r="V28" s="142">
        <f t="shared" si="6"/>
        <v>0</v>
      </c>
      <c r="W28" s="142">
        <f>W13+W14+W16</f>
        <v>0</v>
      </c>
      <c r="X28" s="142">
        <f t="shared" ref="X28:AC28" si="7">X13+X14+X16</f>
        <v>0</v>
      </c>
      <c r="Y28" s="142">
        <f t="shared" si="7"/>
        <v>35500</v>
      </c>
      <c r="Z28" s="142">
        <f>Z13+Z14+Z16</f>
        <v>35500</v>
      </c>
      <c r="AA28" s="142">
        <f t="shared" si="7"/>
        <v>0</v>
      </c>
      <c r="AB28" s="142">
        <f t="shared" si="7"/>
        <v>0</v>
      </c>
      <c r="AC28" s="142">
        <f t="shared" si="7"/>
        <v>0</v>
      </c>
      <c r="AD28" s="142">
        <f>E28+J28+O28+T28+Y28</f>
        <v>107295.37</v>
      </c>
    </row>
    <row r="29" spans="1:31" ht="23.25">
      <c r="A29" s="287" t="s">
        <v>135</v>
      </c>
      <c r="B29" s="207"/>
      <c r="C29" s="208"/>
      <c r="D29" s="157"/>
      <c r="E29" s="142">
        <f>E15+E17+E18+E19+E20+E21+E22+E23+E26</f>
        <v>16830</v>
      </c>
      <c r="F29" s="142">
        <f>F15+F17+F18+F19+F20+F21+F22+F23+F26</f>
        <v>16830</v>
      </c>
      <c r="G29" s="142">
        <f>G15+G16</f>
        <v>0</v>
      </c>
      <c r="H29" s="142">
        <f>H15+H17+H18+H19+H20+H21+H22+H23+H26</f>
        <v>0</v>
      </c>
      <c r="I29" s="142">
        <f>I15+I17+I17+I18+I19+I20+I21+I22+I23+I26</f>
        <v>0</v>
      </c>
      <c r="J29" s="142">
        <f>J15+J17+J18+J19+J20+J21+J22+J23+J26</f>
        <v>17309</v>
      </c>
      <c r="K29" s="142">
        <f>K15+K17+K18+K19+K20+K21+K22+K23+K26</f>
        <v>17309</v>
      </c>
      <c r="L29" s="142">
        <f>L15+L17+L18+L19+L20+L21+L22+L23+L26</f>
        <v>0</v>
      </c>
      <c r="M29" s="142">
        <f>M24+M25</f>
        <v>0</v>
      </c>
      <c r="N29" s="142">
        <f>N24+N25</f>
        <v>0</v>
      </c>
      <c r="O29" s="142">
        <f>O26+O23+O13+O22+O21+O20+O19+O18+O17+O16+O15</f>
        <v>0</v>
      </c>
      <c r="P29" s="142">
        <f t="shared" ref="P29:AC29" si="8">P15+P17+P18+P19+P20+P21+P22+P23+P26</f>
        <v>0</v>
      </c>
      <c r="Q29" s="142">
        <f t="shared" si="8"/>
        <v>0</v>
      </c>
      <c r="R29" s="142">
        <f t="shared" si="8"/>
        <v>0</v>
      </c>
      <c r="S29" s="142">
        <f t="shared" si="8"/>
        <v>0</v>
      </c>
      <c r="T29" s="142">
        <f t="shared" si="8"/>
        <v>0</v>
      </c>
      <c r="U29" s="142">
        <f>U15+U17+U18+U19+U20+U21+U22+U23+U26</f>
        <v>0</v>
      </c>
      <c r="V29" s="142">
        <f t="shared" si="8"/>
        <v>0</v>
      </c>
      <c r="W29" s="142">
        <f t="shared" si="8"/>
        <v>0</v>
      </c>
      <c r="X29" s="142">
        <f t="shared" si="8"/>
        <v>0</v>
      </c>
      <c r="Y29" s="142">
        <f t="shared" si="8"/>
        <v>18895.3</v>
      </c>
      <c r="Z29" s="142">
        <f>Z15+Z17+Z18+Z19+Z20+Z21+Z22+Z23+Z26</f>
        <v>18895.3</v>
      </c>
      <c r="AA29" s="142">
        <f t="shared" si="8"/>
        <v>0</v>
      </c>
      <c r="AB29" s="142">
        <f t="shared" si="8"/>
        <v>0</v>
      </c>
      <c r="AC29" s="142">
        <f t="shared" si="8"/>
        <v>0</v>
      </c>
      <c r="AD29" s="142">
        <f>E29+J29+O29+T29+Y29</f>
        <v>53034.3</v>
      </c>
      <c r="AE29" s="209"/>
    </row>
    <row r="30" spans="1:31" ht="23.25">
      <c r="A30" s="289" t="s">
        <v>73</v>
      </c>
      <c r="B30" s="290"/>
      <c r="C30" s="290"/>
      <c r="D30" s="210"/>
      <c r="E30" s="142">
        <f t="shared" ref="E30:S30" si="9">E24+E25</f>
        <v>23306</v>
      </c>
      <c r="F30" s="142">
        <f t="shared" si="9"/>
        <v>0</v>
      </c>
      <c r="G30" s="142">
        <f t="shared" si="9"/>
        <v>23306</v>
      </c>
      <c r="H30" s="142">
        <f t="shared" si="9"/>
        <v>0</v>
      </c>
      <c r="I30" s="142">
        <f t="shared" si="9"/>
        <v>0</v>
      </c>
      <c r="J30" s="142">
        <f t="shared" si="9"/>
        <v>24218</v>
      </c>
      <c r="K30" s="142">
        <f t="shared" si="9"/>
        <v>0</v>
      </c>
      <c r="L30" s="142">
        <f t="shared" si="9"/>
        <v>24218</v>
      </c>
      <c r="M30" s="142">
        <f t="shared" si="9"/>
        <v>0</v>
      </c>
      <c r="N30" s="142">
        <f t="shared" si="9"/>
        <v>0</v>
      </c>
      <c r="O30" s="136">
        <f t="shared" si="9"/>
        <v>24218</v>
      </c>
      <c r="P30" s="142">
        <f t="shared" si="9"/>
        <v>0</v>
      </c>
      <c r="Q30" s="136">
        <f>Q24+Q25</f>
        <v>24218</v>
      </c>
      <c r="R30" s="142">
        <f t="shared" si="9"/>
        <v>0</v>
      </c>
      <c r="S30" s="142">
        <f t="shared" si="9"/>
        <v>0</v>
      </c>
      <c r="T30" s="136">
        <f>T24+T25</f>
        <v>24218</v>
      </c>
      <c r="U30" s="142">
        <f>U25+U24</f>
        <v>0</v>
      </c>
      <c r="V30" s="136">
        <f>V24+V25</f>
        <v>24218</v>
      </c>
      <c r="W30" s="142">
        <f t="shared" ref="W30:AC30" si="10">W24+W25</f>
        <v>0</v>
      </c>
      <c r="X30" s="142">
        <f t="shared" si="10"/>
        <v>0</v>
      </c>
      <c r="Y30" s="142">
        <f t="shared" si="10"/>
        <v>0</v>
      </c>
      <c r="Z30" s="142">
        <f t="shared" si="10"/>
        <v>0</v>
      </c>
      <c r="AA30" s="142">
        <f t="shared" si="10"/>
        <v>0</v>
      </c>
      <c r="AB30" s="142">
        <f t="shared" si="10"/>
        <v>0</v>
      </c>
      <c r="AC30" s="142">
        <f t="shared" si="10"/>
        <v>0</v>
      </c>
      <c r="AD30" s="142">
        <f>E30+J30+O30+T30+Y30</f>
        <v>95960</v>
      </c>
      <c r="AE30" s="209"/>
    </row>
    <row r="31" spans="1:31" ht="23.25">
      <c r="A31" s="41" t="s">
        <v>222</v>
      </c>
      <c r="B31" s="628" t="s">
        <v>276</v>
      </c>
      <c r="C31" s="629"/>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4"/>
    </row>
    <row r="32" spans="1:31" ht="93">
      <c r="A32" s="155" t="s">
        <v>21</v>
      </c>
      <c r="B32" s="185" t="s">
        <v>192</v>
      </c>
      <c r="C32" s="41" t="s">
        <v>94</v>
      </c>
      <c r="D32" s="41" t="s">
        <v>93</v>
      </c>
      <c r="E32" s="142">
        <f>F32+G32+H32+I32</f>
        <v>1892</v>
      </c>
      <c r="F32" s="142">
        <f>2664-772</f>
        <v>1892</v>
      </c>
      <c r="G32" s="142">
        <v>0</v>
      </c>
      <c r="H32" s="142">
        <v>0</v>
      </c>
      <c r="I32" s="142">
        <v>0</v>
      </c>
      <c r="J32" s="142">
        <f>K32+L32+M32+N32</f>
        <v>1606</v>
      </c>
      <c r="K32" s="142">
        <f>1892-286</f>
        <v>1606</v>
      </c>
      <c r="L32" s="142">
        <v>0</v>
      </c>
      <c r="M32" s="142">
        <v>0</v>
      </c>
      <c r="N32" s="142">
        <v>0</v>
      </c>
      <c r="O32" s="142">
        <f>P32+Q32+R32+S32</f>
        <v>0</v>
      </c>
      <c r="P32" s="142">
        <v>0</v>
      </c>
      <c r="Q32" s="142">
        <v>0</v>
      </c>
      <c r="R32" s="142">
        <v>0</v>
      </c>
      <c r="S32" s="142">
        <v>0</v>
      </c>
      <c r="T32" s="142">
        <f>U32+V32+W32+X32</f>
        <v>0</v>
      </c>
      <c r="U32" s="142">
        <v>0</v>
      </c>
      <c r="V32" s="142">
        <v>0</v>
      </c>
      <c r="W32" s="142">
        <v>0</v>
      </c>
      <c r="X32" s="142">
        <v>0</v>
      </c>
      <c r="Y32" s="142">
        <f>Z32+AA32+AB32+AC32</f>
        <v>2664</v>
      </c>
      <c r="Z32" s="142">
        <v>2664</v>
      </c>
      <c r="AA32" s="142">
        <v>0</v>
      </c>
      <c r="AB32" s="142">
        <v>0</v>
      </c>
      <c r="AC32" s="142">
        <v>0</v>
      </c>
      <c r="AD32" s="142">
        <f>E32+J32+O32+T32+Y32</f>
        <v>6162</v>
      </c>
    </row>
    <row r="33" spans="1:31" ht="20.25">
      <c r="A33" s="602" t="s">
        <v>22</v>
      </c>
      <c r="B33" s="603"/>
      <c r="C33" s="604"/>
      <c r="D33" s="288"/>
      <c r="E33" s="148">
        <f>E32</f>
        <v>1892</v>
      </c>
      <c r="F33" s="148">
        <f>SUM(F32)</f>
        <v>1892</v>
      </c>
      <c r="G33" s="148">
        <f t="shared" ref="G33:AD33" si="11">SUM(G32:G32)</f>
        <v>0</v>
      </c>
      <c r="H33" s="148">
        <f t="shared" si="11"/>
        <v>0</v>
      </c>
      <c r="I33" s="148">
        <f t="shared" si="11"/>
        <v>0</v>
      </c>
      <c r="J33" s="148">
        <f>J32</f>
        <v>1606</v>
      </c>
      <c r="K33" s="148">
        <f t="shared" si="11"/>
        <v>1606</v>
      </c>
      <c r="L33" s="148">
        <f t="shared" si="11"/>
        <v>0</v>
      </c>
      <c r="M33" s="148">
        <f t="shared" si="11"/>
        <v>0</v>
      </c>
      <c r="N33" s="148">
        <f t="shared" si="11"/>
        <v>0</v>
      </c>
      <c r="O33" s="148">
        <f t="shared" si="11"/>
        <v>0</v>
      </c>
      <c r="P33" s="148">
        <f t="shared" si="11"/>
        <v>0</v>
      </c>
      <c r="Q33" s="148">
        <f t="shared" si="11"/>
        <v>0</v>
      </c>
      <c r="R33" s="148">
        <f t="shared" si="11"/>
        <v>0</v>
      </c>
      <c r="S33" s="148">
        <f t="shared" si="11"/>
        <v>0</v>
      </c>
      <c r="T33" s="148">
        <f t="shared" si="11"/>
        <v>0</v>
      </c>
      <c r="U33" s="148">
        <f t="shared" si="11"/>
        <v>0</v>
      </c>
      <c r="V33" s="148">
        <f t="shared" si="11"/>
        <v>0</v>
      </c>
      <c r="W33" s="148">
        <f t="shared" si="11"/>
        <v>0</v>
      </c>
      <c r="X33" s="148">
        <f t="shared" si="11"/>
        <v>0</v>
      </c>
      <c r="Y33" s="148">
        <f t="shared" si="11"/>
        <v>2664</v>
      </c>
      <c r="Z33" s="148">
        <f t="shared" si="11"/>
        <v>2664</v>
      </c>
      <c r="AA33" s="148">
        <f t="shared" si="11"/>
        <v>0</v>
      </c>
      <c r="AB33" s="148">
        <f t="shared" si="11"/>
        <v>0</v>
      </c>
      <c r="AC33" s="148">
        <f t="shared" si="11"/>
        <v>0</v>
      </c>
      <c r="AD33" s="148">
        <f t="shared" si="11"/>
        <v>6162</v>
      </c>
    </row>
    <row r="34" spans="1:31" ht="20.25">
      <c r="A34" s="41" t="s">
        <v>229</v>
      </c>
      <c r="B34" s="605" t="s">
        <v>277</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7"/>
    </row>
    <row r="35" spans="1:31" ht="46.5">
      <c r="A35" s="155" t="s">
        <v>24</v>
      </c>
      <c r="B35" s="185" t="s">
        <v>288</v>
      </c>
      <c r="C35" s="205" t="s">
        <v>94</v>
      </c>
      <c r="D35" s="41" t="s">
        <v>93</v>
      </c>
      <c r="E35" s="142">
        <f>F35+G35+H35+I35</f>
        <v>2949</v>
      </c>
      <c r="F35" s="142">
        <v>2949</v>
      </c>
      <c r="G35" s="142">
        <v>0</v>
      </c>
      <c r="H35" s="142">
        <v>0</v>
      </c>
      <c r="I35" s="142">
        <v>0</v>
      </c>
      <c r="J35" s="142">
        <f>K35+L35+M35+N35</f>
        <v>2362</v>
      </c>
      <c r="K35" s="142">
        <f>1775+587</f>
        <v>2362</v>
      </c>
      <c r="L35" s="142">
        <v>0</v>
      </c>
      <c r="M35" s="142">
        <v>0</v>
      </c>
      <c r="N35" s="142">
        <v>0</v>
      </c>
      <c r="O35" s="142">
        <f xml:space="preserve"> SUM(P35:S35)</f>
        <v>0</v>
      </c>
      <c r="P35" s="142">
        <v>0</v>
      </c>
      <c r="Q35" s="142">
        <f>SUM(Q36,Q37,Q38,Q39)</f>
        <v>0</v>
      </c>
      <c r="R35" s="142">
        <f>SUM(R36,R37,R38,R39)</f>
        <v>0</v>
      </c>
      <c r="S35" s="142">
        <f>SUM(S36,S37,S38,S39)</f>
        <v>0</v>
      </c>
      <c r="T35" s="142">
        <f xml:space="preserve"> SUM(U35:X35)</f>
        <v>0</v>
      </c>
      <c r="U35" s="142">
        <v>0</v>
      </c>
      <c r="V35" s="142">
        <f>SUM(V36,V37,V38,V39)</f>
        <v>0</v>
      </c>
      <c r="W35" s="142">
        <f>SUM(W36,W37,W38,W39)</f>
        <v>0</v>
      </c>
      <c r="X35" s="142">
        <f>SUM(X36,X37,X38,X39)</f>
        <v>0</v>
      </c>
      <c r="Y35" s="142">
        <f xml:space="preserve"> SUM(Z35:AC35)</f>
        <v>3306</v>
      </c>
      <c r="Z35" s="142">
        <v>3306</v>
      </c>
      <c r="AA35" s="142">
        <f>SUM(AA36,AA37,AA38,AA39)</f>
        <v>0</v>
      </c>
      <c r="AB35" s="142">
        <f>SUM(AB36,AB37,AB38,AB39)</f>
        <v>0</v>
      </c>
      <c r="AC35" s="142">
        <f>SUM(AC36,AC37,AC38,AC39)</f>
        <v>0</v>
      </c>
      <c r="AD35" s="142">
        <f>E35+J35+O35+T35+Y35</f>
        <v>8617</v>
      </c>
    </row>
    <row r="36" spans="1:31" ht="148.5" customHeight="1">
      <c r="A36" s="155" t="s">
        <v>151</v>
      </c>
      <c r="B36" s="175" t="s">
        <v>76</v>
      </c>
      <c r="C36" s="205" t="s">
        <v>94</v>
      </c>
      <c r="D36" s="41" t="s">
        <v>93</v>
      </c>
      <c r="E36" s="142">
        <f t="shared" ref="E36:E46" si="12">F36+G36+H36+I36</f>
        <v>9</v>
      </c>
      <c r="F36" s="142">
        <v>9</v>
      </c>
      <c r="G36" s="142">
        <v>0</v>
      </c>
      <c r="H36" s="142">
        <v>0</v>
      </c>
      <c r="I36" s="142">
        <v>0</v>
      </c>
      <c r="J36" s="142">
        <f t="shared" ref="J36:J46" si="13">K36+L36+M36+N36</f>
        <v>9</v>
      </c>
      <c r="K36" s="142">
        <v>9</v>
      </c>
      <c r="L36" s="142">
        <v>0</v>
      </c>
      <c r="M36" s="142">
        <v>0</v>
      </c>
      <c r="N36" s="142">
        <v>0</v>
      </c>
      <c r="O36" s="142">
        <f t="shared" ref="O36:O46" si="14">P36+Q36+R36+S36</f>
        <v>0</v>
      </c>
      <c r="P36" s="142">
        <v>0</v>
      </c>
      <c r="Q36" s="142">
        <v>0</v>
      </c>
      <c r="R36" s="142">
        <v>0</v>
      </c>
      <c r="S36" s="142">
        <v>0</v>
      </c>
      <c r="T36" s="142">
        <f t="shared" ref="T36:T46" si="15">U36+V36+W36+X36</f>
        <v>0</v>
      </c>
      <c r="U36" s="142">
        <v>0</v>
      </c>
      <c r="V36" s="142">
        <v>0</v>
      </c>
      <c r="W36" s="142">
        <v>0</v>
      </c>
      <c r="X36" s="142">
        <v>0</v>
      </c>
      <c r="Y36" s="142">
        <f t="shared" ref="Y36:Y46" si="16">Z36+AA36+AB36+AC36</f>
        <v>9</v>
      </c>
      <c r="Z36" s="142">
        <v>9</v>
      </c>
      <c r="AA36" s="142">
        <v>0</v>
      </c>
      <c r="AB36" s="142">
        <v>0</v>
      </c>
      <c r="AC36" s="142">
        <v>0</v>
      </c>
      <c r="AD36" s="142">
        <f t="shared" ref="AD36:AD48" si="17">E36+J36+O36+T36+Y36</f>
        <v>27</v>
      </c>
    </row>
    <row r="37" spans="1:31" ht="37.5">
      <c r="A37" s="155" t="s">
        <v>235</v>
      </c>
      <c r="B37" s="175" t="s">
        <v>71</v>
      </c>
      <c r="C37" s="41" t="s">
        <v>94</v>
      </c>
      <c r="D37" s="41" t="s">
        <v>168</v>
      </c>
      <c r="E37" s="142">
        <f t="shared" si="12"/>
        <v>426</v>
      </c>
      <c r="F37" s="142">
        <v>426</v>
      </c>
      <c r="G37" s="142">
        <v>0</v>
      </c>
      <c r="H37" s="142">
        <v>0</v>
      </c>
      <c r="I37" s="142">
        <v>0</v>
      </c>
      <c r="J37" s="142">
        <f t="shared" si="13"/>
        <v>0</v>
      </c>
      <c r="K37" s="142">
        <v>0</v>
      </c>
      <c r="L37" s="142">
        <v>0</v>
      </c>
      <c r="M37" s="142">
        <v>0</v>
      </c>
      <c r="N37" s="142">
        <v>0</v>
      </c>
      <c r="O37" s="142">
        <f t="shared" si="14"/>
        <v>0</v>
      </c>
      <c r="P37" s="142">
        <v>0</v>
      </c>
      <c r="Q37" s="142">
        <v>0</v>
      </c>
      <c r="R37" s="142">
        <v>0</v>
      </c>
      <c r="S37" s="142">
        <v>0</v>
      </c>
      <c r="T37" s="142">
        <f t="shared" si="15"/>
        <v>0</v>
      </c>
      <c r="U37" s="142">
        <v>0</v>
      </c>
      <c r="V37" s="142">
        <v>0</v>
      </c>
      <c r="W37" s="142">
        <v>0</v>
      </c>
      <c r="X37" s="142">
        <v>0</v>
      </c>
      <c r="Y37" s="142">
        <f t="shared" si="16"/>
        <v>0</v>
      </c>
      <c r="Z37" s="142">
        <v>0</v>
      </c>
      <c r="AA37" s="142">
        <v>0</v>
      </c>
      <c r="AB37" s="142">
        <v>0</v>
      </c>
      <c r="AC37" s="142">
        <v>0</v>
      </c>
      <c r="AD37" s="142">
        <f>E37+J37+O37+T37+Y37</f>
        <v>426</v>
      </c>
    </row>
    <row r="38" spans="1:31" ht="30.75" customHeight="1">
      <c r="A38" s="155" t="s">
        <v>236</v>
      </c>
      <c r="B38" s="175" t="s">
        <v>110</v>
      </c>
      <c r="C38" s="608" t="s">
        <v>105</v>
      </c>
      <c r="D38" s="41" t="s">
        <v>93</v>
      </c>
      <c r="E38" s="142">
        <f t="shared" si="12"/>
        <v>3304</v>
      </c>
      <c r="F38" s="142">
        <v>3304</v>
      </c>
      <c r="G38" s="142">
        <v>0</v>
      </c>
      <c r="H38" s="142">
        <v>0</v>
      </c>
      <c r="I38" s="142">
        <v>0</v>
      </c>
      <c r="J38" s="142">
        <f t="shared" si="13"/>
        <v>3080</v>
      </c>
      <c r="K38" s="142">
        <f>3304-224</f>
        <v>3080</v>
      </c>
      <c r="L38" s="142">
        <v>0</v>
      </c>
      <c r="M38" s="142">
        <v>0</v>
      </c>
      <c r="N38" s="142">
        <v>0</v>
      </c>
      <c r="O38" s="142">
        <f t="shared" si="14"/>
        <v>0</v>
      </c>
      <c r="P38" s="142">
        <v>0</v>
      </c>
      <c r="Q38" s="142">
        <v>0</v>
      </c>
      <c r="R38" s="142">
        <v>0</v>
      </c>
      <c r="S38" s="142">
        <v>0</v>
      </c>
      <c r="T38" s="142">
        <f t="shared" si="15"/>
        <v>0</v>
      </c>
      <c r="U38" s="142">
        <v>0</v>
      </c>
      <c r="V38" s="142">
        <v>0</v>
      </c>
      <c r="W38" s="142">
        <v>0</v>
      </c>
      <c r="X38" s="142">
        <v>0</v>
      </c>
      <c r="Y38" s="142">
        <f t="shared" si="16"/>
        <v>3304</v>
      </c>
      <c r="Z38" s="142">
        <v>3304</v>
      </c>
      <c r="AA38" s="142">
        <v>0</v>
      </c>
      <c r="AB38" s="142">
        <v>0</v>
      </c>
      <c r="AC38" s="142">
        <v>0</v>
      </c>
      <c r="AD38" s="142">
        <f>E38+J38+O38+T38+Y38</f>
        <v>9688</v>
      </c>
    </row>
    <row r="39" spans="1:31" ht="93">
      <c r="A39" s="155" t="s">
        <v>237</v>
      </c>
      <c r="B39" s="175" t="s">
        <v>191</v>
      </c>
      <c r="C39" s="609"/>
      <c r="D39" s="41" t="s">
        <v>283</v>
      </c>
      <c r="E39" s="142">
        <f t="shared" si="12"/>
        <v>378</v>
      </c>
      <c r="F39" s="142">
        <v>378</v>
      </c>
      <c r="G39" s="142">
        <v>0</v>
      </c>
      <c r="H39" s="142">
        <v>0</v>
      </c>
      <c r="I39" s="142">
        <v>0</v>
      </c>
      <c r="J39" s="142">
        <f t="shared" si="13"/>
        <v>419</v>
      </c>
      <c r="K39" s="142">
        <f>324+95</f>
        <v>419</v>
      </c>
      <c r="L39" s="142">
        <v>0</v>
      </c>
      <c r="M39" s="142">
        <v>0</v>
      </c>
      <c r="N39" s="142">
        <v>0</v>
      </c>
      <c r="O39" s="142">
        <f t="shared" si="14"/>
        <v>0</v>
      </c>
      <c r="P39" s="142">
        <v>0</v>
      </c>
      <c r="Q39" s="142">
        <v>0</v>
      </c>
      <c r="R39" s="142">
        <v>0</v>
      </c>
      <c r="S39" s="142">
        <v>0</v>
      </c>
      <c r="T39" s="142">
        <f t="shared" si="15"/>
        <v>0</v>
      </c>
      <c r="U39" s="142">
        <v>0</v>
      </c>
      <c r="V39" s="142">
        <v>0</v>
      </c>
      <c r="W39" s="142">
        <v>0</v>
      </c>
      <c r="X39" s="142">
        <v>0</v>
      </c>
      <c r="Y39" s="142">
        <f t="shared" si="16"/>
        <v>378</v>
      </c>
      <c r="Z39" s="142">
        <v>378</v>
      </c>
      <c r="AA39" s="142">
        <v>0</v>
      </c>
      <c r="AB39" s="142">
        <v>0</v>
      </c>
      <c r="AC39" s="142">
        <v>0</v>
      </c>
      <c r="AD39" s="142">
        <f>E39+J39+O39+T39+Y39</f>
        <v>1175</v>
      </c>
    </row>
    <row r="40" spans="1:31" ht="93">
      <c r="A40" s="155" t="s">
        <v>238</v>
      </c>
      <c r="B40" s="175" t="s">
        <v>77</v>
      </c>
      <c r="C40" s="205" t="s">
        <v>94</v>
      </c>
      <c r="D40" s="41" t="s">
        <v>93</v>
      </c>
      <c r="E40" s="142">
        <f t="shared" si="12"/>
        <v>12</v>
      </c>
      <c r="F40" s="142">
        <v>12</v>
      </c>
      <c r="G40" s="142">
        <v>0</v>
      </c>
      <c r="H40" s="142">
        <v>0</v>
      </c>
      <c r="I40" s="142">
        <v>0</v>
      </c>
      <c r="J40" s="142">
        <f t="shared" si="13"/>
        <v>12</v>
      </c>
      <c r="K40" s="142">
        <v>12</v>
      </c>
      <c r="L40" s="142">
        <v>0</v>
      </c>
      <c r="M40" s="142">
        <v>0</v>
      </c>
      <c r="N40" s="142">
        <v>0</v>
      </c>
      <c r="O40" s="142">
        <f t="shared" si="14"/>
        <v>0</v>
      </c>
      <c r="P40" s="142">
        <v>0</v>
      </c>
      <c r="Q40" s="142">
        <v>0</v>
      </c>
      <c r="R40" s="142">
        <v>0</v>
      </c>
      <c r="S40" s="142">
        <v>0</v>
      </c>
      <c r="T40" s="142">
        <f t="shared" si="15"/>
        <v>0</v>
      </c>
      <c r="U40" s="142">
        <v>0</v>
      </c>
      <c r="V40" s="142">
        <v>0</v>
      </c>
      <c r="W40" s="142">
        <v>0</v>
      </c>
      <c r="X40" s="142">
        <v>0</v>
      </c>
      <c r="Y40" s="142">
        <f t="shared" si="16"/>
        <v>12</v>
      </c>
      <c r="Z40" s="142">
        <v>12</v>
      </c>
      <c r="AA40" s="142">
        <v>0</v>
      </c>
      <c r="AB40" s="142">
        <v>0</v>
      </c>
      <c r="AC40" s="142">
        <v>0</v>
      </c>
      <c r="AD40" s="142">
        <f t="shared" si="17"/>
        <v>36</v>
      </c>
    </row>
    <row r="41" spans="1:31" ht="93">
      <c r="A41" s="155" t="s">
        <v>239</v>
      </c>
      <c r="B41" s="175" t="s">
        <v>265</v>
      </c>
      <c r="C41" s="610" t="s">
        <v>105</v>
      </c>
      <c r="D41" s="41" t="s">
        <v>168</v>
      </c>
      <c r="E41" s="142">
        <f t="shared" si="12"/>
        <v>50</v>
      </c>
      <c r="F41" s="142">
        <v>50</v>
      </c>
      <c r="G41" s="142">
        <v>0</v>
      </c>
      <c r="H41" s="142">
        <v>0</v>
      </c>
      <c r="I41" s="142">
        <v>0</v>
      </c>
      <c r="J41" s="142">
        <f t="shared" si="13"/>
        <v>0</v>
      </c>
      <c r="K41" s="142">
        <v>0</v>
      </c>
      <c r="L41" s="142">
        <v>0</v>
      </c>
      <c r="M41" s="142">
        <v>0</v>
      </c>
      <c r="N41" s="142">
        <v>0</v>
      </c>
      <c r="O41" s="142">
        <f t="shared" si="14"/>
        <v>0</v>
      </c>
      <c r="P41" s="142">
        <v>0</v>
      </c>
      <c r="Q41" s="142">
        <v>0</v>
      </c>
      <c r="R41" s="142">
        <v>0</v>
      </c>
      <c r="S41" s="142">
        <v>0</v>
      </c>
      <c r="T41" s="142">
        <f t="shared" si="15"/>
        <v>0</v>
      </c>
      <c r="U41" s="142">
        <v>0</v>
      </c>
      <c r="V41" s="142">
        <v>0</v>
      </c>
      <c r="W41" s="142">
        <v>0</v>
      </c>
      <c r="X41" s="142">
        <v>0</v>
      </c>
      <c r="Y41" s="142">
        <f t="shared" si="16"/>
        <v>0</v>
      </c>
      <c r="Z41" s="142">
        <v>0</v>
      </c>
      <c r="AA41" s="142">
        <v>0</v>
      </c>
      <c r="AB41" s="142">
        <v>0</v>
      </c>
      <c r="AC41" s="142">
        <v>0</v>
      </c>
      <c r="AD41" s="142">
        <f t="shared" si="17"/>
        <v>50</v>
      </c>
    </row>
    <row r="42" spans="1:31" ht="69.75">
      <c r="A42" s="155" t="s">
        <v>240</v>
      </c>
      <c r="B42" s="175" t="s">
        <v>111</v>
      </c>
      <c r="C42" s="611"/>
      <c r="D42" s="41" t="s">
        <v>168</v>
      </c>
      <c r="E42" s="142">
        <f t="shared" si="12"/>
        <v>50</v>
      </c>
      <c r="F42" s="142">
        <v>50</v>
      </c>
      <c r="G42" s="142">
        <v>0</v>
      </c>
      <c r="H42" s="142">
        <v>0</v>
      </c>
      <c r="I42" s="142">
        <v>0</v>
      </c>
      <c r="J42" s="142">
        <f t="shared" si="13"/>
        <v>50</v>
      </c>
      <c r="K42" s="142">
        <v>50</v>
      </c>
      <c r="L42" s="142">
        <v>0</v>
      </c>
      <c r="M42" s="142">
        <v>0</v>
      </c>
      <c r="N42" s="142">
        <v>0</v>
      </c>
      <c r="O42" s="142">
        <f t="shared" si="14"/>
        <v>0</v>
      </c>
      <c r="P42" s="142">
        <v>0</v>
      </c>
      <c r="Q42" s="142">
        <v>0</v>
      </c>
      <c r="R42" s="142">
        <v>0</v>
      </c>
      <c r="S42" s="142">
        <v>0</v>
      </c>
      <c r="T42" s="142">
        <f t="shared" si="15"/>
        <v>0</v>
      </c>
      <c r="U42" s="142">
        <v>0</v>
      </c>
      <c r="V42" s="142">
        <v>0</v>
      </c>
      <c r="W42" s="142">
        <v>0</v>
      </c>
      <c r="X42" s="142">
        <v>0</v>
      </c>
      <c r="Y42" s="142">
        <f t="shared" si="16"/>
        <v>0</v>
      </c>
      <c r="Z42" s="142">
        <v>0</v>
      </c>
      <c r="AA42" s="142">
        <v>0</v>
      </c>
      <c r="AB42" s="142">
        <v>0</v>
      </c>
      <c r="AC42" s="142">
        <v>0</v>
      </c>
      <c r="AD42" s="142">
        <f t="shared" si="17"/>
        <v>100</v>
      </c>
    </row>
    <row r="43" spans="1:31" ht="93">
      <c r="A43" s="155" t="s">
        <v>241</v>
      </c>
      <c r="B43" s="175" t="s">
        <v>112</v>
      </c>
      <c r="C43" s="611"/>
      <c r="D43" s="41" t="s">
        <v>93</v>
      </c>
      <c r="E43" s="142">
        <f t="shared" si="12"/>
        <v>810</v>
      </c>
      <c r="F43" s="142">
        <f>480+330</f>
        <v>810</v>
      </c>
      <c r="G43" s="142">
        <v>0</v>
      </c>
      <c r="H43" s="142">
        <v>0</v>
      </c>
      <c r="I43" s="142">
        <v>0</v>
      </c>
      <c r="J43" s="142">
        <f>K43+L43+M43+N43</f>
        <v>770</v>
      </c>
      <c r="K43" s="142">
        <f>720+50</f>
        <v>770</v>
      </c>
      <c r="L43" s="142">
        <v>0</v>
      </c>
      <c r="M43" s="142">
        <v>0</v>
      </c>
      <c r="N43" s="142">
        <v>0</v>
      </c>
      <c r="O43" s="142">
        <f t="shared" si="14"/>
        <v>0</v>
      </c>
      <c r="P43" s="142">
        <v>0</v>
      </c>
      <c r="Q43" s="142">
        <v>0</v>
      </c>
      <c r="R43" s="142">
        <v>0</v>
      </c>
      <c r="S43" s="142">
        <v>0</v>
      </c>
      <c r="T43" s="142">
        <f t="shared" si="15"/>
        <v>0</v>
      </c>
      <c r="U43" s="142">
        <v>0</v>
      </c>
      <c r="V43" s="142">
        <v>0</v>
      </c>
      <c r="W43" s="142">
        <v>0</v>
      </c>
      <c r="X43" s="142">
        <v>0</v>
      </c>
      <c r="Y43" s="142">
        <f t="shared" si="16"/>
        <v>480</v>
      </c>
      <c r="Z43" s="142">
        <v>480</v>
      </c>
      <c r="AA43" s="142">
        <v>0</v>
      </c>
      <c r="AB43" s="142">
        <v>0</v>
      </c>
      <c r="AC43" s="142">
        <v>0</v>
      </c>
      <c r="AD43" s="142">
        <f>E43+J43+O43+T43+Y43</f>
        <v>2060</v>
      </c>
    </row>
    <row r="44" spans="1:31" ht="116.25">
      <c r="A44" s="211" t="s">
        <v>242</v>
      </c>
      <c r="B44" s="175" t="s">
        <v>113</v>
      </c>
      <c r="C44" s="611"/>
      <c r="D44" s="41" t="s">
        <v>168</v>
      </c>
      <c r="E44" s="142">
        <f t="shared" si="12"/>
        <v>30</v>
      </c>
      <c r="F44" s="142">
        <v>30</v>
      </c>
      <c r="G44" s="142">
        <v>0</v>
      </c>
      <c r="H44" s="142">
        <v>0</v>
      </c>
      <c r="I44" s="142">
        <v>0</v>
      </c>
      <c r="J44" s="142">
        <f t="shared" si="13"/>
        <v>10</v>
      </c>
      <c r="K44" s="142">
        <v>10</v>
      </c>
      <c r="L44" s="142">
        <v>0</v>
      </c>
      <c r="M44" s="142">
        <v>0</v>
      </c>
      <c r="N44" s="142">
        <v>0</v>
      </c>
      <c r="O44" s="142">
        <f t="shared" si="14"/>
        <v>0</v>
      </c>
      <c r="P44" s="142">
        <v>0</v>
      </c>
      <c r="Q44" s="142">
        <v>0</v>
      </c>
      <c r="R44" s="142">
        <v>0</v>
      </c>
      <c r="S44" s="142">
        <v>0</v>
      </c>
      <c r="T44" s="142">
        <f t="shared" si="15"/>
        <v>0</v>
      </c>
      <c r="U44" s="142">
        <v>0</v>
      </c>
      <c r="V44" s="142">
        <v>0</v>
      </c>
      <c r="W44" s="142">
        <v>0</v>
      </c>
      <c r="X44" s="142">
        <v>0</v>
      </c>
      <c r="Y44" s="142">
        <f t="shared" si="16"/>
        <v>0</v>
      </c>
      <c r="Z44" s="142">
        <v>0</v>
      </c>
      <c r="AA44" s="142">
        <v>0</v>
      </c>
      <c r="AB44" s="142">
        <v>0</v>
      </c>
      <c r="AC44" s="142">
        <v>0</v>
      </c>
      <c r="AD44" s="142">
        <f t="shared" si="17"/>
        <v>40</v>
      </c>
    </row>
    <row r="45" spans="1:31" ht="69.75">
      <c r="A45" s="155" t="s">
        <v>243</v>
      </c>
      <c r="B45" s="175" t="s">
        <v>114</v>
      </c>
      <c r="C45" s="612"/>
      <c r="D45" s="41" t="s">
        <v>168</v>
      </c>
      <c r="E45" s="142">
        <f t="shared" si="12"/>
        <v>50</v>
      </c>
      <c r="F45" s="142">
        <v>50</v>
      </c>
      <c r="G45" s="142">
        <v>0</v>
      </c>
      <c r="H45" s="142">
        <v>0</v>
      </c>
      <c r="I45" s="142">
        <v>0</v>
      </c>
      <c r="J45" s="142">
        <f t="shared" si="13"/>
        <v>50</v>
      </c>
      <c r="K45" s="142">
        <v>50</v>
      </c>
      <c r="L45" s="142">
        <v>0</v>
      </c>
      <c r="M45" s="142">
        <v>0</v>
      </c>
      <c r="N45" s="142">
        <v>0</v>
      </c>
      <c r="O45" s="142">
        <f t="shared" si="14"/>
        <v>0</v>
      </c>
      <c r="P45" s="142">
        <v>0</v>
      </c>
      <c r="Q45" s="142">
        <v>0</v>
      </c>
      <c r="R45" s="142">
        <v>0</v>
      </c>
      <c r="S45" s="142">
        <v>0</v>
      </c>
      <c r="T45" s="142">
        <f t="shared" si="15"/>
        <v>0</v>
      </c>
      <c r="U45" s="142">
        <v>0</v>
      </c>
      <c r="V45" s="142">
        <v>0</v>
      </c>
      <c r="W45" s="142">
        <v>0</v>
      </c>
      <c r="X45" s="142">
        <v>0</v>
      </c>
      <c r="Y45" s="142">
        <f t="shared" si="16"/>
        <v>0</v>
      </c>
      <c r="Z45" s="142">
        <v>0</v>
      </c>
      <c r="AA45" s="142">
        <v>0</v>
      </c>
      <c r="AB45" s="142">
        <v>0</v>
      </c>
      <c r="AC45" s="142">
        <v>0</v>
      </c>
      <c r="AD45" s="142">
        <f t="shared" si="17"/>
        <v>100</v>
      </c>
    </row>
    <row r="46" spans="1:31" ht="69.75">
      <c r="A46" s="155" t="s">
        <v>244</v>
      </c>
      <c r="B46" s="175" t="s">
        <v>78</v>
      </c>
      <c r="C46" s="41" t="s">
        <v>18</v>
      </c>
      <c r="D46" s="41" t="s">
        <v>93</v>
      </c>
      <c r="E46" s="142">
        <f t="shared" si="12"/>
        <v>96</v>
      </c>
      <c r="F46" s="142">
        <f>96</f>
        <v>96</v>
      </c>
      <c r="G46" s="142">
        <v>0</v>
      </c>
      <c r="H46" s="142">
        <v>0</v>
      </c>
      <c r="I46" s="142">
        <v>0</v>
      </c>
      <c r="J46" s="282">
        <f t="shared" si="13"/>
        <v>43</v>
      </c>
      <c r="K46" s="282">
        <f>68-25</f>
        <v>43</v>
      </c>
      <c r="L46" s="142">
        <v>0</v>
      </c>
      <c r="M46" s="142">
        <v>0</v>
      </c>
      <c r="N46" s="142">
        <v>0</v>
      </c>
      <c r="O46" s="142">
        <f t="shared" si="14"/>
        <v>0</v>
      </c>
      <c r="P46" s="142">
        <v>0</v>
      </c>
      <c r="Q46" s="142">
        <v>0</v>
      </c>
      <c r="R46" s="142">
        <v>0</v>
      </c>
      <c r="S46" s="142">
        <v>0</v>
      </c>
      <c r="T46" s="142">
        <f t="shared" si="15"/>
        <v>0</v>
      </c>
      <c r="U46" s="142">
        <v>0</v>
      </c>
      <c r="V46" s="142">
        <v>0</v>
      </c>
      <c r="W46" s="142">
        <v>0</v>
      </c>
      <c r="X46" s="142">
        <v>0</v>
      </c>
      <c r="Y46" s="142">
        <f t="shared" si="16"/>
        <v>96</v>
      </c>
      <c r="Z46" s="142">
        <v>96</v>
      </c>
      <c r="AA46" s="142">
        <v>0</v>
      </c>
      <c r="AB46" s="142">
        <v>0</v>
      </c>
      <c r="AC46" s="142">
        <v>0</v>
      </c>
      <c r="AD46" s="142">
        <f t="shared" si="17"/>
        <v>235</v>
      </c>
    </row>
    <row r="47" spans="1:31" ht="93">
      <c r="A47" s="155" t="s">
        <v>245</v>
      </c>
      <c r="B47" s="175" t="s">
        <v>145</v>
      </c>
      <c r="C47" s="41" t="s">
        <v>94</v>
      </c>
      <c r="D47" s="41" t="s">
        <v>93</v>
      </c>
      <c r="E47" s="142">
        <f>F47+G47+H47+I47</f>
        <v>28325</v>
      </c>
      <c r="F47" s="142">
        <f>6567-902</f>
        <v>5665</v>
      </c>
      <c r="G47" s="142">
        <f>26268-3608</f>
        <v>22660</v>
      </c>
      <c r="H47" s="142">
        <v>0</v>
      </c>
      <c r="I47" s="142">
        <v>0</v>
      </c>
      <c r="J47" s="142">
        <f>K47+L47+M47+N47</f>
        <v>4455</v>
      </c>
      <c r="K47" s="142">
        <f>550+341</f>
        <v>891</v>
      </c>
      <c r="L47" s="142">
        <v>3564</v>
      </c>
      <c r="M47" s="142">
        <v>0</v>
      </c>
      <c r="N47" s="142">
        <v>0</v>
      </c>
      <c r="O47" s="142">
        <f>P47+Q47+R47+S47</f>
        <v>0</v>
      </c>
      <c r="P47" s="142">
        <v>0</v>
      </c>
      <c r="Q47" s="142">
        <v>0</v>
      </c>
      <c r="R47" s="142">
        <v>0</v>
      </c>
      <c r="S47" s="142">
        <v>0</v>
      </c>
      <c r="T47" s="142">
        <f>U47+V47+W47+X47</f>
        <v>0</v>
      </c>
      <c r="U47" s="142">
        <v>0</v>
      </c>
      <c r="V47" s="142">
        <v>0</v>
      </c>
      <c r="W47" s="142">
        <v>0</v>
      </c>
      <c r="X47" s="142">
        <v>0</v>
      </c>
      <c r="Y47" s="142">
        <v>2321</v>
      </c>
      <c r="Z47" s="142">
        <v>2321</v>
      </c>
      <c r="AA47" s="142">
        <v>0</v>
      </c>
      <c r="AB47" s="142">
        <v>0</v>
      </c>
      <c r="AC47" s="142">
        <v>0</v>
      </c>
      <c r="AD47" s="142">
        <f>E47+J47+O47+T47+Y47</f>
        <v>35101</v>
      </c>
      <c r="AE47" s="212"/>
    </row>
    <row r="48" spans="1:31" ht="46.5">
      <c r="A48" s="213" t="s">
        <v>246</v>
      </c>
      <c r="B48" s="187" t="s">
        <v>87</v>
      </c>
      <c r="C48" s="295" t="s">
        <v>52</v>
      </c>
      <c r="D48" s="41" t="s">
        <v>93</v>
      </c>
      <c r="E48" s="142">
        <f>F48+G48+H48+I48</f>
        <v>384.8</v>
      </c>
      <c r="F48" s="142">
        <f>387-2.2</f>
        <v>384.8</v>
      </c>
      <c r="G48" s="142">
        <v>0</v>
      </c>
      <c r="H48" s="142">
        <v>0</v>
      </c>
      <c r="I48" s="142">
        <v>0</v>
      </c>
      <c r="J48" s="142">
        <v>387</v>
      </c>
      <c r="K48" s="142">
        <v>387</v>
      </c>
      <c r="L48" s="142">
        <v>0</v>
      </c>
      <c r="M48" s="142">
        <v>0</v>
      </c>
      <c r="N48" s="142">
        <v>0</v>
      </c>
      <c r="O48" s="142">
        <v>387</v>
      </c>
      <c r="P48" s="142">
        <v>387</v>
      </c>
      <c r="Q48" s="142">
        <v>0</v>
      </c>
      <c r="R48" s="142">
        <v>0</v>
      </c>
      <c r="S48" s="142">
        <v>0</v>
      </c>
      <c r="T48" s="142">
        <f>U48+V48+W48+X48</f>
        <v>387</v>
      </c>
      <c r="U48" s="142">
        <v>387</v>
      </c>
      <c r="V48" s="142">
        <v>0</v>
      </c>
      <c r="W48" s="142">
        <v>0</v>
      </c>
      <c r="X48" s="142">
        <v>0</v>
      </c>
      <c r="Y48" s="142">
        <f>Z48+AA48+AB48+AC48</f>
        <v>387</v>
      </c>
      <c r="Z48" s="142">
        <v>387</v>
      </c>
      <c r="AA48" s="142">
        <v>0</v>
      </c>
      <c r="AB48" s="142">
        <v>0</v>
      </c>
      <c r="AC48" s="142">
        <v>0</v>
      </c>
      <c r="AD48" s="142">
        <f t="shared" si="17"/>
        <v>1932.8</v>
      </c>
    </row>
    <row r="49" spans="1:32" ht="75">
      <c r="A49" s="213" t="s">
        <v>247</v>
      </c>
      <c r="B49" s="187" t="s">
        <v>132</v>
      </c>
      <c r="C49" s="295" t="s">
        <v>147</v>
      </c>
      <c r="D49" s="204">
        <v>2020</v>
      </c>
      <c r="E49" s="142">
        <f>F49+G49+H49+I49</f>
        <v>1248</v>
      </c>
      <c r="F49" s="142">
        <f>1248</f>
        <v>1248</v>
      </c>
      <c r="G49" s="142">
        <v>0</v>
      </c>
      <c r="H49" s="142">
        <v>0</v>
      </c>
      <c r="I49" s="142">
        <v>0</v>
      </c>
      <c r="J49" s="142">
        <f>K49+L49+M49+N49</f>
        <v>0</v>
      </c>
      <c r="K49" s="142">
        <v>0</v>
      </c>
      <c r="L49" s="142">
        <v>0</v>
      </c>
      <c r="M49" s="142">
        <v>0</v>
      </c>
      <c r="N49" s="142">
        <v>0</v>
      </c>
      <c r="O49" s="142">
        <f>P49+Q49+R49+S49</f>
        <v>0</v>
      </c>
      <c r="P49" s="142">
        <v>0</v>
      </c>
      <c r="Q49" s="142">
        <v>0</v>
      </c>
      <c r="R49" s="142">
        <v>0</v>
      </c>
      <c r="S49" s="142">
        <v>0</v>
      </c>
      <c r="T49" s="142">
        <f>U49+V49+W49+X49</f>
        <v>0</v>
      </c>
      <c r="U49" s="142">
        <v>0</v>
      </c>
      <c r="V49" s="142">
        <v>0</v>
      </c>
      <c r="W49" s="142">
        <v>0</v>
      </c>
      <c r="X49" s="142">
        <v>0</v>
      </c>
      <c r="Y49" s="142">
        <f>Z49+AA49+AB49+AC49</f>
        <v>0</v>
      </c>
      <c r="Z49" s="142">
        <v>0</v>
      </c>
      <c r="AA49" s="142">
        <v>0</v>
      </c>
      <c r="AB49" s="142">
        <v>0</v>
      </c>
      <c r="AC49" s="142">
        <v>0</v>
      </c>
      <c r="AD49" s="142">
        <f>E49+J49+O49+T49+Y49</f>
        <v>1248</v>
      </c>
    </row>
    <row r="50" spans="1:32" ht="23.25">
      <c r="A50" s="575" t="s">
        <v>25</v>
      </c>
      <c r="B50" s="575"/>
      <c r="C50" s="575"/>
      <c r="D50" s="288"/>
      <c r="E50" s="148">
        <f t="shared" ref="E50:K50" si="18">E51+E52</f>
        <v>38121.800000000003</v>
      </c>
      <c r="F50" s="148">
        <f t="shared" si="18"/>
        <v>15461.8</v>
      </c>
      <c r="G50" s="148">
        <f t="shared" si="18"/>
        <v>22660</v>
      </c>
      <c r="H50" s="148">
        <f t="shared" si="18"/>
        <v>0</v>
      </c>
      <c r="I50" s="148">
        <f t="shared" si="18"/>
        <v>0</v>
      </c>
      <c r="J50" s="148">
        <f>J52+J51</f>
        <v>11647</v>
      </c>
      <c r="K50" s="148">
        <f t="shared" si="18"/>
        <v>8083</v>
      </c>
      <c r="L50" s="148">
        <f>SUM(L35,L36:L48)</f>
        <v>3564</v>
      </c>
      <c r="M50" s="148">
        <f>SUM(M35,M36:M48)</f>
        <v>0</v>
      </c>
      <c r="N50" s="148">
        <f>SUM(N35,N36:N48)</f>
        <v>0</v>
      </c>
      <c r="O50" s="148">
        <f>O51+O52</f>
        <v>387</v>
      </c>
      <c r="P50" s="148">
        <f>P51+P52</f>
        <v>387</v>
      </c>
      <c r="Q50" s="148">
        <f>SUM(Q35,Q36:Q48)</f>
        <v>0</v>
      </c>
      <c r="R50" s="148">
        <f>SUM(R35,R36:R48)</f>
        <v>0</v>
      </c>
      <c r="S50" s="148">
        <f>SUM(S35,S36:S48)</f>
        <v>0</v>
      </c>
      <c r="T50" s="148">
        <f>T51+T52</f>
        <v>387</v>
      </c>
      <c r="U50" s="148">
        <f>U51+U52</f>
        <v>387</v>
      </c>
      <c r="V50" s="148">
        <f>SUM(V35,V36:V48)</f>
        <v>0</v>
      </c>
      <c r="W50" s="148">
        <f>SUM(W35,W36:W48)</f>
        <v>0</v>
      </c>
      <c r="X50" s="148">
        <f>SUM(X35,X36:X48)</f>
        <v>0</v>
      </c>
      <c r="Y50" s="148">
        <f>Y51+Y52</f>
        <v>10293</v>
      </c>
      <c r="Z50" s="148">
        <f>Z51+Z52</f>
        <v>10293</v>
      </c>
      <c r="AA50" s="148">
        <f>SUM(AA35,AA36:AA48)</f>
        <v>0</v>
      </c>
      <c r="AB50" s="148">
        <f>SUM(AB35,AB36:AB48)</f>
        <v>0</v>
      </c>
      <c r="AC50" s="148">
        <f>SUM(AC35,AC36:AC48)</f>
        <v>0</v>
      </c>
      <c r="AD50" s="148">
        <f>E50+J50+O50+T50+Y50</f>
        <v>60835.8</v>
      </c>
    </row>
    <row r="51" spans="1:32" ht="23.25">
      <c r="A51" s="287" t="s">
        <v>73</v>
      </c>
      <c r="B51" s="287"/>
      <c r="C51" s="290"/>
      <c r="D51" s="157"/>
      <c r="E51" s="152">
        <f t="shared" ref="E51:AC51" si="19">E48</f>
        <v>384.8</v>
      </c>
      <c r="F51" s="152">
        <f t="shared" si="19"/>
        <v>384.8</v>
      </c>
      <c r="G51" s="152">
        <v>0</v>
      </c>
      <c r="H51" s="152">
        <f t="shared" si="19"/>
        <v>0</v>
      </c>
      <c r="I51" s="152">
        <f t="shared" si="19"/>
        <v>0</v>
      </c>
      <c r="J51" s="152">
        <f t="shared" si="19"/>
        <v>387</v>
      </c>
      <c r="K51" s="152">
        <f t="shared" si="19"/>
        <v>387</v>
      </c>
      <c r="L51" s="152">
        <f t="shared" si="19"/>
        <v>0</v>
      </c>
      <c r="M51" s="152">
        <f t="shared" si="19"/>
        <v>0</v>
      </c>
      <c r="N51" s="152">
        <f t="shared" si="19"/>
        <v>0</v>
      </c>
      <c r="O51" s="152">
        <f t="shared" si="19"/>
        <v>387</v>
      </c>
      <c r="P51" s="152">
        <f t="shared" si="19"/>
        <v>387</v>
      </c>
      <c r="Q51" s="152">
        <f t="shared" si="19"/>
        <v>0</v>
      </c>
      <c r="R51" s="152">
        <f t="shared" si="19"/>
        <v>0</v>
      </c>
      <c r="S51" s="152">
        <f t="shared" si="19"/>
        <v>0</v>
      </c>
      <c r="T51" s="152">
        <f t="shared" si="19"/>
        <v>387</v>
      </c>
      <c r="U51" s="152">
        <f t="shared" si="19"/>
        <v>387</v>
      </c>
      <c r="V51" s="152">
        <f t="shared" si="19"/>
        <v>0</v>
      </c>
      <c r="W51" s="152">
        <f t="shared" si="19"/>
        <v>0</v>
      </c>
      <c r="X51" s="152">
        <f t="shared" si="19"/>
        <v>0</v>
      </c>
      <c r="Y51" s="152">
        <f t="shared" si="19"/>
        <v>387</v>
      </c>
      <c r="Z51" s="152">
        <f t="shared" si="19"/>
        <v>387</v>
      </c>
      <c r="AA51" s="152">
        <f t="shared" si="19"/>
        <v>0</v>
      </c>
      <c r="AB51" s="152">
        <f t="shared" si="19"/>
        <v>0</v>
      </c>
      <c r="AC51" s="152">
        <f t="shared" si="19"/>
        <v>0</v>
      </c>
      <c r="AD51" s="158">
        <f>E51+J51+O51+T51+Y51</f>
        <v>1932.8</v>
      </c>
    </row>
    <row r="52" spans="1:32" ht="23.25">
      <c r="A52" s="287" t="s">
        <v>135</v>
      </c>
      <c r="B52" s="287"/>
      <c r="C52" s="290"/>
      <c r="D52" s="157"/>
      <c r="E52" s="142">
        <f>E35+E36+E37+E38+E39+E40+E41+E42+E43+E44+E45+E46+E47+E49</f>
        <v>37737</v>
      </c>
      <c r="F52" s="142">
        <f>F35+F36+F37+F38+F39+F40+F41+F42+F43+F44+F45+F46+F47+F49</f>
        <v>15077</v>
      </c>
      <c r="G52" s="142">
        <v>22660</v>
      </c>
      <c r="H52" s="142">
        <f>0</f>
        <v>0</v>
      </c>
      <c r="I52" s="142">
        <v>0</v>
      </c>
      <c r="J52" s="142">
        <f>J35+J36+J37+J38+J39+J40+J41+J42+J43+J44+J45+J46+J47+J49</f>
        <v>11260</v>
      </c>
      <c r="K52" s="142">
        <f>K35+K36+K37+K38+K39+K40+K41+K42+K43+K44+K45+K46+K47+K49</f>
        <v>7696</v>
      </c>
      <c r="L52" s="142">
        <v>0</v>
      </c>
      <c r="M52" s="142">
        <v>0</v>
      </c>
      <c r="N52" s="142">
        <v>0</v>
      </c>
      <c r="O52" s="142">
        <f>O35+O36+O37+O38+O39+O40+O42+O41+O43+O44+O45+O46+O47+O49</f>
        <v>0</v>
      </c>
      <c r="P52" s="142">
        <f>P35+P36+P37+P38+P39+P40+P41+P42+P43+P44+P45+P46+P47+P49</f>
        <v>0</v>
      </c>
      <c r="Q52" s="142">
        <v>0</v>
      </c>
      <c r="R52" s="142">
        <v>0</v>
      </c>
      <c r="S52" s="142">
        <v>0</v>
      </c>
      <c r="T52" s="142">
        <f>T35+T36+T37+T38+T39+T40+T41+T42+T43+T44+T45+T46+T47+T49</f>
        <v>0</v>
      </c>
      <c r="U52" s="142">
        <f>U35+U36+U37+U38+U39+U40+U41+U42+U43+U44+U45+U46+U47+U49</f>
        <v>0</v>
      </c>
      <c r="V52" s="142">
        <v>0</v>
      </c>
      <c r="W52" s="142">
        <v>0</v>
      </c>
      <c r="X52" s="142">
        <v>0</v>
      </c>
      <c r="Y52" s="142">
        <f>Y35+Y36+Y37+Y38+Y39+Y40+Y41+Y42+Y43+Y44+Y45+Y46+Y47+Y49</f>
        <v>9906</v>
      </c>
      <c r="Z52" s="142">
        <f>Z35+Z36+Z37+Z38+Z39+Z40+Z41+Z42+Z43+Z44+Z45+Z46+Z47+Z49</f>
        <v>9906</v>
      </c>
      <c r="AA52" s="142">
        <v>0</v>
      </c>
      <c r="AB52" s="142">
        <v>0</v>
      </c>
      <c r="AC52" s="142">
        <v>0</v>
      </c>
      <c r="AD52" s="142">
        <f>E52+J52+O52+T52+Y52</f>
        <v>58903</v>
      </c>
    </row>
    <row r="53" spans="1:32" ht="23.25">
      <c r="A53" s="41" t="s">
        <v>223</v>
      </c>
      <c r="B53" s="572" t="s">
        <v>248</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4"/>
    </row>
    <row r="54" spans="1:32" ht="63" customHeight="1">
      <c r="A54" s="155" t="s">
        <v>27</v>
      </c>
      <c r="B54" s="175" t="s">
        <v>120</v>
      </c>
      <c r="C54" s="41" t="s">
        <v>94</v>
      </c>
      <c r="D54" s="41" t="s">
        <v>93</v>
      </c>
      <c r="E54" s="142">
        <f>F54+G54+H54+I54</f>
        <v>700</v>
      </c>
      <c r="F54" s="142">
        <f>700</f>
        <v>700</v>
      </c>
      <c r="G54" s="142">
        <v>0</v>
      </c>
      <c r="H54" s="142">
        <v>0</v>
      </c>
      <c r="I54" s="142">
        <v>0</v>
      </c>
      <c r="J54" s="142">
        <f>K54+L54+M54+N54</f>
        <v>600</v>
      </c>
      <c r="K54" s="142">
        <v>600</v>
      </c>
      <c r="L54" s="142">
        <v>0</v>
      </c>
      <c r="M54" s="142">
        <v>0</v>
      </c>
      <c r="N54" s="142">
        <v>0</v>
      </c>
      <c r="O54" s="142">
        <f>P54+Q54+R54+S54</f>
        <v>0</v>
      </c>
      <c r="P54" s="142">
        <v>0</v>
      </c>
      <c r="Q54" s="142">
        <v>0</v>
      </c>
      <c r="R54" s="142">
        <v>0</v>
      </c>
      <c r="S54" s="142">
        <v>0</v>
      </c>
      <c r="T54" s="142">
        <f>U54+V54+W54+X54</f>
        <v>0</v>
      </c>
      <c r="U54" s="142">
        <v>0</v>
      </c>
      <c r="V54" s="142">
        <v>0</v>
      </c>
      <c r="W54" s="142">
        <v>0</v>
      </c>
      <c r="X54" s="142">
        <v>0</v>
      </c>
      <c r="Y54" s="142">
        <f>Z54+AA54+AB54+AC54</f>
        <v>700</v>
      </c>
      <c r="Z54" s="142">
        <v>700</v>
      </c>
      <c r="AA54" s="142">
        <v>0</v>
      </c>
      <c r="AB54" s="142">
        <v>0</v>
      </c>
      <c r="AC54" s="142">
        <v>0</v>
      </c>
      <c r="AD54" s="142">
        <f>E54+J54+O54+T54+Y54</f>
        <v>2000</v>
      </c>
    </row>
    <row r="55" spans="1:32" ht="23.25">
      <c r="A55" s="575" t="s">
        <v>44</v>
      </c>
      <c r="B55" s="575"/>
      <c r="C55" s="575"/>
      <c r="D55" s="288"/>
      <c r="E55" s="148">
        <f t="shared" ref="E55:AD55" si="20">SUM(E54:E54)</f>
        <v>700</v>
      </c>
      <c r="F55" s="148">
        <f>SUM(F54)</f>
        <v>700</v>
      </c>
      <c r="G55" s="148">
        <f t="shared" si="20"/>
        <v>0</v>
      </c>
      <c r="H55" s="148">
        <f t="shared" si="20"/>
        <v>0</v>
      </c>
      <c r="I55" s="148">
        <f t="shared" si="20"/>
        <v>0</v>
      </c>
      <c r="J55" s="148">
        <f>J54</f>
        <v>600</v>
      </c>
      <c r="K55" s="148">
        <f t="shared" si="20"/>
        <v>600</v>
      </c>
      <c r="L55" s="148">
        <f t="shared" si="20"/>
        <v>0</v>
      </c>
      <c r="M55" s="148">
        <f t="shared" si="20"/>
        <v>0</v>
      </c>
      <c r="N55" s="148">
        <f t="shared" si="20"/>
        <v>0</v>
      </c>
      <c r="O55" s="148">
        <f t="shared" si="20"/>
        <v>0</v>
      </c>
      <c r="P55" s="148">
        <f t="shared" si="20"/>
        <v>0</v>
      </c>
      <c r="Q55" s="148">
        <f t="shared" si="20"/>
        <v>0</v>
      </c>
      <c r="R55" s="148">
        <f t="shared" si="20"/>
        <v>0</v>
      </c>
      <c r="S55" s="148">
        <f t="shared" si="20"/>
        <v>0</v>
      </c>
      <c r="T55" s="148">
        <f t="shared" si="20"/>
        <v>0</v>
      </c>
      <c r="U55" s="148">
        <f t="shared" si="20"/>
        <v>0</v>
      </c>
      <c r="V55" s="148">
        <f t="shared" si="20"/>
        <v>0</v>
      </c>
      <c r="W55" s="148">
        <f t="shared" si="20"/>
        <v>0</v>
      </c>
      <c r="X55" s="148">
        <f t="shared" si="20"/>
        <v>0</v>
      </c>
      <c r="Y55" s="148">
        <f t="shared" si="20"/>
        <v>700</v>
      </c>
      <c r="Z55" s="148">
        <f t="shared" si="20"/>
        <v>700</v>
      </c>
      <c r="AA55" s="148">
        <f t="shared" si="20"/>
        <v>0</v>
      </c>
      <c r="AB55" s="148">
        <f t="shared" si="20"/>
        <v>0</v>
      </c>
      <c r="AC55" s="148">
        <f t="shared" si="20"/>
        <v>0</v>
      </c>
      <c r="AD55" s="148">
        <f t="shared" si="20"/>
        <v>2000</v>
      </c>
    </row>
    <row r="56" spans="1:32" ht="23.25">
      <c r="A56" s="41" t="s">
        <v>249</v>
      </c>
      <c r="B56" s="572" t="s">
        <v>250</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4"/>
    </row>
    <row r="57" spans="1:32" ht="111" customHeight="1">
      <c r="A57" s="626" t="s">
        <v>46</v>
      </c>
      <c r="B57" s="613" t="s">
        <v>291</v>
      </c>
      <c r="C57" s="41" t="s">
        <v>285</v>
      </c>
      <c r="D57" s="224">
        <v>2020</v>
      </c>
      <c r="E57" s="142">
        <f>F57+G57+H57+I57</f>
        <v>1449</v>
      </c>
      <c r="F57" s="142">
        <f>1656-207</f>
        <v>1449</v>
      </c>
      <c r="G57" s="142">
        <v>0</v>
      </c>
      <c r="H57" s="142">
        <v>0</v>
      </c>
      <c r="I57" s="142">
        <v>0</v>
      </c>
      <c r="J57" s="142">
        <f>K57+L57+M57+N57</f>
        <v>0</v>
      </c>
      <c r="K57" s="142">
        <v>0</v>
      </c>
      <c r="L57" s="142">
        <v>0</v>
      </c>
      <c r="M57" s="142">
        <v>0</v>
      </c>
      <c r="N57" s="142">
        <v>0</v>
      </c>
      <c r="O57" s="142">
        <f>P57+Q57+R57+S57</f>
        <v>0</v>
      </c>
      <c r="P57" s="142">
        <v>0</v>
      </c>
      <c r="Q57" s="142">
        <v>0</v>
      </c>
      <c r="R57" s="142">
        <v>0</v>
      </c>
      <c r="S57" s="142">
        <v>0</v>
      </c>
      <c r="T57" s="142">
        <f>U57+V57+W57+X57</f>
        <v>0</v>
      </c>
      <c r="U57" s="142">
        <v>0</v>
      </c>
      <c r="V57" s="142">
        <v>0</v>
      </c>
      <c r="W57" s="142">
        <v>0</v>
      </c>
      <c r="X57" s="142">
        <v>0</v>
      </c>
      <c r="Y57" s="142">
        <f>Z57+AA57+AB57+AC57</f>
        <v>0</v>
      </c>
      <c r="Z57" s="142">
        <v>0</v>
      </c>
      <c r="AA57" s="142">
        <v>0</v>
      </c>
      <c r="AB57" s="142">
        <v>0</v>
      </c>
      <c r="AC57" s="142">
        <v>0</v>
      </c>
      <c r="AD57" s="142">
        <f>E57+I57+O57+T57+0</f>
        <v>1449</v>
      </c>
    </row>
    <row r="58" spans="1:32" ht="76.5" customHeight="1">
      <c r="A58" s="627"/>
      <c r="B58" s="614"/>
      <c r="C58" s="41" t="s">
        <v>286</v>
      </c>
      <c r="D58" s="224" t="s">
        <v>284</v>
      </c>
      <c r="E58" s="142">
        <f>F58+G58+H58+I58</f>
        <v>0</v>
      </c>
      <c r="F58" s="142">
        <v>0</v>
      </c>
      <c r="G58" s="142">
        <v>0</v>
      </c>
      <c r="H58" s="142">
        <v>0</v>
      </c>
      <c r="I58" s="142">
        <v>0</v>
      </c>
      <c r="J58" s="282">
        <f>K58+L58+M58+N58</f>
        <v>1200</v>
      </c>
      <c r="K58" s="282">
        <f>1437-237</f>
        <v>1200</v>
      </c>
      <c r="L58" s="142">
        <v>0</v>
      </c>
      <c r="M58" s="142">
        <v>0</v>
      </c>
      <c r="N58" s="142">
        <v>0</v>
      </c>
      <c r="O58" s="142">
        <f>P58+Q58+R58+S58</f>
        <v>1437</v>
      </c>
      <c r="P58" s="142">
        <v>1437</v>
      </c>
      <c r="Q58" s="142">
        <v>0</v>
      </c>
      <c r="R58" s="142">
        <v>0</v>
      </c>
      <c r="S58" s="142">
        <v>0</v>
      </c>
      <c r="T58" s="142">
        <f>U58+V58+W58+X58</f>
        <v>1437</v>
      </c>
      <c r="U58" s="142">
        <v>1437</v>
      </c>
      <c r="V58" s="142">
        <v>0</v>
      </c>
      <c r="W58" s="142">
        <v>0</v>
      </c>
      <c r="X58" s="142">
        <v>0</v>
      </c>
      <c r="Y58" s="142">
        <f>Z58+AA58+AB58+AC58</f>
        <v>1656</v>
      </c>
      <c r="Z58" s="142">
        <v>1656</v>
      </c>
      <c r="AA58" s="142">
        <v>0</v>
      </c>
      <c r="AB58" s="142">
        <v>0</v>
      </c>
      <c r="AC58" s="142">
        <v>0</v>
      </c>
      <c r="AD58" s="142">
        <f>E58+J58+O58+T58+Y58</f>
        <v>5730</v>
      </c>
    </row>
    <row r="59" spans="1:32" ht="69.75">
      <c r="A59" s="155" t="s">
        <v>251</v>
      </c>
      <c r="B59" s="175" t="s">
        <v>292</v>
      </c>
      <c r="C59" s="41" t="s">
        <v>52</v>
      </c>
      <c r="D59" s="41" t="s">
        <v>93</v>
      </c>
      <c r="E59" s="142">
        <f>F59+G59+H59+I59</f>
        <v>55</v>
      </c>
      <c r="F59" s="142">
        <f>86-31</f>
        <v>55</v>
      </c>
      <c r="G59" s="142">
        <v>0</v>
      </c>
      <c r="H59" s="142">
        <v>0</v>
      </c>
      <c r="I59" s="142">
        <v>0</v>
      </c>
      <c r="J59" s="142">
        <f>K59+L59+M59+N59</f>
        <v>70</v>
      </c>
      <c r="K59" s="142">
        <v>70</v>
      </c>
      <c r="L59" s="142">
        <v>0</v>
      </c>
      <c r="M59" s="142">
        <v>0</v>
      </c>
      <c r="N59" s="142">
        <v>0</v>
      </c>
      <c r="O59" s="142">
        <f>P59+Q59+R59+S59</f>
        <v>70</v>
      </c>
      <c r="P59" s="142">
        <v>70</v>
      </c>
      <c r="Q59" s="142">
        <v>0</v>
      </c>
      <c r="R59" s="142">
        <v>0</v>
      </c>
      <c r="S59" s="142">
        <v>0</v>
      </c>
      <c r="T59" s="142">
        <f>U59+V59+W59+X59</f>
        <v>70</v>
      </c>
      <c r="U59" s="142">
        <v>70</v>
      </c>
      <c r="V59" s="142">
        <v>0</v>
      </c>
      <c r="W59" s="142">
        <v>0</v>
      </c>
      <c r="X59" s="142">
        <v>0</v>
      </c>
      <c r="Y59" s="142">
        <f>Z59+AA59+AB59+AC59</f>
        <v>86</v>
      </c>
      <c r="Z59" s="142">
        <v>86</v>
      </c>
      <c r="AA59" s="142">
        <v>0</v>
      </c>
      <c r="AB59" s="142">
        <v>0</v>
      </c>
      <c r="AC59" s="142">
        <v>0</v>
      </c>
      <c r="AD59" s="142">
        <f>E59+J59+O59+T59+Y59</f>
        <v>351</v>
      </c>
    </row>
    <row r="60" spans="1:32" ht="23.25">
      <c r="A60" s="575" t="s">
        <v>47</v>
      </c>
      <c r="B60" s="575"/>
      <c r="C60" s="575"/>
      <c r="D60" s="288"/>
      <c r="E60" s="148">
        <f>E61+E62</f>
        <v>1504</v>
      </c>
      <c r="F60" s="148">
        <f>F61+F62</f>
        <v>1504</v>
      </c>
      <c r="G60" s="148">
        <f t="shared" ref="G60:AC60" si="21">SUM(G58:G59)</f>
        <v>0</v>
      </c>
      <c r="H60" s="148">
        <f t="shared" si="21"/>
        <v>0</v>
      </c>
      <c r="I60" s="148">
        <f t="shared" si="21"/>
        <v>0</v>
      </c>
      <c r="J60" s="148">
        <f t="shared" si="21"/>
        <v>1270</v>
      </c>
      <c r="K60" s="148">
        <f t="shared" si="21"/>
        <v>1270</v>
      </c>
      <c r="L60" s="148">
        <f t="shared" si="21"/>
        <v>0</v>
      </c>
      <c r="M60" s="148">
        <f t="shared" si="21"/>
        <v>0</v>
      </c>
      <c r="N60" s="148">
        <f t="shared" si="21"/>
        <v>0</v>
      </c>
      <c r="O60" s="148">
        <f t="shared" si="21"/>
        <v>1507</v>
      </c>
      <c r="P60" s="148">
        <f t="shared" si="21"/>
        <v>1507</v>
      </c>
      <c r="Q60" s="148">
        <f t="shared" si="21"/>
        <v>0</v>
      </c>
      <c r="R60" s="148">
        <f t="shared" si="21"/>
        <v>0</v>
      </c>
      <c r="S60" s="148">
        <f t="shared" si="21"/>
        <v>0</v>
      </c>
      <c r="T60" s="148">
        <f t="shared" si="21"/>
        <v>1507</v>
      </c>
      <c r="U60" s="148">
        <f t="shared" si="21"/>
        <v>1507</v>
      </c>
      <c r="V60" s="148">
        <f t="shared" si="21"/>
        <v>0</v>
      </c>
      <c r="W60" s="148">
        <f t="shared" si="21"/>
        <v>0</v>
      </c>
      <c r="X60" s="148">
        <f t="shared" si="21"/>
        <v>0</v>
      </c>
      <c r="Y60" s="148">
        <f t="shared" si="21"/>
        <v>1742</v>
      </c>
      <c r="Z60" s="148">
        <f t="shared" si="21"/>
        <v>1742</v>
      </c>
      <c r="AA60" s="148">
        <f t="shared" si="21"/>
        <v>0</v>
      </c>
      <c r="AB60" s="148">
        <f t="shared" si="21"/>
        <v>0</v>
      </c>
      <c r="AC60" s="148">
        <f t="shared" si="21"/>
        <v>0</v>
      </c>
      <c r="AD60" s="148">
        <f>AD61+AD62</f>
        <v>7530</v>
      </c>
    </row>
    <row r="61" spans="1:32" ht="23.25">
      <c r="A61" s="287" t="s">
        <v>73</v>
      </c>
      <c r="B61" s="287"/>
      <c r="C61" s="290"/>
      <c r="D61" s="157"/>
      <c r="E61" s="152">
        <f>E59</f>
        <v>55</v>
      </c>
      <c r="F61" s="152">
        <f>F59</f>
        <v>55</v>
      </c>
      <c r="G61" s="152">
        <v>0</v>
      </c>
      <c r="H61" s="152">
        <v>0</v>
      </c>
      <c r="I61" s="152">
        <v>0</v>
      </c>
      <c r="J61" s="152">
        <f>K61+L61+M61+N61</f>
        <v>1270</v>
      </c>
      <c r="K61" s="152">
        <f>K58+K59</f>
        <v>1270</v>
      </c>
      <c r="L61" s="152">
        <v>0</v>
      </c>
      <c r="M61" s="152">
        <v>0</v>
      </c>
      <c r="N61" s="152">
        <v>0</v>
      </c>
      <c r="O61" s="152">
        <f>O58+O59</f>
        <v>1507</v>
      </c>
      <c r="P61" s="152">
        <f>P58+P59</f>
        <v>1507</v>
      </c>
      <c r="Q61" s="152">
        <v>0</v>
      </c>
      <c r="R61" s="152">
        <v>0</v>
      </c>
      <c r="S61" s="152">
        <v>0</v>
      </c>
      <c r="T61" s="152">
        <f>T58+T59</f>
        <v>1507</v>
      </c>
      <c r="U61" s="152">
        <f>U58+U59</f>
        <v>1507</v>
      </c>
      <c r="V61" s="152">
        <v>0</v>
      </c>
      <c r="W61" s="152">
        <v>0</v>
      </c>
      <c r="X61" s="152">
        <v>0</v>
      </c>
      <c r="Y61" s="152">
        <f>Y58+Y59</f>
        <v>1742</v>
      </c>
      <c r="Z61" s="152">
        <f>Z58+Z59</f>
        <v>1742</v>
      </c>
      <c r="AA61" s="152">
        <v>0</v>
      </c>
      <c r="AB61" s="152">
        <v>0</v>
      </c>
      <c r="AC61" s="152">
        <v>0</v>
      </c>
      <c r="AD61" s="158">
        <f>AD58+AD59</f>
        <v>6081</v>
      </c>
    </row>
    <row r="62" spans="1:32" ht="23.25">
      <c r="A62" s="287" t="s">
        <v>135</v>
      </c>
      <c r="B62" s="287"/>
      <c r="C62" s="290"/>
      <c r="D62" s="157"/>
      <c r="E62" s="152">
        <f>F62+G62+H62+I62</f>
        <v>1449</v>
      </c>
      <c r="F62" s="152">
        <f>F57</f>
        <v>1449</v>
      </c>
      <c r="G62" s="152">
        <v>0</v>
      </c>
      <c r="H62" s="152">
        <v>0</v>
      </c>
      <c r="I62" s="152">
        <v>0</v>
      </c>
      <c r="J62" s="152">
        <v>0</v>
      </c>
      <c r="K62" s="152">
        <v>0</v>
      </c>
      <c r="L62" s="152">
        <v>0</v>
      </c>
      <c r="M62" s="152">
        <v>0</v>
      </c>
      <c r="N62" s="152">
        <v>0</v>
      </c>
      <c r="O62" s="152">
        <v>0</v>
      </c>
      <c r="P62" s="152">
        <v>0</v>
      </c>
      <c r="Q62" s="152">
        <v>0</v>
      </c>
      <c r="R62" s="152">
        <v>0</v>
      </c>
      <c r="S62" s="152">
        <v>0</v>
      </c>
      <c r="T62" s="152">
        <v>0</v>
      </c>
      <c r="U62" s="152">
        <v>0</v>
      </c>
      <c r="V62" s="152">
        <v>0</v>
      </c>
      <c r="W62" s="152">
        <v>0</v>
      </c>
      <c r="X62" s="152">
        <v>0</v>
      </c>
      <c r="Y62" s="152">
        <v>0</v>
      </c>
      <c r="Z62" s="152">
        <v>0</v>
      </c>
      <c r="AA62" s="152">
        <v>0</v>
      </c>
      <c r="AB62" s="152">
        <v>0</v>
      </c>
      <c r="AC62" s="152">
        <v>0</v>
      </c>
      <c r="AD62" s="158">
        <f>AD57</f>
        <v>1449</v>
      </c>
    </row>
    <row r="63" spans="1:32" ht="23.25">
      <c r="A63" s="41" t="s">
        <v>224</v>
      </c>
      <c r="B63" s="572" t="s">
        <v>278</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4"/>
    </row>
    <row r="64" spans="1:32" ht="87.75" customHeight="1">
      <c r="A64" s="155" t="s">
        <v>48</v>
      </c>
      <c r="B64" s="170" t="s">
        <v>108</v>
      </c>
      <c r="C64" s="41" t="s">
        <v>94</v>
      </c>
      <c r="D64" s="41" t="s">
        <v>93</v>
      </c>
      <c r="E64" s="142">
        <f>F64+G64+H64+I64</f>
        <v>766</v>
      </c>
      <c r="F64" s="142">
        <f>409+357</f>
        <v>766</v>
      </c>
      <c r="G64" s="142">
        <v>0</v>
      </c>
      <c r="H64" s="142">
        <v>0</v>
      </c>
      <c r="I64" s="142">
        <v>0</v>
      </c>
      <c r="J64" s="136">
        <f>K64+L64+M64+N64</f>
        <v>628</v>
      </c>
      <c r="K64" s="136">
        <f>655-27</f>
        <v>628</v>
      </c>
      <c r="L64" s="142">
        <v>0</v>
      </c>
      <c r="M64" s="142">
        <v>0</v>
      </c>
      <c r="N64" s="142">
        <v>0</v>
      </c>
      <c r="O64" s="142">
        <f>P64+Q64+R64+S64</f>
        <v>0</v>
      </c>
      <c r="P64" s="142">
        <v>0</v>
      </c>
      <c r="Q64" s="142">
        <v>0</v>
      </c>
      <c r="R64" s="142">
        <v>0</v>
      </c>
      <c r="S64" s="142">
        <v>0</v>
      </c>
      <c r="T64" s="142">
        <v>0</v>
      </c>
      <c r="U64" s="142">
        <v>0</v>
      </c>
      <c r="V64" s="142">
        <v>0</v>
      </c>
      <c r="W64" s="142">
        <v>0</v>
      </c>
      <c r="X64" s="142">
        <v>0</v>
      </c>
      <c r="Y64" s="142">
        <v>510</v>
      </c>
      <c r="Z64" s="142">
        <v>510</v>
      </c>
      <c r="AA64" s="142">
        <v>0</v>
      </c>
      <c r="AB64" s="142">
        <v>0</v>
      </c>
      <c r="AC64" s="142">
        <v>0</v>
      </c>
      <c r="AD64" s="142">
        <f>E64+J64+O64+T64+Y64</f>
        <v>1904</v>
      </c>
      <c r="AF64" s="200" t="s">
        <v>131</v>
      </c>
    </row>
    <row r="65" spans="1:30">
      <c r="A65" s="631" t="s">
        <v>49</v>
      </c>
      <c r="B65" s="631"/>
      <c r="C65" s="631"/>
      <c r="D65" s="288"/>
      <c r="E65" s="148">
        <f t="shared" ref="E65:AD65" si="22">SUM(E64:E64)</f>
        <v>766</v>
      </c>
      <c r="F65" s="148">
        <f>SUM(F64)</f>
        <v>766</v>
      </c>
      <c r="G65" s="148">
        <f t="shared" si="22"/>
        <v>0</v>
      </c>
      <c r="H65" s="148">
        <f t="shared" si="22"/>
        <v>0</v>
      </c>
      <c r="I65" s="148">
        <f t="shared" si="22"/>
        <v>0</v>
      </c>
      <c r="J65" s="258">
        <f>J64</f>
        <v>628</v>
      </c>
      <c r="K65" s="258">
        <f t="shared" si="22"/>
        <v>628</v>
      </c>
      <c r="L65" s="148">
        <f t="shared" si="22"/>
        <v>0</v>
      </c>
      <c r="M65" s="148">
        <f t="shared" si="22"/>
        <v>0</v>
      </c>
      <c r="N65" s="148">
        <f t="shared" si="22"/>
        <v>0</v>
      </c>
      <c r="O65" s="148">
        <f t="shared" si="22"/>
        <v>0</v>
      </c>
      <c r="P65" s="148">
        <f t="shared" si="22"/>
        <v>0</v>
      </c>
      <c r="Q65" s="148">
        <f t="shared" si="22"/>
        <v>0</v>
      </c>
      <c r="R65" s="148">
        <f t="shared" si="22"/>
        <v>0</v>
      </c>
      <c r="S65" s="148">
        <f t="shared" si="22"/>
        <v>0</v>
      </c>
      <c r="T65" s="148">
        <f t="shared" si="22"/>
        <v>0</v>
      </c>
      <c r="U65" s="148">
        <f t="shared" si="22"/>
        <v>0</v>
      </c>
      <c r="V65" s="148">
        <f t="shared" si="22"/>
        <v>0</v>
      </c>
      <c r="W65" s="148">
        <f t="shared" si="22"/>
        <v>0</v>
      </c>
      <c r="X65" s="148">
        <f t="shared" si="22"/>
        <v>0</v>
      </c>
      <c r="Y65" s="148">
        <f t="shared" si="22"/>
        <v>510</v>
      </c>
      <c r="Z65" s="148">
        <f t="shared" si="22"/>
        <v>510</v>
      </c>
      <c r="AA65" s="148">
        <f t="shared" si="22"/>
        <v>0</v>
      </c>
      <c r="AB65" s="148">
        <f t="shared" si="22"/>
        <v>0</v>
      </c>
      <c r="AC65" s="148">
        <f t="shared" si="22"/>
        <v>0</v>
      </c>
      <c r="AD65" s="148">
        <f t="shared" si="22"/>
        <v>1904</v>
      </c>
    </row>
    <row r="66" spans="1:30" ht="23.25">
      <c r="A66" s="288" t="s">
        <v>252</v>
      </c>
      <c r="B66" s="572" t="s">
        <v>279</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4"/>
    </row>
    <row r="67" spans="1:30" ht="93.75">
      <c r="A67" s="288" t="s">
        <v>50</v>
      </c>
      <c r="B67" s="170" t="s">
        <v>115</v>
      </c>
      <c r="C67" s="41" t="s">
        <v>106</v>
      </c>
      <c r="D67" s="41" t="s">
        <v>93</v>
      </c>
      <c r="E67" s="142">
        <f>F67+G67+H67+I67</f>
        <v>25286</v>
      </c>
      <c r="F67" s="142">
        <f>27786-2500</f>
        <v>25286</v>
      </c>
      <c r="G67" s="142">
        <v>0</v>
      </c>
      <c r="H67" s="142">
        <v>0</v>
      </c>
      <c r="I67" s="142">
        <v>0</v>
      </c>
      <c r="J67" s="142">
        <f>K67+L67+M67+N67</f>
        <v>29781</v>
      </c>
      <c r="K67" s="142">
        <f>40120-110-10229</f>
        <v>29781</v>
      </c>
      <c r="L67" s="142">
        <v>0</v>
      </c>
      <c r="M67" s="142">
        <v>0</v>
      </c>
      <c r="N67" s="142">
        <v>0</v>
      </c>
      <c r="O67" s="142">
        <f>P67+Q67+R67+S67</f>
        <v>0</v>
      </c>
      <c r="P67" s="142">
        <v>0</v>
      </c>
      <c r="Q67" s="142">
        <v>0</v>
      </c>
      <c r="R67" s="142">
        <v>0</v>
      </c>
      <c r="S67" s="142">
        <v>0</v>
      </c>
      <c r="T67" s="142">
        <f>U67+V67+W67+X67</f>
        <v>0</v>
      </c>
      <c r="U67" s="142">
        <v>0</v>
      </c>
      <c r="V67" s="142">
        <v>0</v>
      </c>
      <c r="W67" s="142">
        <v>0</v>
      </c>
      <c r="X67" s="142">
        <v>0</v>
      </c>
      <c r="Y67" s="142">
        <v>40120</v>
      </c>
      <c r="Z67" s="142">
        <v>40120</v>
      </c>
      <c r="AA67" s="142">
        <v>0</v>
      </c>
      <c r="AB67" s="142">
        <v>0</v>
      </c>
      <c r="AC67" s="142">
        <v>0</v>
      </c>
      <c r="AD67" s="142">
        <f>E67+J67+O67+T67+Y67</f>
        <v>95187</v>
      </c>
    </row>
    <row r="68" spans="1:30" ht="23.25">
      <c r="A68" s="632" t="s">
        <v>53</v>
      </c>
      <c r="B68" s="633"/>
      <c r="C68" s="634"/>
      <c r="D68" s="288"/>
      <c r="E68" s="148">
        <f t="shared" ref="E68:AD68" si="23">SUM(E67:E67)</f>
        <v>25286</v>
      </c>
      <c r="F68" s="148">
        <f>SUM(F67)</f>
        <v>25286</v>
      </c>
      <c r="G68" s="148">
        <f t="shared" si="23"/>
        <v>0</v>
      </c>
      <c r="H68" s="148">
        <f t="shared" si="23"/>
        <v>0</v>
      </c>
      <c r="I68" s="148">
        <f t="shared" si="23"/>
        <v>0</v>
      </c>
      <c r="J68" s="148">
        <f>J67</f>
        <v>29781</v>
      </c>
      <c r="K68" s="148">
        <f t="shared" si="23"/>
        <v>29781</v>
      </c>
      <c r="L68" s="148">
        <f t="shared" si="23"/>
        <v>0</v>
      </c>
      <c r="M68" s="148">
        <f t="shared" si="23"/>
        <v>0</v>
      </c>
      <c r="N68" s="148">
        <f t="shared" si="23"/>
        <v>0</v>
      </c>
      <c r="O68" s="148">
        <f t="shared" si="23"/>
        <v>0</v>
      </c>
      <c r="P68" s="148">
        <f t="shared" si="23"/>
        <v>0</v>
      </c>
      <c r="Q68" s="148">
        <f t="shared" si="23"/>
        <v>0</v>
      </c>
      <c r="R68" s="148">
        <f t="shared" si="23"/>
        <v>0</v>
      </c>
      <c r="S68" s="148">
        <f t="shared" si="23"/>
        <v>0</v>
      </c>
      <c r="T68" s="148">
        <f t="shared" si="23"/>
        <v>0</v>
      </c>
      <c r="U68" s="148">
        <f t="shared" si="23"/>
        <v>0</v>
      </c>
      <c r="V68" s="148">
        <f t="shared" si="23"/>
        <v>0</v>
      </c>
      <c r="W68" s="148">
        <f t="shared" si="23"/>
        <v>0</v>
      </c>
      <c r="X68" s="148">
        <f t="shared" si="23"/>
        <v>0</v>
      </c>
      <c r="Y68" s="148">
        <f t="shared" si="23"/>
        <v>40120</v>
      </c>
      <c r="Z68" s="148">
        <f t="shared" si="23"/>
        <v>40120</v>
      </c>
      <c r="AA68" s="148">
        <f t="shared" si="23"/>
        <v>0</v>
      </c>
      <c r="AB68" s="148">
        <f t="shared" si="23"/>
        <v>0</v>
      </c>
      <c r="AC68" s="148">
        <f t="shared" si="23"/>
        <v>0</v>
      </c>
      <c r="AD68" s="148">
        <f t="shared" si="23"/>
        <v>95187</v>
      </c>
    </row>
    <row r="69" spans="1:30" ht="23.25">
      <c r="A69" s="288" t="s">
        <v>254</v>
      </c>
      <c r="B69" s="572" t="s">
        <v>280</v>
      </c>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4"/>
    </row>
    <row r="70" spans="1:30" ht="37.5">
      <c r="A70" s="288" t="s">
        <v>55</v>
      </c>
      <c r="B70" s="191" t="s">
        <v>96</v>
      </c>
      <c r="C70" s="41" t="s">
        <v>94</v>
      </c>
      <c r="D70" s="41" t="s">
        <v>93</v>
      </c>
      <c r="E70" s="142">
        <f>F70+G70+H70+I70</f>
        <v>7420</v>
      </c>
      <c r="F70" s="142">
        <f>6486+934</f>
        <v>7420</v>
      </c>
      <c r="G70" s="142">
        <v>0</v>
      </c>
      <c r="H70" s="142">
        <v>0</v>
      </c>
      <c r="I70" s="142">
        <v>0</v>
      </c>
      <c r="J70" s="142">
        <f>K70+L70+M70+N70</f>
        <v>7050</v>
      </c>
      <c r="K70" s="142">
        <f>7350-300</f>
        <v>7050</v>
      </c>
      <c r="L70" s="142">
        <v>0</v>
      </c>
      <c r="M70" s="142">
        <v>0</v>
      </c>
      <c r="N70" s="142">
        <v>0</v>
      </c>
      <c r="O70" s="142">
        <f>P70+Q70+R70+S70</f>
        <v>0</v>
      </c>
      <c r="P70" s="142">
        <v>0</v>
      </c>
      <c r="Q70" s="142">
        <v>0</v>
      </c>
      <c r="R70" s="142">
        <v>0</v>
      </c>
      <c r="S70" s="142">
        <v>0</v>
      </c>
      <c r="T70" s="142">
        <f>U70+V70+W70+X70</f>
        <v>0</v>
      </c>
      <c r="U70" s="142">
        <v>0</v>
      </c>
      <c r="V70" s="142">
        <v>0</v>
      </c>
      <c r="W70" s="142">
        <v>0</v>
      </c>
      <c r="X70" s="142">
        <v>0</v>
      </c>
      <c r="Y70" s="142">
        <f>Z70+AA70+AB70+AC70</f>
        <v>6486</v>
      </c>
      <c r="Z70" s="142">
        <v>6486</v>
      </c>
      <c r="AA70" s="142">
        <v>0</v>
      </c>
      <c r="AB70" s="142">
        <v>0</v>
      </c>
      <c r="AC70" s="142">
        <v>0</v>
      </c>
      <c r="AD70" s="142">
        <f>E70+J70+O70+T70+Y70</f>
        <v>20956</v>
      </c>
    </row>
    <row r="71" spans="1:30" ht="69.75">
      <c r="A71" s="288" t="s">
        <v>256</v>
      </c>
      <c r="B71" s="170" t="s">
        <v>209</v>
      </c>
      <c r="C71" s="41" t="s">
        <v>94</v>
      </c>
      <c r="D71" s="41" t="s">
        <v>93</v>
      </c>
      <c r="E71" s="142">
        <f>SUM(F71:I71)</f>
        <v>681</v>
      </c>
      <c r="F71" s="142">
        <v>681</v>
      </c>
      <c r="G71" s="142">
        <v>0</v>
      </c>
      <c r="H71" s="142">
        <v>0</v>
      </c>
      <c r="I71" s="142">
        <v>0</v>
      </c>
      <c r="J71" s="282">
        <f>K71+L71+M71+N71</f>
        <v>558</v>
      </c>
      <c r="K71" s="282">
        <f>684-126</f>
        <v>558</v>
      </c>
      <c r="L71" s="142">
        <v>0</v>
      </c>
      <c r="M71" s="142">
        <v>0</v>
      </c>
      <c r="N71" s="142">
        <v>0</v>
      </c>
      <c r="O71" s="142">
        <f>P71+Q71+R71+S71</f>
        <v>0</v>
      </c>
      <c r="P71" s="142">
        <v>0</v>
      </c>
      <c r="Q71" s="142">
        <v>0</v>
      </c>
      <c r="R71" s="142">
        <v>0</v>
      </c>
      <c r="S71" s="142">
        <v>0</v>
      </c>
      <c r="T71" s="142">
        <f>U71+V71+W71+X71</f>
        <v>0</v>
      </c>
      <c r="U71" s="142">
        <v>0</v>
      </c>
      <c r="V71" s="142">
        <v>0</v>
      </c>
      <c r="W71" s="142">
        <v>0</v>
      </c>
      <c r="X71" s="142">
        <v>0</v>
      </c>
      <c r="Y71" s="142">
        <f>Z71+AA71+AB71+AC71</f>
        <v>660</v>
      </c>
      <c r="Z71" s="142">
        <v>660</v>
      </c>
      <c r="AA71" s="142">
        <v>0</v>
      </c>
      <c r="AB71" s="142">
        <v>0</v>
      </c>
      <c r="AC71" s="142">
        <v>0</v>
      </c>
      <c r="AD71" s="142">
        <f>E71+J71+O71+T71+Y71</f>
        <v>1899</v>
      </c>
    </row>
    <row r="72" spans="1:30" ht="86.25" customHeight="1">
      <c r="A72" s="288" t="s">
        <v>257</v>
      </c>
      <c r="B72" s="170" t="s">
        <v>271</v>
      </c>
      <c r="C72" s="41" t="s">
        <v>266</v>
      </c>
      <c r="D72" s="41">
        <v>2020</v>
      </c>
      <c r="E72" s="142">
        <f>F72+G72+H72+I72</f>
        <v>774</v>
      </c>
      <c r="F72" s="142">
        <v>774</v>
      </c>
      <c r="G72" s="142">
        <v>0</v>
      </c>
      <c r="H72" s="142">
        <v>0</v>
      </c>
      <c r="I72" s="142">
        <v>0</v>
      </c>
      <c r="J72" s="142">
        <f>K72+L72+M72+N72</f>
        <v>350</v>
      </c>
      <c r="K72" s="142">
        <v>350</v>
      </c>
      <c r="L72" s="142">
        <v>0</v>
      </c>
      <c r="M72" s="142">
        <v>0</v>
      </c>
      <c r="N72" s="142">
        <v>0</v>
      </c>
      <c r="O72" s="142">
        <f>P72+Q72+R72+S72</f>
        <v>0</v>
      </c>
      <c r="P72" s="142">
        <v>0</v>
      </c>
      <c r="Q72" s="142">
        <v>0</v>
      </c>
      <c r="R72" s="142">
        <v>0</v>
      </c>
      <c r="S72" s="142">
        <v>0</v>
      </c>
      <c r="T72" s="142">
        <f>U72+V72+W72+X72</f>
        <v>0</v>
      </c>
      <c r="U72" s="142">
        <v>0</v>
      </c>
      <c r="V72" s="142">
        <v>0</v>
      </c>
      <c r="W72" s="142">
        <v>0</v>
      </c>
      <c r="X72" s="142">
        <v>0</v>
      </c>
      <c r="Y72" s="142">
        <f>Z72+AA72+AB72+AC72</f>
        <v>774</v>
      </c>
      <c r="Z72" s="142">
        <v>774</v>
      </c>
      <c r="AA72" s="142">
        <v>0</v>
      </c>
      <c r="AB72" s="142">
        <v>0</v>
      </c>
      <c r="AC72" s="142">
        <v>0</v>
      </c>
      <c r="AD72" s="148">
        <f>E72+J72+O72+T72+Y72</f>
        <v>1898</v>
      </c>
    </row>
    <row r="73" spans="1:30" ht="23.25">
      <c r="A73" s="632" t="s">
        <v>56</v>
      </c>
      <c r="B73" s="633"/>
      <c r="C73" s="634"/>
      <c r="D73" s="288"/>
      <c r="E73" s="148">
        <f>E70+E71+E72</f>
        <v>8875</v>
      </c>
      <c r="F73" s="148">
        <f>F70+F71+F72</f>
        <v>8875</v>
      </c>
      <c r="G73" s="148">
        <f>SUM(G70:G70)</f>
        <v>0</v>
      </c>
      <c r="H73" s="148">
        <f>SUM(H70:H70)</f>
        <v>0</v>
      </c>
      <c r="I73" s="148">
        <f>SUM(I70:I70)</f>
        <v>0</v>
      </c>
      <c r="J73" s="148">
        <f>J70+J71+J72</f>
        <v>7958</v>
      </c>
      <c r="K73" s="148">
        <f>K70+K71+K72</f>
        <v>7958</v>
      </c>
      <c r="L73" s="148">
        <f>SUM(L70:L70)</f>
        <v>0</v>
      </c>
      <c r="M73" s="148">
        <f>SUM(M70:M70)</f>
        <v>0</v>
      </c>
      <c r="N73" s="148">
        <f>SUM(N70:N70)</f>
        <v>0</v>
      </c>
      <c r="O73" s="148">
        <f>O70+O71+O72</f>
        <v>0</v>
      </c>
      <c r="P73" s="148">
        <f>P70+P71+P72</f>
        <v>0</v>
      </c>
      <c r="Q73" s="148">
        <f>SUM(Q70:Q70)</f>
        <v>0</v>
      </c>
      <c r="R73" s="148">
        <f>SUM(R70:R70)</f>
        <v>0</v>
      </c>
      <c r="S73" s="148">
        <f>SUM(S70:S70)</f>
        <v>0</v>
      </c>
      <c r="T73" s="148">
        <f>T70+T71+T72</f>
        <v>0</v>
      </c>
      <c r="U73" s="148">
        <f>U70+U71+U72</f>
        <v>0</v>
      </c>
      <c r="V73" s="148">
        <f>SUM(V70:V70)</f>
        <v>0</v>
      </c>
      <c r="W73" s="148">
        <f>SUM(W70:W70)</f>
        <v>0</v>
      </c>
      <c r="X73" s="148">
        <f>SUM(X70:X70)</f>
        <v>0</v>
      </c>
      <c r="Y73" s="148">
        <f>Y70+Y71+Y72</f>
        <v>7920</v>
      </c>
      <c r="Z73" s="148">
        <f>Z70+Z71+Z72</f>
        <v>7920</v>
      </c>
      <c r="AA73" s="148">
        <f>SUM(AA70:AA70)</f>
        <v>0</v>
      </c>
      <c r="AB73" s="148">
        <f>SUM(AB70:AB70)</f>
        <v>0</v>
      </c>
      <c r="AC73" s="148">
        <f>SUM(AC70:AC70)</f>
        <v>0</v>
      </c>
      <c r="AD73" s="148">
        <f>SUM(AD70:AD72)</f>
        <v>24753</v>
      </c>
    </row>
    <row r="74" spans="1:30" ht="23.25">
      <c r="A74" s="287" t="s">
        <v>135</v>
      </c>
      <c r="B74" s="287"/>
      <c r="C74" s="290"/>
      <c r="D74" s="157"/>
      <c r="E74" s="152">
        <f>E70+E71+E72</f>
        <v>8875</v>
      </c>
      <c r="F74" s="152">
        <f>F70+F71+F72</f>
        <v>8875</v>
      </c>
      <c r="G74" s="152">
        <v>0</v>
      </c>
      <c r="H74" s="152">
        <v>0</v>
      </c>
      <c r="I74" s="152">
        <v>0</v>
      </c>
      <c r="J74" s="152">
        <f>J70+J71+J72</f>
        <v>7958</v>
      </c>
      <c r="K74" s="152">
        <f>K70+K71+K72</f>
        <v>7958</v>
      </c>
      <c r="L74" s="152">
        <v>0</v>
      </c>
      <c r="M74" s="152">
        <v>0</v>
      </c>
      <c r="N74" s="152">
        <v>0</v>
      </c>
      <c r="O74" s="152">
        <f>O73</f>
        <v>0</v>
      </c>
      <c r="P74" s="152">
        <f>P73</f>
        <v>0</v>
      </c>
      <c r="Q74" s="152">
        <v>0</v>
      </c>
      <c r="R74" s="152">
        <v>0</v>
      </c>
      <c r="S74" s="152">
        <v>0</v>
      </c>
      <c r="T74" s="152">
        <f>T70+T71+T72</f>
        <v>0</v>
      </c>
      <c r="U74" s="152">
        <f>U70+U71+U72</f>
        <v>0</v>
      </c>
      <c r="V74" s="152">
        <v>0</v>
      </c>
      <c r="W74" s="152">
        <v>0</v>
      </c>
      <c r="X74" s="152">
        <v>0</v>
      </c>
      <c r="Y74" s="152">
        <f>Y70+Y71+Y72</f>
        <v>7920</v>
      </c>
      <c r="Z74" s="152">
        <f>Z70+Z71+Z72</f>
        <v>7920</v>
      </c>
      <c r="AA74" s="152">
        <v>0</v>
      </c>
      <c r="AB74" s="152">
        <v>0</v>
      </c>
      <c r="AC74" s="152">
        <v>0</v>
      </c>
      <c r="AD74" s="158">
        <f>AD70+AD71</f>
        <v>22855</v>
      </c>
    </row>
    <row r="75" spans="1:30" ht="23.25">
      <c r="A75" s="288" t="s">
        <v>97</v>
      </c>
      <c r="B75" s="572" t="s">
        <v>281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4"/>
    </row>
    <row r="76" spans="1:30" ht="129.75" customHeight="1">
      <c r="A76" s="214" t="s">
        <v>57</v>
      </c>
      <c r="B76" s="191" t="s">
        <v>290</v>
      </c>
      <c r="C76" s="41" t="s">
        <v>73</v>
      </c>
      <c r="D76" s="41" t="s">
        <v>93</v>
      </c>
      <c r="E76" s="142">
        <f xml:space="preserve"> SUM(F76:I76)</f>
        <v>136.19999999999999</v>
      </c>
      <c r="F76" s="142">
        <f>74.6+61.6</f>
        <v>136.19999999999999</v>
      </c>
      <c r="G76" s="142">
        <v>0</v>
      </c>
      <c r="H76" s="142">
        <v>0</v>
      </c>
      <c r="I76" s="142">
        <v>0</v>
      </c>
      <c r="J76" s="142">
        <f xml:space="preserve"> SUM(K76:N76)</f>
        <v>142</v>
      </c>
      <c r="K76" s="142">
        <v>142</v>
      </c>
      <c r="L76" s="142">
        <v>0</v>
      </c>
      <c r="M76" s="142">
        <v>0</v>
      </c>
      <c r="N76" s="142">
        <v>0</v>
      </c>
      <c r="O76" s="142">
        <f xml:space="preserve"> SUM(P76:S76)</f>
        <v>142</v>
      </c>
      <c r="P76" s="142">
        <v>142</v>
      </c>
      <c r="Q76" s="142">
        <v>0</v>
      </c>
      <c r="R76" s="142">
        <v>0</v>
      </c>
      <c r="S76" s="142">
        <v>0</v>
      </c>
      <c r="T76" s="142">
        <f xml:space="preserve"> SUM(U76:X76)</f>
        <v>142</v>
      </c>
      <c r="U76" s="142">
        <v>142</v>
      </c>
      <c r="V76" s="142">
        <v>0</v>
      </c>
      <c r="W76" s="142">
        <v>0</v>
      </c>
      <c r="X76" s="142">
        <v>0</v>
      </c>
      <c r="Y76" s="142">
        <f xml:space="preserve"> SUM(Z76:AC76)</f>
        <v>145</v>
      </c>
      <c r="Z76" s="142">
        <v>145</v>
      </c>
      <c r="AA76" s="142">
        <v>0</v>
      </c>
      <c r="AB76" s="142">
        <v>0</v>
      </c>
      <c r="AC76" s="142">
        <v>0</v>
      </c>
      <c r="AD76" s="142">
        <f>E76+J76+O76+T76+Y76</f>
        <v>707.2</v>
      </c>
    </row>
    <row r="77" spans="1:30" ht="23.25">
      <c r="A77" s="575" t="s">
        <v>58</v>
      </c>
      <c r="B77" s="575"/>
      <c r="C77" s="575"/>
      <c r="D77" s="288"/>
      <c r="E77" s="148">
        <f>E76</f>
        <v>136.19999999999999</v>
      </c>
      <c r="F77" s="148">
        <f>F76</f>
        <v>136.19999999999999</v>
      </c>
      <c r="G77" s="148">
        <v>0</v>
      </c>
      <c r="H77" s="148">
        <v>0</v>
      </c>
      <c r="I77" s="148">
        <v>0</v>
      </c>
      <c r="J77" s="148">
        <f t="shared" ref="J77:AC77" si="24">J76</f>
        <v>142</v>
      </c>
      <c r="K77" s="148">
        <f t="shared" si="24"/>
        <v>142</v>
      </c>
      <c r="L77" s="148">
        <f t="shared" si="24"/>
        <v>0</v>
      </c>
      <c r="M77" s="148">
        <f t="shared" si="24"/>
        <v>0</v>
      </c>
      <c r="N77" s="148">
        <f t="shared" si="24"/>
        <v>0</v>
      </c>
      <c r="O77" s="148">
        <f t="shared" si="24"/>
        <v>142</v>
      </c>
      <c r="P77" s="148">
        <f t="shared" si="24"/>
        <v>142</v>
      </c>
      <c r="Q77" s="148">
        <f t="shared" si="24"/>
        <v>0</v>
      </c>
      <c r="R77" s="148">
        <f t="shared" si="24"/>
        <v>0</v>
      </c>
      <c r="S77" s="148">
        <f t="shared" si="24"/>
        <v>0</v>
      </c>
      <c r="T77" s="148">
        <f t="shared" si="24"/>
        <v>142</v>
      </c>
      <c r="U77" s="148">
        <f t="shared" si="24"/>
        <v>142</v>
      </c>
      <c r="V77" s="148">
        <f t="shared" si="24"/>
        <v>0</v>
      </c>
      <c r="W77" s="148">
        <f t="shared" si="24"/>
        <v>0</v>
      </c>
      <c r="X77" s="148">
        <f t="shared" si="24"/>
        <v>0</v>
      </c>
      <c r="Y77" s="148">
        <f t="shared" si="24"/>
        <v>145</v>
      </c>
      <c r="Z77" s="148">
        <f t="shared" si="24"/>
        <v>145</v>
      </c>
      <c r="AA77" s="148">
        <f t="shared" si="24"/>
        <v>0</v>
      </c>
      <c r="AB77" s="148">
        <f t="shared" si="24"/>
        <v>0</v>
      </c>
      <c r="AC77" s="148">
        <f t="shared" si="24"/>
        <v>0</v>
      </c>
      <c r="AD77" s="148">
        <f>E77+J77+O77+T77+Y77</f>
        <v>707.2</v>
      </c>
    </row>
    <row r="78" spans="1:30" ht="23.25">
      <c r="A78" s="206">
        <v>10</v>
      </c>
      <c r="B78" s="562" t="s">
        <v>259</v>
      </c>
      <c r="C78" s="563"/>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4"/>
    </row>
    <row r="79" spans="1:30" ht="109.5" customHeight="1">
      <c r="A79" s="215" t="s">
        <v>59</v>
      </c>
      <c r="B79" s="191" t="s">
        <v>186</v>
      </c>
      <c r="C79" s="292" t="s">
        <v>107</v>
      </c>
      <c r="D79" s="41" t="s">
        <v>93</v>
      </c>
      <c r="E79" s="216">
        <v>500</v>
      </c>
      <c r="F79" s="216">
        <v>500</v>
      </c>
      <c r="G79" s="216">
        <v>0</v>
      </c>
      <c r="H79" s="216">
        <v>0</v>
      </c>
      <c r="I79" s="216">
        <v>0</v>
      </c>
      <c r="J79" s="297">
        <f>K79+L79+M79+N79</f>
        <v>12</v>
      </c>
      <c r="K79" s="297">
        <f>24-12</f>
        <v>12</v>
      </c>
      <c r="L79" s="216">
        <v>0</v>
      </c>
      <c r="M79" s="216">
        <v>0</v>
      </c>
      <c r="N79" s="216">
        <v>0</v>
      </c>
      <c r="O79" s="216">
        <v>0</v>
      </c>
      <c r="P79" s="216">
        <v>0</v>
      </c>
      <c r="Q79" s="216">
        <v>0</v>
      </c>
      <c r="R79" s="216">
        <v>0</v>
      </c>
      <c r="S79" s="216">
        <v>0</v>
      </c>
      <c r="T79" s="216">
        <f>U79+V79+W79+X79</f>
        <v>0</v>
      </c>
      <c r="U79" s="216">
        <v>0</v>
      </c>
      <c r="V79" s="216">
        <v>0</v>
      </c>
      <c r="W79" s="216">
        <v>0</v>
      </c>
      <c r="X79" s="216">
        <v>0</v>
      </c>
      <c r="Y79" s="216">
        <v>6480</v>
      </c>
      <c r="Z79" s="216">
        <v>6480</v>
      </c>
      <c r="AA79" s="216">
        <v>0</v>
      </c>
      <c r="AB79" s="216">
        <v>0</v>
      </c>
      <c r="AC79" s="216">
        <v>0</v>
      </c>
      <c r="AD79" s="107">
        <f>E79+J79+O79+T79+Y79</f>
        <v>6992</v>
      </c>
    </row>
    <row r="80" spans="1:30" ht="75">
      <c r="A80" s="215" t="s">
        <v>98</v>
      </c>
      <c r="B80" s="170" t="s">
        <v>159</v>
      </c>
      <c r="C80" s="163" t="s">
        <v>107</v>
      </c>
      <c r="D80" s="41" t="s">
        <v>93</v>
      </c>
      <c r="E80" s="216">
        <v>2880</v>
      </c>
      <c r="F80" s="216">
        <v>2880</v>
      </c>
      <c r="G80" s="216">
        <v>0</v>
      </c>
      <c r="H80" s="216">
        <v>0</v>
      </c>
      <c r="I80" s="216">
        <v>0</v>
      </c>
      <c r="J80" s="297">
        <f>K80+L80+M80+N80</f>
        <v>2730</v>
      </c>
      <c r="K80" s="297">
        <f>2880-150</f>
        <v>2730</v>
      </c>
      <c r="L80" s="216">
        <v>0</v>
      </c>
      <c r="M80" s="216">
        <v>0</v>
      </c>
      <c r="N80" s="216">
        <v>0</v>
      </c>
      <c r="O80" s="216">
        <v>0</v>
      </c>
      <c r="P80" s="216">
        <v>0</v>
      </c>
      <c r="Q80" s="216">
        <v>0</v>
      </c>
      <c r="R80" s="216">
        <v>0</v>
      </c>
      <c r="S80" s="216">
        <v>0</v>
      </c>
      <c r="T80" s="216">
        <f>U80+V80+W80+X80</f>
        <v>0</v>
      </c>
      <c r="U80" s="216">
        <v>0</v>
      </c>
      <c r="V80" s="216">
        <v>0</v>
      </c>
      <c r="W80" s="216">
        <v>0</v>
      </c>
      <c r="X80" s="216">
        <v>0</v>
      </c>
      <c r="Y80" s="216">
        <v>5760</v>
      </c>
      <c r="Z80" s="216">
        <v>5760</v>
      </c>
      <c r="AA80" s="216">
        <v>0</v>
      </c>
      <c r="AB80" s="216">
        <v>0</v>
      </c>
      <c r="AC80" s="216">
        <v>0</v>
      </c>
      <c r="AD80" s="107">
        <f>E80+J80+O80+T80+Y80</f>
        <v>11370</v>
      </c>
    </row>
    <row r="81" spans="1:30" ht="23.25">
      <c r="A81" s="632" t="s">
        <v>60</v>
      </c>
      <c r="B81" s="633"/>
      <c r="C81" s="634"/>
      <c r="D81" s="215"/>
      <c r="E81" s="107">
        <f>E79+E80</f>
        <v>3380</v>
      </c>
      <c r="F81" s="107">
        <f>SUM(F79:F80)</f>
        <v>3380</v>
      </c>
      <c r="G81" s="107">
        <f>G79</f>
        <v>0</v>
      </c>
      <c r="H81" s="107">
        <f>I79</f>
        <v>0</v>
      </c>
      <c r="I81" s="107">
        <f t="shared" ref="I81:V81" si="25">I79</f>
        <v>0</v>
      </c>
      <c r="J81" s="107">
        <f>K81+L81+M81+N81</f>
        <v>2742</v>
      </c>
      <c r="K81" s="107">
        <f>K79+K80</f>
        <v>2742</v>
      </c>
      <c r="L81" s="107">
        <f t="shared" si="25"/>
        <v>0</v>
      </c>
      <c r="M81" s="107">
        <f t="shared" si="25"/>
        <v>0</v>
      </c>
      <c r="N81" s="107">
        <f t="shared" si="25"/>
        <v>0</v>
      </c>
      <c r="O81" s="107">
        <f>P81+Q81+R81+S81</f>
        <v>0</v>
      </c>
      <c r="P81" s="107">
        <f>P79+P80</f>
        <v>0</v>
      </c>
      <c r="Q81" s="107">
        <f t="shared" si="25"/>
        <v>0</v>
      </c>
      <c r="R81" s="107">
        <f t="shared" si="25"/>
        <v>0</v>
      </c>
      <c r="S81" s="107">
        <f t="shared" si="25"/>
        <v>0</v>
      </c>
      <c r="T81" s="107">
        <f>U81+V81+W81+X81</f>
        <v>0</v>
      </c>
      <c r="U81" s="107">
        <f>T79+T80</f>
        <v>0</v>
      </c>
      <c r="V81" s="107">
        <f t="shared" si="25"/>
        <v>0</v>
      </c>
      <c r="W81" s="107">
        <f>V79</f>
        <v>0</v>
      </c>
      <c r="X81" s="107">
        <f t="shared" ref="X81:AC81" si="26">X79</f>
        <v>0</v>
      </c>
      <c r="Y81" s="107">
        <f>Z81+AA81+AB81+AC81</f>
        <v>12240</v>
      </c>
      <c r="Z81" s="107">
        <f>Z79+Z80</f>
        <v>12240</v>
      </c>
      <c r="AA81" s="107">
        <f t="shared" si="26"/>
        <v>0</v>
      </c>
      <c r="AB81" s="107">
        <f t="shared" si="26"/>
        <v>0</v>
      </c>
      <c r="AC81" s="107">
        <f t="shared" si="26"/>
        <v>0</v>
      </c>
      <c r="AD81" s="107">
        <f>E81+J81+O81+T81+Y81</f>
        <v>18362</v>
      </c>
    </row>
    <row r="82" spans="1:30" ht="23.25">
      <c r="A82" s="630" t="s">
        <v>67</v>
      </c>
      <c r="B82" s="630"/>
      <c r="C82" s="630"/>
      <c r="D82" s="215"/>
      <c r="E82" s="107">
        <f>E27+E33+E50+E55+E60+E65+E68+E73+E77+E81</f>
        <v>157092.37</v>
      </c>
      <c r="F82" s="107">
        <f>F27+F33+F50+F55+F60+F65+F68+F73+F77+F81</f>
        <v>108956.7</v>
      </c>
      <c r="G82" s="107">
        <f t="shared" ref="G82:N82" si="27">G27+G33+G50+G55+G60+G65+G68+G73+G77+G81</f>
        <v>45966</v>
      </c>
      <c r="H82" s="107">
        <f t="shared" si="27"/>
        <v>0</v>
      </c>
      <c r="I82" s="107">
        <f t="shared" si="27"/>
        <v>2169.67</v>
      </c>
      <c r="J82" s="107">
        <f>K82+L82+M82+N82</f>
        <v>133401</v>
      </c>
      <c r="K82" s="107">
        <f t="shared" si="27"/>
        <v>105619</v>
      </c>
      <c r="L82" s="107">
        <f t="shared" si="27"/>
        <v>27782</v>
      </c>
      <c r="M82" s="107">
        <f t="shared" si="27"/>
        <v>0</v>
      </c>
      <c r="N82" s="107">
        <f t="shared" si="27"/>
        <v>0</v>
      </c>
      <c r="O82" s="107">
        <f>P82+Q82+R82+S82</f>
        <v>26254</v>
      </c>
      <c r="P82" s="107">
        <f>P27+P33+P50+P55+P60+P65+P68+P73+P77+P81</f>
        <v>2036</v>
      </c>
      <c r="Q82" s="107">
        <f>Q27+Q33+Q50+Q55+Q60+Q65+Q68+Q73+Q77+Q81</f>
        <v>24218</v>
      </c>
      <c r="R82" s="107">
        <f>R27+R33+R50+R55+R60+R65+R68+R73+R77+R81</f>
        <v>0</v>
      </c>
      <c r="S82" s="107">
        <f>S27+S33+S50+S55+S60+S65+S68+S73+S77+S81</f>
        <v>0</v>
      </c>
      <c r="T82" s="107">
        <f>U82+V82+W82+X82</f>
        <v>26254</v>
      </c>
      <c r="U82" s="107">
        <f>U27+U33+U50+U60+U65+U68+U73+U77+U81</f>
        <v>2036</v>
      </c>
      <c r="V82" s="107">
        <f>V27+V33+V50+V55+V60+V65+V68+V73+V77+V81</f>
        <v>24218</v>
      </c>
      <c r="W82" s="107">
        <f>W27+W33+W50+W55+W60+W65+W68+W73+W77+W81</f>
        <v>0</v>
      </c>
      <c r="X82" s="107">
        <f>X27+X33+X50+X55+X60+X65+X68+X73+X77+X81</f>
        <v>0</v>
      </c>
      <c r="Y82" s="107">
        <f>Z82+AA82+AB82+AC82</f>
        <v>130729.3</v>
      </c>
      <c r="Z82" s="107">
        <f>Z27+Z33+Z50+Z55+Z60+Z65+Z68+Z73+Z77+Z81</f>
        <v>130729.3</v>
      </c>
      <c r="AA82" s="107">
        <f>AA27+AA33+AA50+AA55+AA60+AA65+AA68+AA73+AA77+AA81</f>
        <v>0</v>
      </c>
      <c r="AB82" s="107">
        <f>AB27+AB33+AB50+AB55+AB60+AB65+AB68+AB73+AB77+AB81</f>
        <v>0</v>
      </c>
      <c r="AC82" s="107">
        <f>AC27+AC33+AC50+AC55+AC60+AC65+AC68+AC73+AC77+AC81</f>
        <v>0</v>
      </c>
      <c r="AD82" s="107">
        <f>AD27+AD33+AD50+AD55+AD60+AD65+AD68+AD73+AD77+AD81</f>
        <v>473730.67</v>
      </c>
    </row>
    <row r="83" spans="1:30">
      <c r="E83" s="217"/>
      <c r="F83" s="217"/>
      <c r="G83" s="217"/>
      <c r="H83" s="217"/>
      <c r="I83" s="217"/>
      <c r="J83" s="217"/>
    </row>
    <row r="84" spans="1:30">
      <c r="A84" s="293" t="s">
        <v>202</v>
      </c>
      <c r="K84" s="223"/>
      <c r="L84" s="292"/>
      <c r="M84" s="292"/>
      <c r="N84" s="292"/>
      <c r="O84" s="292"/>
      <c r="P84" s="292"/>
      <c r="Q84" s="292"/>
      <c r="R84" s="292"/>
      <c r="S84" s="292"/>
      <c r="T84" s="292"/>
      <c r="U84" s="292"/>
      <c r="V84" s="292"/>
      <c r="W84" s="292"/>
    </row>
    <row r="85" spans="1:30">
      <c r="C85" s="199">
        <v>2020</v>
      </c>
      <c r="E85" s="218"/>
      <c r="J85" s="199">
        <v>2021</v>
      </c>
      <c r="O85" s="199">
        <v>2022</v>
      </c>
      <c r="T85" s="199">
        <v>2023</v>
      </c>
      <c r="Y85" s="199">
        <v>2024</v>
      </c>
    </row>
    <row r="86" spans="1:30" ht="225">
      <c r="A86" s="222" t="s">
        <v>201</v>
      </c>
      <c r="B86" s="219" t="s">
        <v>134</v>
      </c>
      <c r="C86" s="218">
        <f>E29+E33+E52+E55+E62+E65+E68+E74+E81</f>
        <v>96915</v>
      </c>
      <c r="F86" s="218" t="s">
        <v>134</v>
      </c>
      <c r="I86" s="199" t="s">
        <v>134</v>
      </c>
      <c r="J86" s="218">
        <f>J29+J33+J52+J55+J65+J68+J74+J81</f>
        <v>71884</v>
      </c>
      <c r="N86" s="199" t="s">
        <v>134</v>
      </c>
      <c r="O86" s="218">
        <f>O29+O33+O52+O55+O65+O68+O74+O81</f>
        <v>0</v>
      </c>
      <c r="S86" s="199" t="s">
        <v>134</v>
      </c>
      <c r="T86" s="218">
        <f>T29+T33+T52+T55+T62+T65+T68+T74+T81</f>
        <v>0</v>
      </c>
      <c r="X86" s="199" t="s">
        <v>134</v>
      </c>
      <c r="Y86" s="218">
        <f>Y29+Y33+Y52+Y55+Y62+Y65+Y68+Y74+Y81</f>
        <v>92955.3</v>
      </c>
      <c r="AC86" s="218">
        <f>C86+J86+O86+T86+Y86</f>
        <v>261754.3</v>
      </c>
    </row>
    <row r="87" spans="1:30">
      <c r="B87" s="219" t="s">
        <v>137</v>
      </c>
      <c r="C87" s="218">
        <f>E30+E51+E61+E77</f>
        <v>23882</v>
      </c>
      <c r="F87" s="199" t="s">
        <v>137</v>
      </c>
      <c r="I87" s="199" t="s">
        <v>137</v>
      </c>
      <c r="J87" s="218">
        <f>J30+J51+J60+J77</f>
        <v>26017</v>
      </c>
      <c r="N87" s="199" t="s">
        <v>137</v>
      </c>
      <c r="O87" s="218">
        <f>O30+O51+O61+O77</f>
        <v>26254</v>
      </c>
      <c r="S87" s="199" t="s">
        <v>137</v>
      </c>
      <c r="T87" s="218">
        <f>T30+T51+T61+T77</f>
        <v>26254</v>
      </c>
      <c r="X87" s="199" t="s">
        <v>137</v>
      </c>
      <c r="Y87" s="218">
        <f>Y30+Y51+Y61+Y77</f>
        <v>2274</v>
      </c>
      <c r="AC87" s="218">
        <f>C87+J87+O87+T87+Y87</f>
        <v>104681</v>
      </c>
    </row>
    <row r="88" spans="1:30">
      <c r="B88" s="219" t="s">
        <v>138</v>
      </c>
      <c r="C88" s="218">
        <f>E28</f>
        <v>36295.369999999995</v>
      </c>
      <c r="F88" s="199" t="s">
        <v>289</v>
      </c>
      <c r="I88" s="199" t="s">
        <v>140</v>
      </c>
      <c r="J88" s="218">
        <f>K28</f>
        <v>35500</v>
      </c>
      <c r="N88" s="199" t="s">
        <v>140</v>
      </c>
      <c r="O88" s="218">
        <f>P28</f>
        <v>0</v>
      </c>
      <c r="S88" s="199" t="s">
        <v>140</v>
      </c>
      <c r="T88" s="218">
        <f>T28</f>
        <v>0</v>
      </c>
      <c r="X88" s="199" t="s">
        <v>140</v>
      </c>
      <c r="Y88" s="218">
        <f>Y28</f>
        <v>35500</v>
      </c>
      <c r="AC88" s="218">
        <f>C88+J88+O88+T88+Y88</f>
        <v>107295.37</v>
      </c>
    </row>
    <row r="89" spans="1:30">
      <c r="C89" s="218"/>
      <c r="J89" s="218"/>
      <c r="O89" s="218">
        <f>O86+O87</f>
        <v>26254</v>
      </c>
      <c r="T89" s="218"/>
      <c r="Y89" s="218"/>
      <c r="AC89" s="218"/>
    </row>
    <row r="90" spans="1:30">
      <c r="B90" s="219"/>
      <c r="C90" s="218">
        <f>C86+C87+C88</f>
        <v>157092.37</v>
      </c>
      <c r="J90" s="218">
        <f>J86+J87+J88</f>
        <v>133401</v>
      </c>
      <c r="K90" s="218"/>
      <c r="N90" s="199" t="s">
        <v>137</v>
      </c>
      <c r="O90" s="218"/>
      <c r="S90" s="199" t="s">
        <v>137</v>
      </c>
      <c r="T90" s="218"/>
      <c r="X90" s="199" t="s">
        <v>173</v>
      </c>
      <c r="Y90" s="218"/>
      <c r="AC90" s="218"/>
    </row>
    <row r="91" spans="1:30">
      <c r="C91" s="218"/>
      <c r="J91" s="218"/>
      <c r="O91" s="218"/>
      <c r="T91" s="218"/>
      <c r="Y91" s="218">
        <f>Y86+Y87+Y88</f>
        <v>130729.3</v>
      </c>
      <c r="AC91" s="218">
        <f>AC86+AC87+AC88</f>
        <v>473730.67</v>
      </c>
    </row>
    <row r="92" spans="1:30">
      <c r="C92" s="218"/>
      <c r="J92" s="218"/>
      <c r="O92" s="218"/>
      <c r="T92" s="218"/>
      <c r="Y92" s="218"/>
    </row>
    <row r="94" spans="1:30">
      <c r="B94" s="219" t="s">
        <v>195</v>
      </c>
      <c r="C94" s="218">
        <f>I82+N82+S82+X82+AC82</f>
        <v>2169.67</v>
      </c>
    </row>
    <row r="95" spans="1:30">
      <c r="B95" s="220" t="s">
        <v>196</v>
      </c>
      <c r="C95" s="218">
        <f>F82+K82+P82+U82+Z82</f>
        <v>349377</v>
      </c>
    </row>
    <row r="96" spans="1:30">
      <c r="B96" s="220" t="s">
        <v>197</v>
      </c>
      <c r="C96" s="218">
        <f>G82+L82+Q82+V82+AA82</f>
        <v>122184</v>
      </c>
    </row>
    <row r="97" spans="2:29">
      <c r="C97" s="218">
        <f>C94+C95+C96</f>
        <v>473730.67</v>
      </c>
      <c r="AC97" s="218">
        <f>AC91-865014</f>
        <v>-391283.33</v>
      </c>
    </row>
    <row r="99" spans="2:29">
      <c r="B99" s="218">
        <f>127165-F82</f>
        <v>18208.300000000003</v>
      </c>
    </row>
    <row r="101" spans="2:29">
      <c r="Y101" s="221">
        <f>973249000-19710000-88655000</f>
        <v>864884000</v>
      </c>
    </row>
    <row r="104" spans="2:29">
      <c r="D104" s="221"/>
      <c r="E104" s="221"/>
    </row>
    <row r="105" spans="2:29">
      <c r="D105" s="221"/>
      <c r="E105" s="221"/>
    </row>
    <row r="110" spans="2:29">
      <c r="D110" s="218">
        <f>G82+L82+Q82+V82+AA82</f>
        <v>122184</v>
      </c>
    </row>
  </sheetData>
  <mergeCells count="41">
    <mergeCell ref="A82:C82"/>
    <mergeCell ref="A60:C60"/>
    <mergeCell ref="B63:AD63"/>
    <mergeCell ref="A65:C65"/>
    <mergeCell ref="B66:AD66"/>
    <mergeCell ref="A68:C68"/>
    <mergeCell ref="B69:AD69"/>
    <mergeCell ref="A73:C73"/>
    <mergeCell ref="B75:AD75"/>
    <mergeCell ref="A77:C77"/>
    <mergeCell ref="B78:AD78"/>
    <mergeCell ref="A81:C81"/>
    <mergeCell ref="A57:A58"/>
    <mergeCell ref="B57:B58"/>
    <mergeCell ref="C13:C14"/>
    <mergeCell ref="A27:C27"/>
    <mergeCell ref="B31:AD31"/>
    <mergeCell ref="A33:C33"/>
    <mergeCell ref="B34:AD34"/>
    <mergeCell ref="C38:C39"/>
    <mergeCell ref="C41:C45"/>
    <mergeCell ref="A50:C50"/>
    <mergeCell ref="B53:AD53"/>
    <mergeCell ref="A55:C55"/>
    <mergeCell ref="B56:AD56"/>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s>
  <pageMargins left="0.11811023622047245" right="0.11811023622047245" top="0.15748031496062992" bottom="0.15748031496062992" header="0.31496062992125984" footer="0.31496062992125984"/>
  <pageSetup paperSize="9" scale="21" orientation="landscape" r:id="rId1"/>
  <colBreaks count="1" manualBreakCount="1">
    <brk id="30" max="1048575" man="1"/>
  </colBreaks>
  <legacyDrawing r:id="rId2"/>
</worksheet>
</file>

<file path=xl/worksheets/sheet10.xml><?xml version="1.0" encoding="utf-8"?>
<worksheet xmlns="http://schemas.openxmlformats.org/spreadsheetml/2006/main" xmlns:r="http://schemas.openxmlformats.org/officeDocument/2006/relationships">
  <dimension ref="A1:AF113"/>
  <sheetViews>
    <sheetView zoomScale="50" zoomScaleNormal="50" workbookViewId="0">
      <pane xSplit="4" ySplit="15" topLeftCell="O58" activePane="bottomRight" state="frozen"/>
      <selection pane="topRight" activeCell="E1" sqref="E1"/>
      <selection pane="bottomLeft" activeCell="A16" sqref="A16"/>
      <selection pane="bottomRight" sqref="A1:XFD1048576"/>
    </sheetView>
  </sheetViews>
  <sheetFormatPr defaultRowHeight="18.75"/>
  <cols>
    <col min="1" max="1" width="6.140625" style="309" customWidth="1"/>
    <col min="2" max="2" width="188" style="199" customWidth="1"/>
    <col min="3" max="3" width="42.42578125" style="199" customWidth="1"/>
    <col min="4" max="4" width="23.5703125" style="199" customWidth="1"/>
    <col min="5" max="5" width="21.28515625" style="199" customWidth="1"/>
    <col min="6" max="6" width="22.42578125" style="199" customWidth="1"/>
    <col min="7" max="7" width="16.140625" style="199" customWidth="1"/>
    <col min="8" max="9" width="16.85546875" style="199" customWidth="1"/>
    <col min="10" max="10" width="21.140625" style="199" customWidth="1"/>
    <col min="11" max="11" width="18.140625" style="199" customWidth="1"/>
    <col min="12" max="12" width="15" style="199" customWidth="1"/>
    <col min="13" max="13" width="14.7109375" style="199" customWidth="1"/>
    <col min="14" max="14" width="14.28515625" style="199" customWidth="1"/>
    <col min="15" max="15" width="17.140625" style="199" customWidth="1"/>
    <col min="16" max="16" width="18.7109375" style="199" customWidth="1"/>
    <col min="17" max="17" width="17.28515625" style="199" customWidth="1"/>
    <col min="18" max="18" width="19" style="199" customWidth="1"/>
    <col min="19" max="19" width="13" style="199" customWidth="1"/>
    <col min="20" max="20" width="16.42578125" style="199" customWidth="1"/>
    <col min="21" max="21" width="12.7109375" style="199" customWidth="1"/>
    <col min="22" max="22" width="11.85546875" style="199" customWidth="1"/>
    <col min="23" max="23" width="11.7109375" style="199" customWidth="1"/>
    <col min="24" max="24" width="10.28515625" style="199" customWidth="1"/>
    <col min="25" max="25" width="18" style="199" customWidth="1"/>
    <col min="26" max="26" width="14.5703125" style="199" customWidth="1"/>
    <col min="27" max="27" width="13" style="199" customWidth="1"/>
    <col min="28" max="28" width="12.7109375" style="199" customWidth="1"/>
    <col min="29" max="29" width="14.28515625" style="199" customWidth="1"/>
    <col min="30" max="30" width="17.7109375" style="199" customWidth="1"/>
    <col min="31" max="16384" width="9.140625" style="200"/>
  </cols>
  <sheetData>
    <row r="1" spans="1:30">
      <c r="Z1" s="199" t="s">
        <v>260</v>
      </c>
    </row>
    <row r="2" spans="1:30">
      <c r="Z2" s="199" t="s">
        <v>261</v>
      </c>
    </row>
    <row r="3" spans="1:30" ht="18.75" customHeight="1">
      <c r="L3" s="307"/>
      <c r="M3" s="307"/>
      <c r="N3" s="307"/>
      <c r="O3" s="307"/>
      <c r="P3" s="307"/>
      <c r="Q3" s="307"/>
      <c r="R3" s="307"/>
      <c r="S3" s="307"/>
      <c r="T3" s="307"/>
      <c r="U3" s="307"/>
      <c r="V3" s="307"/>
      <c r="W3" s="307"/>
      <c r="X3" s="307"/>
      <c r="Y3" s="307"/>
      <c r="Z3" s="615" t="s">
        <v>262</v>
      </c>
      <c r="AA3" s="615"/>
      <c r="AB3" s="615"/>
      <c r="AC3" s="615"/>
      <c r="AD3" s="615"/>
    </row>
    <row r="4" spans="1:30" ht="18.75" customHeight="1">
      <c r="V4" s="616" t="s">
        <v>272</v>
      </c>
      <c r="W4" s="616"/>
      <c r="X4" s="616"/>
      <c r="Y4" s="616"/>
      <c r="Z4" s="616"/>
      <c r="AA4" s="616"/>
      <c r="AB4" s="616"/>
      <c r="AC4" s="616"/>
      <c r="AD4" s="616"/>
    </row>
    <row r="5" spans="1:30">
      <c r="A5" s="617" t="s">
        <v>0</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row>
    <row r="7" spans="1:30" ht="19.5" customHeight="1">
      <c r="A7" s="618" t="s">
        <v>1</v>
      </c>
      <c r="B7" s="618" t="s">
        <v>219</v>
      </c>
      <c r="C7" s="618" t="s">
        <v>2</v>
      </c>
      <c r="D7" s="619" t="s">
        <v>3</v>
      </c>
      <c r="E7" s="622" t="s">
        <v>273</v>
      </c>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row>
    <row r="8" spans="1:30" ht="18.75" customHeight="1">
      <c r="A8" s="618"/>
      <c r="B8" s="618"/>
      <c r="C8" s="618"/>
      <c r="D8" s="620"/>
      <c r="E8" s="618" t="s">
        <v>88</v>
      </c>
      <c r="F8" s="618"/>
      <c r="G8" s="618"/>
      <c r="H8" s="618"/>
      <c r="I8" s="618"/>
      <c r="J8" s="618" t="s">
        <v>89</v>
      </c>
      <c r="K8" s="618"/>
      <c r="L8" s="618"/>
      <c r="M8" s="618"/>
      <c r="N8" s="618"/>
      <c r="O8" s="618" t="s">
        <v>90</v>
      </c>
      <c r="P8" s="618"/>
      <c r="Q8" s="618"/>
      <c r="R8" s="618"/>
      <c r="S8" s="618"/>
      <c r="T8" s="618" t="s">
        <v>91</v>
      </c>
      <c r="U8" s="618"/>
      <c r="V8" s="618"/>
      <c r="W8" s="618"/>
      <c r="X8" s="618"/>
      <c r="Y8" s="618" t="s">
        <v>92</v>
      </c>
      <c r="Z8" s="618"/>
      <c r="AA8" s="618"/>
      <c r="AB8" s="618"/>
      <c r="AC8" s="618"/>
      <c r="AD8" s="618" t="s">
        <v>5</v>
      </c>
    </row>
    <row r="9" spans="1:30" ht="87.75" customHeight="1">
      <c r="A9" s="618"/>
      <c r="B9" s="618"/>
      <c r="C9" s="618"/>
      <c r="D9" s="621"/>
      <c r="E9" s="310" t="s">
        <v>6</v>
      </c>
      <c r="F9" s="201" t="s">
        <v>7</v>
      </c>
      <c r="G9" s="201" t="s">
        <v>8</v>
      </c>
      <c r="H9" s="201" t="s">
        <v>9</v>
      </c>
      <c r="I9" s="202" t="s">
        <v>10</v>
      </c>
      <c r="J9" s="310" t="s">
        <v>6</v>
      </c>
      <c r="K9" s="201" t="s">
        <v>7</v>
      </c>
      <c r="L9" s="201" t="s">
        <v>8</v>
      </c>
      <c r="M9" s="201" t="s">
        <v>9</v>
      </c>
      <c r="N9" s="202" t="s">
        <v>10</v>
      </c>
      <c r="O9" s="310" t="s">
        <v>6</v>
      </c>
      <c r="P9" s="201" t="s">
        <v>7</v>
      </c>
      <c r="Q9" s="201" t="s">
        <v>8</v>
      </c>
      <c r="R9" s="201" t="s">
        <v>9</v>
      </c>
      <c r="S9" s="202" t="s">
        <v>10</v>
      </c>
      <c r="T9" s="310" t="s">
        <v>6</v>
      </c>
      <c r="U9" s="201" t="s">
        <v>7</v>
      </c>
      <c r="V9" s="201" t="s">
        <v>8</v>
      </c>
      <c r="W9" s="201" t="s">
        <v>9</v>
      </c>
      <c r="X9" s="202" t="s">
        <v>10</v>
      </c>
      <c r="Y9" s="310" t="s">
        <v>6</v>
      </c>
      <c r="Z9" s="201" t="s">
        <v>7</v>
      </c>
      <c r="AA9" s="201" t="s">
        <v>8</v>
      </c>
      <c r="AB9" s="201" t="s">
        <v>9</v>
      </c>
      <c r="AC9" s="202" t="s">
        <v>10</v>
      </c>
      <c r="AD9" s="618"/>
    </row>
    <row r="10" spans="1:30">
      <c r="A10" s="203">
        <v>1</v>
      </c>
      <c r="B10" s="203">
        <v>2</v>
      </c>
      <c r="C10" s="203">
        <v>3</v>
      </c>
      <c r="D10" s="203">
        <v>4</v>
      </c>
      <c r="E10" s="203">
        <v>5</v>
      </c>
      <c r="F10" s="203">
        <v>6</v>
      </c>
      <c r="G10" s="203">
        <v>7</v>
      </c>
      <c r="H10" s="203">
        <v>8</v>
      </c>
      <c r="I10" s="203">
        <v>9</v>
      </c>
      <c r="J10" s="203">
        <v>10</v>
      </c>
      <c r="K10" s="203">
        <v>11</v>
      </c>
      <c r="L10" s="203">
        <v>12</v>
      </c>
      <c r="M10" s="203">
        <v>13</v>
      </c>
      <c r="N10" s="203">
        <v>14</v>
      </c>
      <c r="O10" s="203">
        <v>15</v>
      </c>
      <c r="P10" s="203">
        <v>16</v>
      </c>
      <c r="Q10" s="203">
        <v>17</v>
      </c>
      <c r="R10" s="203">
        <v>18</v>
      </c>
      <c r="S10" s="203">
        <v>19</v>
      </c>
      <c r="T10" s="203">
        <v>20</v>
      </c>
      <c r="U10" s="203">
        <v>21</v>
      </c>
      <c r="V10" s="203">
        <v>22</v>
      </c>
      <c r="W10" s="203">
        <v>23</v>
      </c>
      <c r="X10" s="203">
        <v>24</v>
      </c>
      <c r="Y10" s="203">
        <v>25</v>
      </c>
      <c r="Z10" s="203">
        <v>26</v>
      </c>
      <c r="AA10" s="203">
        <v>27</v>
      </c>
      <c r="AB10" s="203">
        <v>28</v>
      </c>
      <c r="AC10" s="203">
        <v>29</v>
      </c>
      <c r="AD10" s="203">
        <v>30</v>
      </c>
    </row>
    <row r="11" spans="1:30" ht="18.75" customHeight="1">
      <c r="A11" s="623" t="s">
        <v>274</v>
      </c>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5"/>
    </row>
    <row r="12" spans="1:30" ht="23.25">
      <c r="A12" s="41" t="s">
        <v>221</v>
      </c>
      <c r="B12" s="600" t="s">
        <v>275</v>
      </c>
      <c r="C12" s="601"/>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4"/>
    </row>
    <row r="13" spans="1:30" ht="93">
      <c r="A13" s="155" t="s">
        <v>12</v>
      </c>
      <c r="B13" s="173" t="s">
        <v>81</v>
      </c>
      <c r="C13" s="610" t="s">
        <v>14</v>
      </c>
      <c r="D13" s="204" t="s">
        <v>93</v>
      </c>
      <c r="E13" s="178">
        <f>SUM(F13:I13)</f>
        <v>28350</v>
      </c>
      <c r="F13" s="178">
        <f>43350-15000</f>
        <v>28350</v>
      </c>
      <c r="G13" s="178">
        <v>0</v>
      </c>
      <c r="H13" s="178">
        <v>0</v>
      </c>
      <c r="I13" s="178">
        <v>0</v>
      </c>
      <c r="J13" s="283">
        <f>K13+L13+M13+N13</f>
        <v>26292</v>
      </c>
      <c r="K13" s="283">
        <f>19722+15778-9208</f>
        <v>26292</v>
      </c>
      <c r="L13" s="178">
        <v>0</v>
      </c>
      <c r="M13" s="142">
        <v>0</v>
      </c>
      <c r="N13" s="142">
        <v>0</v>
      </c>
      <c r="O13" s="142">
        <v>0</v>
      </c>
      <c r="P13" s="142">
        <v>0</v>
      </c>
      <c r="Q13" s="142">
        <v>0</v>
      </c>
      <c r="R13" s="142">
        <v>0</v>
      </c>
      <c r="S13" s="142">
        <v>0</v>
      </c>
      <c r="T13" s="142">
        <f>U13+V13+W13+X13</f>
        <v>0</v>
      </c>
      <c r="U13" s="142">
        <v>0</v>
      </c>
      <c r="V13" s="142">
        <v>0</v>
      </c>
      <c r="W13" s="142">
        <v>0</v>
      </c>
      <c r="X13" s="142">
        <v>0</v>
      </c>
      <c r="Y13" s="142">
        <f>Z13+AA13+AB13+AC13</f>
        <v>35500</v>
      </c>
      <c r="Z13" s="142">
        <v>35500</v>
      </c>
      <c r="AA13" s="142">
        <v>0</v>
      </c>
      <c r="AB13" s="142">
        <v>0</v>
      </c>
      <c r="AC13" s="142">
        <v>0</v>
      </c>
      <c r="AD13" s="148">
        <f t="shared" ref="AD13:AD18" si="0">E13+J13+O13+T13+Y13</f>
        <v>90142</v>
      </c>
    </row>
    <row r="14" spans="1:30" ht="116.25">
      <c r="A14" s="155" t="s">
        <v>13</v>
      </c>
      <c r="B14" s="174" t="s">
        <v>268</v>
      </c>
      <c r="C14" s="612"/>
      <c r="D14" s="204" t="s">
        <v>93</v>
      </c>
      <c r="E14" s="178">
        <f>SUM(F14:I14)</f>
        <v>7359</v>
      </c>
      <c r="F14" s="178">
        <f>12748-5387-2060</f>
        <v>5301</v>
      </c>
      <c r="G14" s="178">
        <v>0</v>
      </c>
      <c r="H14" s="178">
        <v>0</v>
      </c>
      <c r="I14" s="178">
        <f>4602-2544</f>
        <v>2058</v>
      </c>
      <c r="J14" s="178">
        <v>0</v>
      </c>
      <c r="K14" s="178">
        <v>0</v>
      </c>
      <c r="L14" s="178">
        <v>0</v>
      </c>
      <c r="M14" s="142">
        <v>0</v>
      </c>
      <c r="N14" s="142">
        <v>0</v>
      </c>
      <c r="O14" s="142">
        <v>0</v>
      </c>
      <c r="P14" s="142">
        <v>0</v>
      </c>
      <c r="Q14" s="142">
        <v>0</v>
      </c>
      <c r="R14" s="142">
        <v>0</v>
      </c>
      <c r="S14" s="142">
        <v>0</v>
      </c>
      <c r="T14" s="142">
        <f>U14+V14+W14+X14</f>
        <v>0</v>
      </c>
      <c r="U14" s="142">
        <v>0</v>
      </c>
      <c r="V14" s="142">
        <v>0</v>
      </c>
      <c r="W14" s="142">
        <v>0</v>
      </c>
      <c r="X14" s="142">
        <v>0</v>
      </c>
      <c r="Y14" s="142">
        <f>Z14+AA14+AB14+AC14</f>
        <v>0</v>
      </c>
      <c r="Z14" s="142">
        <v>0</v>
      </c>
      <c r="AA14" s="142">
        <v>0</v>
      </c>
      <c r="AB14" s="142">
        <v>0</v>
      </c>
      <c r="AC14" s="142">
        <v>0</v>
      </c>
      <c r="AD14" s="148">
        <f t="shared" si="0"/>
        <v>7359</v>
      </c>
    </row>
    <row r="15" spans="1:30" ht="93">
      <c r="A15" s="155" t="s">
        <v>15</v>
      </c>
      <c r="B15" s="191" t="s">
        <v>117</v>
      </c>
      <c r="C15" s="312" t="s">
        <v>218</v>
      </c>
      <c r="D15" s="41" t="s">
        <v>93</v>
      </c>
      <c r="E15" s="178">
        <f>F15+G15+H15+I15</f>
        <v>8260</v>
      </c>
      <c r="F15" s="178">
        <f>8260</f>
        <v>8260</v>
      </c>
      <c r="G15" s="178">
        <v>0</v>
      </c>
      <c r="H15" s="178">
        <v>0</v>
      </c>
      <c r="I15" s="178">
        <v>0</v>
      </c>
      <c r="J15" s="178">
        <f>K15+L15+M15+N15</f>
        <v>11513</v>
      </c>
      <c r="K15" s="178">
        <v>11513</v>
      </c>
      <c r="L15" s="178">
        <v>0</v>
      </c>
      <c r="M15" s="142">
        <v>0</v>
      </c>
      <c r="N15" s="142">
        <v>0</v>
      </c>
      <c r="O15" s="142">
        <f>P15+Q15+R15+S15</f>
        <v>0</v>
      </c>
      <c r="P15" s="142">
        <v>0</v>
      </c>
      <c r="Q15" s="142">
        <v>0</v>
      </c>
      <c r="R15" s="142">
        <v>0</v>
      </c>
      <c r="S15" s="142">
        <v>0</v>
      </c>
      <c r="T15" s="142">
        <f>U15+V15+W15+X15</f>
        <v>0</v>
      </c>
      <c r="U15" s="142">
        <v>0</v>
      </c>
      <c r="V15" s="142">
        <v>0</v>
      </c>
      <c r="W15" s="142">
        <v>0</v>
      </c>
      <c r="X15" s="142">
        <v>0</v>
      </c>
      <c r="Y15" s="142">
        <v>12655.3</v>
      </c>
      <c r="Z15" s="142">
        <v>12655.3</v>
      </c>
      <c r="AA15" s="142">
        <v>0</v>
      </c>
      <c r="AB15" s="142">
        <v>0</v>
      </c>
      <c r="AC15" s="142">
        <v>0</v>
      </c>
      <c r="AD15" s="148">
        <f t="shared" si="0"/>
        <v>32428.3</v>
      </c>
    </row>
    <row r="16" spans="1:30" ht="93">
      <c r="A16" s="155" t="s">
        <v>16</v>
      </c>
      <c r="B16" s="175" t="s">
        <v>270</v>
      </c>
      <c r="C16" s="205" t="s">
        <v>14</v>
      </c>
      <c r="D16" s="41" t="s">
        <v>93</v>
      </c>
      <c r="E16" s="178">
        <f>F16+G16+H16+I16</f>
        <v>586.36999999999978</v>
      </c>
      <c r="F16" s="178">
        <f>3300-2825.3</f>
        <v>474.69999999999982</v>
      </c>
      <c r="G16" s="178">
        <v>0</v>
      </c>
      <c r="H16" s="178">
        <v>0</v>
      </c>
      <c r="I16" s="178">
        <f>775-663.33</f>
        <v>111.66999999999996</v>
      </c>
      <c r="J16" s="178">
        <v>0</v>
      </c>
      <c r="K16" s="178">
        <v>0</v>
      </c>
      <c r="L16" s="178">
        <v>0</v>
      </c>
      <c r="M16" s="142">
        <v>0</v>
      </c>
      <c r="N16" s="142">
        <v>0</v>
      </c>
      <c r="O16" s="142">
        <v>0</v>
      </c>
      <c r="P16" s="142">
        <v>0</v>
      </c>
      <c r="Q16" s="142">
        <v>0</v>
      </c>
      <c r="R16" s="142">
        <v>0</v>
      </c>
      <c r="S16" s="142">
        <v>0</v>
      </c>
      <c r="T16" s="142">
        <v>0</v>
      </c>
      <c r="U16" s="142">
        <v>0</v>
      </c>
      <c r="V16" s="142">
        <v>0</v>
      </c>
      <c r="W16" s="142">
        <v>0</v>
      </c>
      <c r="X16" s="142">
        <v>0</v>
      </c>
      <c r="Y16" s="142">
        <v>0</v>
      </c>
      <c r="Z16" s="142">
        <v>0</v>
      </c>
      <c r="AA16" s="142">
        <v>0</v>
      </c>
      <c r="AB16" s="142">
        <v>0</v>
      </c>
      <c r="AC16" s="142">
        <v>0</v>
      </c>
      <c r="AD16" s="148">
        <f t="shared" si="0"/>
        <v>586.36999999999978</v>
      </c>
    </row>
    <row r="17" spans="1:31" ht="37.5" customHeight="1">
      <c r="A17" s="155" t="s">
        <v>17</v>
      </c>
      <c r="B17" s="175" t="s">
        <v>210</v>
      </c>
      <c r="C17" s="312" t="s">
        <v>94</v>
      </c>
      <c r="D17" s="141">
        <v>2020</v>
      </c>
      <c r="E17" s="178">
        <f t="shared" ref="E17:E22" si="1">F17+G17+H17+I17</f>
        <v>1192</v>
      </c>
      <c r="F17" s="178">
        <v>1192</v>
      </c>
      <c r="G17" s="178">
        <v>0</v>
      </c>
      <c r="H17" s="178">
        <v>0</v>
      </c>
      <c r="I17" s="178">
        <v>0</v>
      </c>
      <c r="J17" s="178">
        <f t="shared" ref="J17:J22" si="2">K17+L17+M17+N17</f>
        <v>0</v>
      </c>
      <c r="K17" s="178">
        <v>0</v>
      </c>
      <c r="L17" s="178">
        <v>0</v>
      </c>
      <c r="M17" s="142">
        <v>0</v>
      </c>
      <c r="N17" s="142">
        <v>0</v>
      </c>
      <c r="O17" s="142">
        <f>P17+Q17+R17+S17</f>
        <v>0</v>
      </c>
      <c r="P17" s="142">
        <v>0</v>
      </c>
      <c r="Q17" s="142">
        <v>0</v>
      </c>
      <c r="R17" s="142">
        <v>0</v>
      </c>
      <c r="S17" s="142">
        <v>0</v>
      </c>
      <c r="T17" s="142">
        <f>U17+V17+W17+X17</f>
        <v>0</v>
      </c>
      <c r="U17" s="142">
        <v>0</v>
      </c>
      <c r="V17" s="142">
        <v>0</v>
      </c>
      <c r="W17" s="142">
        <v>0</v>
      </c>
      <c r="X17" s="142">
        <v>0</v>
      </c>
      <c r="Y17" s="142">
        <f>Z17+AA17+AB17+AC17</f>
        <v>0</v>
      </c>
      <c r="Z17" s="142">
        <v>0</v>
      </c>
      <c r="AA17" s="142">
        <v>0</v>
      </c>
      <c r="AB17" s="142">
        <v>0</v>
      </c>
      <c r="AC17" s="142">
        <v>0</v>
      </c>
      <c r="AD17" s="142">
        <f t="shared" si="0"/>
        <v>1192</v>
      </c>
    </row>
    <row r="18" spans="1:31" ht="46.5">
      <c r="A18" s="155" t="s">
        <v>163</v>
      </c>
      <c r="B18" s="175" t="s">
        <v>121</v>
      </c>
      <c r="C18" s="312" t="s">
        <v>94</v>
      </c>
      <c r="D18" s="141" t="s">
        <v>164</v>
      </c>
      <c r="E18" s="178">
        <f t="shared" si="1"/>
        <v>6060</v>
      </c>
      <c r="F18" s="178">
        <f>6183-123</f>
        <v>6060</v>
      </c>
      <c r="G18" s="178">
        <v>0</v>
      </c>
      <c r="H18" s="178">
        <v>0</v>
      </c>
      <c r="I18" s="178">
        <v>0</v>
      </c>
      <c r="J18" s="283">
        <f t="shared" si="2"/>
        <v>5586</v>
      </c>
      <c r="K18" s="283">
        <f>5832-126-120</f>
        <v>5586</v>
      </c>
      <c r="L18" s="283">
        <v>0</v>
      </c>
      <c r="M18" s="142">
        <v>0</v>
      </c>
      <c r="N18" s="142">
        <v>0</v>
      </c>
      <c r="O18" s="142">
        <f>P18+Q18+R18+S18</f>
        <v>0</v>
      </c>
      <c r="P18" s="142">
        <v>0</v>
      </c>
      <c r="Q18" s="142">
        <v>0</v>
      </c>
      <c r="R18" s="142">
        <v>0</v>
      </c>
      <c r="S18" s="142">
        <v>0</v>
      </c>
      <c r="T18" s="142">
        <f>U18+V18+W18+X18</f>
        <v>0</v>
      </c>
      <c r="U18" s="142">
        <v>0</v>
      </c>
      <c r="V18" s="142">
        <v>0</v>
      </c>
      <c r="W18" s="142">
        <v>0</v>
      </c>
      <c r="X18" s="142">
        <v>0</v>
      </c>
      <c r="Y18" s="142">
        <v>6150</v>
      </c>
      <c r="Z18" s="142">
        <v>6150</v>
      </c>
      <c r="AA18" s="142">
        <v>0</v>
      </c>
      <c r="AB18" s="142">
        <v>0</v>
      </c>
      <c r="AC18" s="142">
        <v>0</v>
      </c>
      <c r="AD18" s="142">
        <f t="shared" si="0"/>
        <v>17796</v>
      </c>
    </row>
    <row r="19" spans="1:31" ht="37.5">
      <c r="A19" s="155" t="s">
        <v>182</v>
      </c>
      <c r="B19" s="170" t="s">
        <v>124</v>
      </c>
      <c r="C19" s="312" t="s">
        <v>94</v>
      </c>
      <c r="D19" s="141" t="s">
        <v>282</v>
      </c>
      <c r="E19" s="178">
        <f t="shared" si="1"/>
        <v>785</v>
      </c>
      <c r="F19" s="178">
        <v>785</v>
      </c>
      <c r="G19" s="178">
        <v>0</v>
      </c>
      <c r="H19" s="178">
        <v>0</v>
      </c>
      <c r="I19" s="178">
        <v>0</v>
      </c>
      <c r="J19" s="178">
        <f t="shared" si="2"/>
        <v>90</v>
      </c>
      <c r="K19" s="178">
        <v>90</v>
      </c>
      <c r="L19" s="178">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f>E19+J19+O19+T19+Y19</f>
        <v>875</v>
      </c>
    </row>
    <row r="20" spans="1:31" ht="46.5">
      <c r="A20" s="155" t="s">
        <v>208</v>
      </c>
      <c r="B20" s="170" t="s">
        <v>126</v>
      </c>
      <c r="C20" s="312" t="s">
        <v>94</v>
      </c>
      <c r="D20" s="141">
        <v>2020</v>
      </c>
      <c r="E20" s="178">
        <f t="shared" si="1"/>
        <v>110</v>
      </c>
      <c r="F20" s="178">
        <v>110</v>
      </c>
      <c r="G20" s="178">
        <v>0</v>
      </c>
      <c r="H20" s="178">
        <v>0</v>
      </c>
      <c r="I20" s="178">
        <v>0</v>
      </c>
      <c r="J20" s="178">
        <f t="shared" si="2"/>
        <v>0</v>
      </c>
      <c r="K20" s="178">
        <v>0</v>
      </c>
      <c r="L20" s="178">
        <v>0</v>
      </c>
      <c r="M20" s="142">
        <v>0</v>
      </c>
      <c r="N20" s="142">
        <v>0</v>
      </c>
      <c r="O20" s="142">
        <f t="shared" ref="O20:O26" si="3">P20+Q20+R20+S20</f>
        <v>0</v>
      </c>
      <c r="P20" s="142">
        <v>0</v>
      </c>
      <c r="Q20" s="142">
        <v>0</v>
      </c>
      <c r="R20" s="142">
        <v>0</v>
      </c>
      <c r="S20" s="142">
        <v>0</v>
      </c>
      <c r="T20" s="142">
        <f t="shared" ref="T20:T26" si="4">U20+V20+W20+X20</f>
        <v>0</v>
      </c>
      <c r="U20" s="142">
        <v>0</v>
      </c>
      <c r="V20" s="142">
        <v>0</v>
      </c>
      <c r="W20" s="142">
        <v>0</v>
      </c>
      <c r="X20" s="142">
        <v>0</v>
      </c>
      <c r="Y20" s="142">
        <f>Z20+AA20+AB20+AC20</f>
        <v>0</v>
      </c>
      <c r="Z20" s="142">
        <v>0</v>
      </c>
      <c r="AA20" s="142">
        <v>0</v>
      </c>
      <c r="AB20" s="142">
        <v>0</v>
      </c>
      <c r="AC20" s="142">
        <v>0</v>
      </c>
      <c r="AD20" s="142">
        <f t="shared" ref="AD20:AD26" si="5">E20+J20+O20+T20+Y20</f>
        <v>110</v>
      </c>
    </row>
    <row r="21" spans="1:31" ht="69.75">
      <c r="A21" s="155" t="s">
        <v>211</v>
      </c>
      <c r="B21" s="170" t="s">
        <v>122</v>
      </c>
      <c r="C21" s="312" t="s">
        <v>94</v>
      </c>
      <c r="D21" s="141">
        <v>2020</v>
      </c>
      <c r="E21" s="178">
        <f t="shared" si="1"/>
        <v>53</v>
      </c>
      <c r="F21" s="178">
        <v>53</v>
      </c>
      <c r="G21" s="178">
        <v>0</v>
      </c>
      <c r="H21" s="178">
        <v>0</v>
      </c>
      <c r="I21" s="178">
        <v>0</v>
      </c>
      <c r="J21" s="178">
        <f t="shared" si="2"/>
        <v>0</v>
      </c>
      <c r="K21" s="178">
        <v>0</v>
      </c>
      <c r="L21" s="178">
        <v>0</v>
      </c>
      <c r="M21" s="142">
        <v>0</v>
      </c>
      <c r="N21" s="142">
        <v>0</v>
      </c>
      <c r="O21" s="142">
        <f t="shared" si="3"/>
        <v>0</v>
      </c>
      <c r="P21" s="142">
        <v>0</v>
      </c>
      <c r="Q21" s="142">
        <v>0</v>
      </c>
      <c r="R21" s="142">
        <v>0</v>
      </c>
      <c r="S21" s="142">
        <v>0</v>
      </c>
      <c r="T21" s="142">
        <f t="shared" si="4"/>
        <v>0</v>
      </c>
      <c r="U21" s="142">
        <v>0</v>
      </c>
      <c r="V21" s="142">
        <v>0</v>
      </c>
      <c r="W21" s="142">
        <v>0</v>
      </c>
      <c r="X21" s="142">
        <v>0</v>
      </c>
      <c r="Y21" s="142">
        <f>Z21+AA21+AB21+AC21</f>
        <v>0</v>
      </c>
      <c r="Z21" s="142">
        <v>0</v>
      </c>
      <c r="AA21" s="142">
        <v>0</v>
      </c>
      <c r="AB21" s="142">
        <v>0</v>
      </c>
      <c r="AC21" s="142">
        <v>0</v>
      </c>
      <c r="AD21" s="142">
        <f t="shared" si="5"/>
        <v>53</v>
      </c>
    </row>
    <row r="22" spans="1:31" ht="46.5">
      <c r="A22" s="155" t="s">
        <v>212</v>
      </c>
      <c r="B22" s="170" t="s">
        <v>123</v>
      </c>
      <c r="C22" s="312" t="s">
        <v>94</v>
      </c>
      <c r="D22" s="141">
        <v>2020</v>
      </c>
      <c r="E22" s="178">
        <f t="shared" si="1"/>
        <v>130</v>
      </c>
      <c r="F22" s="178">
        <f>112+18</f>
        <v>130</v>
      </c>
      <c r="G22" s="178">
        <v>0</v>
      </c>
      <c r="H22" s="178">
        <v>0</v>
      </c>
      <c r="I22" s="178">
        <v>0</v>
      </c>
      <c r="J22" s="178">
        <f t="shared" si="2"/>
        <v>0</v>
      </c>
      <c r="K22" s="178">
        <v>0</v>
      </c>
      <c r="L22" s="178">
        <v>0</v>
      </c>
      <c r="M22" s="142">
        <v>0</v>
      </c>
      <c r="N22" s="142">
        <v>0</v>
      </c>
      <c r="O22" s="142">
        <f t="shared" si="3"/>
        <v>0</v>
      </c>
      <c r="P22" s="142">
        <v>0</v>
      </c>
      <c r="Q22" s="142">
        <v>0</v>
      </c>
      <c r="R22" s="142">
        <v>0</v>
      </c>
      <c r="S22" s="142">
        <v>0</v>
      </c>
      <c r="T22" s="142">
        <f t="shared" si="4"/>
        <v>0</v>
      </c>
      <c r="U22" s="142">
        <v>0</v>
      </c>
      <c r="V22" s="142">
        <v>0</v>
      </c>
      <c r="W22" s="142">
        <v>0</v>
      </c>
      <c r="X22" s="142">
        <v>0</v>
      </c>
      <c r="Y22" s="142">
        <f>Z22+AA22+AB22+AC22</f>
        <v>0</v>
      </c>
      <c r="Z22" s="142">
        <v>0</v>
      </c>
      <c r="AA22" s="142">
        <v>0</v>
      </c>
      <c r="AB22" s="142">
        <v>0</v>
      </c>
      <c r="AC22" s="142">
        <v>0</v>
      </c>
      <c r="AD22" s="142">
        <f t="shared" si="5"/>
        <v>130</v>
      </c>
    </row>
    <row r="23" spans="1:31" ht="46.5">
      <c r="A23" s="155" t="s">
        <v>213</v>
      </c>
      <c r="B23" s="170" t="s">
        <v>125</v>
      </c>
      <c r="C23" s="312" t="s">
        <v>94</v>
      </c>
      <c r="D23" s="141" t="s">
        <v>164</v>
      </c>
      <c r="E23" s="178">
        <v>120</v>
      </c>
      <c r="F23" s="178">
        <v>120</v>
      </c>
      <c r="G23" s="178">
        <v>0</v>
      </c>
      <c r="H23" s="178">
        <v>0</v>
      </c>
      <c r="I23" s="178">
        <v>0</v>
      </c>
      <c r="J23" s="298">
        <f>K23+L23+M23+N23</f>
        <v>0</v>
      </c>
      <c r="K23" s="298">
        <f>60-60</f>
        <v>0</v>
      </c>
      <c r="L23" s="178">
        <v>0</v>
      </c>
      <c r="M23" s="142">
        <v>0</v>
      </c>
      <c r="N23" s="142">
        <v>0</v>
      </c>
      <c r="O23" s="142">
        <f t="shared" si="3"/>
        <v>0</v>
      </c>
      <c r="P23" s="142">
        <v>0</v>
      </c>
      <c r="Q23" s="142">
        <v>0</v>
      </c>
      <c r="R23" s="142">
        <v>0</v>
      </c>
      <c r="S23" s="142">
        <v>0</v>
      </c>
      <c r="T23" s="142">
        <f t="shared" si="4"/>
        <v>0</v>
      </c>
      <c r="U23" s="142">
        <v>0</v>
      </c>
      <c r="V23" s="142">
        <v>0</v>
      </c>
      <c r="W23" s="142">
        <v>0</v>
      </c>
      <c r="X23" s="142">
        <v>0</v>
      </c>
      <c r="Y23" s="142">
        <v>90</v>
      </c>
      <c r="Z23" s="142">
        <v>90</v>
      </c>
      <c r="AA23" s="142">
        <v>0</v>
      </c>
      <c r="AB23" s="142">
        <v>0</v>
      </c>
      <c r="AC23" s="142">
        <v>0</v>
      </c>
      <c r="AD23" s="142">
        <f t="shared" si="5"/>
        <v>210</v>
      </c>
    </row>
    <row r="24" spans="1:31" ht="37.5" customHeight="1">
      <c r="A24" s="155" t="s">
        <v>214</v>
      </c>
      <c r="B24" s="170" t="s">
        <v>205</v>
      </c>
      <c r="C24" s="312" t="s">
        <v>52</v>
      </c>
      <c r="D24" s="141" t="s">
        <v>287</v>
      </c>
      <c r="E24" s="178">
        <v>23068</v>
      </c>
      <c r="F24" s="178">
        <v>0</v>
      </c>
      <c r="G24" s="178">
        <v>23068</v>
      </c>
      <c r="H24" s="178">
        <v>0</v>
      </c>
      <c r="I24" s="178">
        <v>0</v>
      </c>
      <c r="J24" s="178">
        <f>K24+L24+M24+N24</f>
        <v>23742</v>
      </c>
      <c r="K24" s="178">
        <v>0</v>
      </c>
      <c r="L24" s="178">
        <v>23742</v>
      </c>
      <c r="M24" s="142">
        <v>0</v>
      </c>
      <c r="N24" s="142">
        <v>0</v>
      </c>
      <c r="O24" s="136">
        <f t="shared" si="3"/>
        <v>23742</v>
      </c>
      <c r="P24" s="142">
        <v>0</v>
      </c>
      <c r="Q24" s="136">
        <v>23742</v>
      </c>
      <c r="R24" s="142">
        <v>0</v>
      </c>
      <c r="S24" s="142">
        <v>0</v>
      </c>
      <c r="T24" s="136">
        <f t="shared" si="4"/>
        <v>23742</v>
      </c>
      <c r="U24" s="142">
        <v>0</v>
      </c>
      <c r="V24" s="136">
        <v>23742</v>
      </c>
      <c r="W24" s="142">
        <v>0</v>
      </c>
      <c r="X24" s="142">
        <v>0</v>
      </c>
      <c r="Y24" s="142">
        <v>0</v>
      </c>
      <c r="Z24" s="142">
        <v>0</v>
      </c>
      <c r="AA24" s="142">
        <v>0</v>
      </c>
      <c r="AB24" s="142">
        <v>0</v>
      </c>
      <c r="AC24" s="142">
        <v>0</v>
      </c>
      <c r="AD24" s="142">
        <f>E24+J24+O24+T24+Y24</f>
        <v>94294</v>
      </c>
    </row>
    <row r="25" spans="1:31" ht="46.5">
      <c r="A25" s="155" t="s">
        <v>215</v>
      </c>
      <c r="B25" s="170" t="s">
        <v>198</v>
      </c>
      <c r="C25" s="312" t="s">
        <v>52</v>
      </c>
      <c r="D25" s="141" t="s">
        <v>287</v>
      </c>
      <c r="E25" s="178">
        <v>238</v>
      </c>
      <c r="F25" s="179">
        <v>0</v>
      </c>
      <c r="G25" s="178">
        <v>238</v>
      </c>
      <c r="H25" s="178">
        <v>0</v>
      </c>
      <c r="I25" s="178">
        <v>0</v>
      </c>
      <c r="J25" s="178">
        <f>K25+L25+M25+N25</f>
        <v>476</v>
      </c>
      <c r="K25" s="178">
        <v>0</v>
      </c>
      <c r="L25" s="178">
        <v>476</v>
      </c>
      <c r="M25" s="142">
        <v>0</v>
      </c>
      <c r="N25" s="142">
        <v>0</v>
      </c>
      <c r="O25" s="136">
        <f t="shared" si="3"/>
        <v>476</v>
      </c>
      <c r="P25" s="142">
        <v>0</v>
      </c>
      <c r="Q25" s="136">
        <v>476</v>
      </c>
      <c r="R25" s="142">
        <v>0</v>
      </c>
      <c r="S25" s="142">
        <v>0</v>
      </c>
      <c r="T25" s="136">
        <f t="shared" si="4"/>
        <v>476</v>
      </c>
      <c r="U25" s="142">
        <v>0</v>
      </c>
      <c r="V25" s="136">
        <v>476</v>
      </c>
      <c r="W25" s="142">
        <v>0</v>
      </c>
      <c r="X25" s="142">
        <v>0</v>
      </c>
      <c r="Y25" s="142">
        <v>0</v>
      </c>
      <c r="Z25" s="142">
        <v>0</v>
      </c>
      <c r="AA25" s="142">
        <v>0</v>
      </c>
      <c r="AB25" s="142">
        <v>0</v>
      </c>
      <c r="AC25" s="142">
        <v>0</v>
      </c>
      <c r="AD25" s="142">
        <f>E25+J25+O25+T25+Y25</f>
        <v>1666</v>
      </c>
    </row>
    <row r="26" spans="1:31" ht="46.5">
      <c r="A26" s="155" t="s">
        <v>216</v>
      </c>
      <c r="B26" s="175" t="s">
        <v>217</v>
      </c>
      <c r="C26" s="312" t="s">
        <v>94</v>
      </c>
      <c r="D26" s="141">
        <v>2020</v>
      </c>
      <c r="E26" s="178">
        <f>F26+G26+H26+I26</f>
        <v>120</v>
      </c>
      <c r="F26" s="178">
        <f>300-180</f>
        <v>120</v>
      </c>
      <c r="G26" s="178">
        <v>0</v>
      </c>
      <c r="H26" s="178">
        <v>0</v>
      </c>
      <c r="I26" s="178">
        <v>0</v>
      </c>
      <c r="J26" s="178">
        <f>K26+L26+M26+N26</f>
        <v>0</v>
      </c>
      <c r="K26" s="178">
        <v>0</v>
      </c>
      <c r="L26" s="178">
        <v>0</v>
      </c>
      <c r="M26" s="142">
        <v>0</v>
      </c>
      <c r="N26" s="142">
        <v>0</v>
      </c>
      <c r="O26" s="142">
        <f t="shared" si="3"/>
        <v>0</v>
      </c>
      <c r="P26" s="142">
        <v>0</v>
      </c>
      <c r="Q26" s="142">
        <v>0</v>
      </c>
      <c r="R26" s="142">
        <v>0</v>
      </c>
      <c r="S26" s="142">
        <v>0</v>
      </c>
      <c r="T26" s="142">
        <f t="shared" si="4"/>
        <v>0</v>
      </c>
      <c r="U26" s="142">
        <v>0</v>
      </c>
      <c r="V26" s="142">
        <v>0</v>
      </c>
      <c r="W26" s="142">
        <v>0</v>
      </c>
      <c r="X26" s="142">
        <v>0</v>
      </c>
      <c r="Y26" s="142">
        <f>Z26+AA26+AB26+AC26</f>
        <v>0</v>
      </c>
      <c r="Z26" s="142">
        <v>0</v>
      </c>
      <c r="AA26" s="142">
        <v>0</v>
      </c>
      <c r="AB26" s="142">
        <v>0</v>
      </c>
      <c r="AC26" s="142">
        <v>0</v>
      </c>
      <c r="AD26" s="142">
        <f t="shared" si="5"/>
        <v>120</v>
      </c>
    </row>
    <row r="27" spans="1:31" ht="23.25">
      <c r="A27" s="575" t="s">
        <v>19</v>
      </c>
      <c r="B27" s="575"/>
      <c r="C27" s="575"/>
      <c r="D27" s="206"/>
      <c r="E27" s="148">
        <f>E28+E29+E30</f>
        <v>76431.37</v>
      </c>
      <c r="F27" s="148">
        <f>SUM(F13:F26)</f>
        <v>50955.7</v>
      </c>
      <c r="G27" s="148">
        <f>G28+G29+G30</f>
        <v>23306</v>
      </c>
      <c r="H27" s="148">
        <f>SUM(H13:H17)</f>
        <v>0</v>
      </c>
      <c r="I27" s="148">
        <f>SUM(I13:I17)</f>
        <v>2169.67</v>
      </c>
      <c r="J27" s="148">
        <f>J28+J29+J30</f>
        <v>67699</v>
      </c>
      <c r="K27" s="148">
        <f>K28+K29</f>
        <v>43481</v>
      </c>
      <c r="L27" s="148">
        <f>L13+L14+L15+L16+L17+L18+L19+L20+L21+L22+L23+L24+L25+L26</f>
        <v>24218</v>
      </c>
      <c r="M27" s="148">
        <f>SUM(M13:M17)</f>
        <v>0</v>
      </c>
      <c r="N27" s="148">
        <f>SUM(N13:N17)</f>
        <v>0</v>
      </c>
      <c r="O27" s="258">
        <f>O24+O25</f>
        <v>24218</v>
      </c>
      <c r="P27" s="148">
        <f>P28+P29</f>
        <v>0</v>
      </c>
      <c r="Q27" s="258">
        <f>Q28+Q29+Q30</f>
        <v>24218</v>
      </c>
      <c r="R27" s="148">
        <f>SUM(R13:R17)</f>
        <v>0</v>
      </c>
      <c r="S27" s="148">
        <f>SUM(S13:S17)</f>
        <v>0</v>
      </c>
      <c r="T27" s="258">
        <f>SUM(T13:T26)</f>
        <v>24218</v>
      </c>
      <c r="U27" s="148">
        <f>SUM(U13:U26)</f>
        <v>0</v>
      </c>
      <c r="V27" s="258">
        <f>V28+V29+V30</f>
        <v>24218</v>
      </c>
      <c r="W27" s="148">
        <f>SUM(W13:W16)</f>
        <v>0</v>
      </c>
      <c r="X27" s="148">
        <f>SUM(X13:X16)</f>
        <v>0</v>
      </c>
      <c r="Y27" s="148">
        <f>Y28+Y29</f>
        <v>54395.3</v>
      </c>
      <c r="Z27" s="148">
        <f>Z28+Z29+Z30</f>
        <v>54395.3</v>
      </c>
      <c r="AA27" s="148">
        <f>SUM(AA13:AA17)</f>
        <v>0</v>
      </c>
      <c r="AB27" s="148">
        <f>SUM(AB13:AB17)</f>
        <v>0</v>
      </c>
      <c r="AC27" s="148">
        <f>SUM(AC13:AC17)</f>
        <v>0</v>
      </c>
      <c r="AD27" s="148">
        <f>AD28+AD29+AD30</f>
        <v>246961.66999999998</v>
      </c>
    </row>
    <row r="28" spans="1:31" ht="23.25">
      <c r="A28" s="302" t="s">
        <v>14</v>
      </c>
      <c r="B28" s="305"/>
      <c r="C28" s="306"/>
      <c r="D28" s="157"/>
      <c r="E28" s="142">
        <f>F28+G28+H28+I28</f>
        <v>36295.369999999995</v>
      </c>
      <c r="F28" s="142">
        <f>F13+F14+F16</f>
        <v>34125.699999999997</v>
      </c>
      <c r="G28" s="142">
        <f>G13+G14+G16</f>
        <v>0</v>
      </c>
      <c r="H28" s="142">
        <f>G13+G14+G16</f>
        <v>0</v>
      </c>
      <c r="I28" s="142">
        <f>I14+I16</f>
        <v>2169.67</v>
      </c>
      <c r="J28" s="142">
        <f t="shared" ref="J28:V28" si="6">J13+J14+J16</f>
        <v>26292</v>
      </c>
      <c r="K28" s="142">
        <f t="shared" si="6"/>
        <v>26292</v>
      </c>
      <c r="L28" s="142">
        <f t="shared" si="6"/>
        <v>0</v>
      </c>
      <c r="M28" s="142">
        <f t="shared" si="6"/>
        <v>0</v>
      </c>
      <c r="N28" s="142">
        <f t="shared" si="6"/>
        <v>0</v>
      </c>
      <c r="O28" s="142">
        <f t="shared" si="6"/>
        <v>0</v>
      </c>
      <c r="P28" s="142">
        <f t="shared" si="6"/>
        <v>0</v>
      </c>
      <c r="Q28" s="142">
        <f t="shared" si="6"/>
        <v>0</v>
      </c>
      <c r="R28" s="142">
        <f t="shared" si="6"/>
        <v>0</v>
      </c>
      <c r="S28" s="142">
        <f t="shared" si="6"/>
        <v>0</v>
      </c>
      <c r="T28" s="142">
        <f t="shared" si="6"/>
        <v>0</v>
      </c>
      <c r="U28" s="142">
        <f t="shared" si="6"/>
        <v>0</v>
      </c>
      <c r="V28" s="142">
        <f t="shared" si="6"/>
        <v>0</v>
      </c>
      <c r="W28" s="142">
        <f>W13+W14+W16</f>
        <v>0</v>
      </c>
      <c r="X28" s="142">
        <f t="shared" ref="X28:AC28" si="7">X13+X14+X16</f>
        <v>0</v>
      </c>
      <c r="Y28" s="142">
        <f t="shared" si="7"/>
        <v>35500</v>
      </c>
      <c r="Z28" s="142">
        <f>Z13+Z14+Z16</f>
        <v>35500</v>
      </c>
      <c r="AA28" s="142">
        <f t="shared" si="7"/>
        <v>0</v>
      </c>
      <c r="AB28" s="142">
        <f t="shared" si="7"/>
        <v>0</v>
      </c>
      <c r="AC28" s="142">
        <f t="shared" si="7"/>
        <v>0</v>
      </c>
      <c r="AD28" s="142">
        <f>E28+J28+O28+T28+Y28</f>
        <v>98087.37</v>
      </c>
    </row>
    <row r="29" spans="1:31" ht="23.25">
      <c r="A29" s="302" t="s">
        <v>135</v>
      </c>
      <c r="B29" s="207"/>
      <c r="C29" s="208"/>
      <c r="D29" s="157"/>
      <c r="E29" s="142">
        <f>E15+E17+E18+E19+E20+E21+E22+E23+E26</f>
        <v>16830</v>
      </c>
      <c r="F29" s="142">
        <f>F15+F17+F18+F19+F20+F21+F22+F23+F26</f>
        <v>16830</v>
      </c>
      <c r="G29" s="142">
        <f>G15+G16</f>
        <v>0</v>
      </c>
      <c r="H29" s="142">
        <f>H15+H17+H18+H19+H20+H21+H22+H23+H26</f>
        <v>0</v>
      </c>
      <c r="I29" s="142">
        <f>I15+I17+I17+I18+I19+I20+I21+I22+I23+I26</f>
        <v>0</v>
      </c>
      <c r="J29" s="142">
        <f>J15+J17+J18+J19+J20+J21+J22+J23+J26</f>
        <v>17189</v>
      </c>
      <c r="K29" s="142">
        <f>K15+K17+K18+K19+K20+K21+K22+K23+K26</f>
        <v>17189</v>
      </c>
      <c r="L29" s="142">
        <f>L15+L17+L18+L19+L20+L21+L22+L23+L26</f>
        <v>0</v>
      </c>
      <c r="M29" s="142">
        <f>M24+M25</f>
        <v>0</v>
      </c>
      <c r="N29" s="142">
        <f>N24+N25</f>
        <v>0</v>
      </c>
      <c r="O29" s="142">
        <f>O26+O23+O13+O22+O21+O20+O19+O18+O17+O16+O15</f>
        <v>0</v>
      </c>
      <c r="P29" s="142">
        <f t="shared" ref="P29:AC29" si="8">P15+P17+P18+P19+P20+P21+P22+P23+P26</f>
        <v>0</v>
      </c>
      <c r="Q29" s="142">
        <f t="shared" si="8"/>
        <v>0</v>
      </c>
      <c r="R29" s="142">
        <f t="shared" si="8"/>
        <v>0</v>
      </c>
      <c r="S29" s="142">
        <f t="shared" si="8"/>
        <v>0</v>
      </c>
      <c r="T29" s="142">
        <f t="shared" si="8"/>
        <v>0</v>
      </c>
      <c r="U29" s="142">
        <f>U15+U17+U18+U19+U20+U21+U22+U23+U26</f>
        <v>0</v>
      </c>
      <c r="V29" s="142">
        <f t="shared" si="8"/>
        <v>0</v>
      </c>
      <c r="W29" s="142">
        <f t="shared" si="8"/>
        <v>0</v>
      </c>
      <c r="X29" s="142">
        <f t="shared" si="8"/>
        <v>0</v>
      </c>
      <c r="Y29" s="142">
        <f t="shared" si="8"/>
        <v>18895.3</v>
      </c>
      <c r="Z29" s="142">
        <f>Z15+Z17+Z18+Z19+Z20+Z21+Z22+Z23+Z26</f>
        <v>18895.3</v>
      </c>
      <c r="AA29" s="142">
        <f t="shared" si="8"/>
        <v>0</v>
      </c>
      <c r="AB29" s="142">
        <f t="shared" si="8"/>
        <v>0</v>
      </c>
      <c r="AC29" s="142">
        <f t="shared" si="8"/>
        <v>0</v>
      </c>
      <c r="AD29" s="142">
        <f>E29+J29+O29+T29+Y29</f>
        <v>52914.3</v>
      </c>
      <c r="AE29" s="209"/>
    </row>
    <row r="30" spans="1:31" ht="23.25">
      <c r="A30" s="305" t="s">
        <v>73</v>
      </c>
      <c r="B30" s="306"/>
      <c r="C30" s="306"/>
      <c r="D30" s="210"/>
      <c r="E30" s="142">
        <f t="shared" ref="E30:S30" si="9">E24+E25</f>
        <v>23306</v>
      </c>
      <c r="F30" s="142">
        <f t="shared" si="9"/>
        <v>0</v>
      </c>
      <c r="G30" s="142">
        <f t="shared" si="9"/>
        <v>23306</v>
      </c>
      <c r="H30" s="142">
        <f t="shared" si="9"/>
        <v>0</v>
      </c>
      <c r="I30" s="142">
        <f t="shared" si="9"/>
        <v>0</v>
      </c>
      <c r="J30" s="142">
        <f t="shared" si="9"/>
        <v>24218</v>
      </c>
      <c r="K30" s="142">
        <f t="shared" si="9"/>
        <v>0</v>
      </c>
      <c r="L30" s="142">
        <f t="shared" si="9"/>
        <v>24218</v>
      </c>
      <c r="M30" s="142">
        <f t="shared" si="9"/>
        <v>0</v>
      </c>
      <c r="N30" s="142">
        <f t="shared" si="9"/>
        <v>0</v>
      </c>
      <c r="O30" s="136">
        <f t="shared" si="9"/>
        <v>24218</v>
      </c>
      <c r="P30" s="142">
        <f t="shared" si="9"/>
        <v>0</v>
      </c>
      <c r="Q30" s="136">
        <f>Q24+Q25</f>
        <v>24218</v>
      </c>
      <c r="R30" s="142">
        <f t="shared" si="9"/>
        <v>0</v>
      </c>
      <c r="S30" s="142">
        <f t="shared" si="9"/>
        <v>0</v>
      </c>
      <c r="T30" s="136">
        <f>T24+T25</f>
        <v>24218</v>
      </c>
      <c r="U30" s="142">
        <f>U25+U24</f>
        <v>0</v>
      </c>
      <c r="V30" s="136">
        <f>V24+V25</f>
        <v>24218</v>
      </c>
      <c r="W30" s="142">
        <f t="shared" ref="W30:AC30" si="10">W24+W25</f>
        <v>0</v>
      </c>
      <c r="X30" s="142">
        <f t="shared" si="10"/>
        <v>0</v>
      </c>
      <c r="Y30" s="142">
        <f t="shared" si="10"/>
        <v>0</v>
      </c>
      <c r="Z30" s="142">
        <f t="shared" si="10"/>
        <v>0</v>
      </c>
      <c r="AA30" s="142">
        <f t="shared" si="10"/>
        <v>0</v>
      </c>
      <c r="AB30" s="142">
        <f t="shared" si="10"/>
        <v>0</v>
      </c>
      <c r="AC30" s="142">
        <f t="shared" si="10"/>
        <v>0</v>
      </c>
      <c r="AD30" s="142">
        <f>E30+J30+O30+T30+Y30</f>
        <v>95960</v>
      </c>
      <c r="AE30" s="209"/>
    </row>
    <row r="31" spans="1:31" ht="23.25" customHeight="1">
      <c r="A31" s="41" t="s">
        <v>222</v>
      </c>
      <c r="B31" s="628" t="s">
        <v>276</v>
      </c>
      <c r="C31" s="629"/>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4"/>
    </row>
    <row r="32" spans="1:31" ht="93">
      <c r="A32" s="155" t="s">
        <v>21</v>
      </c>
      <c r="B32" s="185" t="s">
        <v>192</v>
      </c>
      <c r="C32" s="41" t="s">
        <v>94</v>
      </c>
      <c r="D32" s="41" t="s">
        <v>93</v>
      </c>
      <c r="E32" s="142">
        <f>F32+G32+H32+I32</f>
        <v>1892</v>
      </c>
      <c r="F32" s="142">
        <f>2664-772</f>
        <v>1892</v>
      </c>
      <c r="G32" s="142">
        <v>0</v>
      </c>
      <c r="H32" s="142">
        <v>0</v>
      </c>
      <c r="I32" s="142">
        <v>0</v>
      </c>
      <c r="J32" s="282">
        <f>K32+L32+M32+N32</f>
        <v>1072</v>
      </c>
      <c r="K32" s="282">
        <f>1892-286-534</f>
        <v>1072</v>
      </c>
      <c r="L32" s="142">
        <v>0</v>
      </c>
      <c r="M32" s="142">
        <v>0</v>
      </c>
      <c r="N32" s="142">
        <v>0</v>
      </c>
      <c r="O32" s="142">
        <f>P32+Q32+R32+S32</f>
        <v>0</v>
      </c>
      <c r="P32" s="142">
        <v>0</v>
      </c>
      <c r="Q32" s="142">
        <v>0</v>
      </c>
      <c r="R32" s="142">
        <v>0</v>
      </c>
      <c r="S32" s="142">
        <v>0</v>
      </c>
      <c r="T32" s="142">
        <f>U32+V32+W32+X32</f>
        <v>0</v>
      </c>
      <c r="U32" s="142">
        <v>0</v>
      </c>
      <c r="V32" s="142">
        <v>0</v>
      </c>
      <c r="W32" s="142">
        <v>0</v>
      </c>
      <c r="X32" s="142">
        <v>0</v>
      </c>
      <c r="Y32" s="142">
        <f>Z32+AA32+AB32+AC32</f>
        <v>2664</v>
      </c>
      <c r="Z32" s="142">
        <v>2664</v>
      </c>
      <c r="AA32" s="142">
        <v>0</v>
      </c>
      <c r="AB32" s="142">
        <v>0</v>
      </c>
      <c r="AC32" s="142">
        <v>0</v>
      </c>
      <c r="AD32" s="142">
        <f>E32+J32+O32+T32+Y32</f>
        <v>5628</v>
      </c>
    </row>
    <row r="33" spans="1:31" ht="20.25">
      <c r="A33" s="602" t="s">
        <v>22</v>
      </c>
      <c r="B33" s="603"/>
      <c r="C33" s="604"/>
      <c r="D33" s="304"/>
      <c r="E33" s="148">
        <f>E32</f>
        <v>1892</v>
      </c>
      <c r="F33" s="148">
        <f>SUM(F32)</f>
        <v>1892</v>
      </c>
      <c r="G33" s="148">
        <f t="shared" ref="G33:AD33" si="11">SUM(G32:G32)</f>
        <v>0</v>
      </c>
      <c r="H33" s="148">
        <f t="shared" si="11"/>
        <v>0</v>
      </c>
      <c r="I33" s="148">
        <f t="shared" si="11"/>
        <v>0</v>
      </c>
      <c r="J33" s="148">
        <f>J32</f>
        <v>1072</v>
      </c>
      <c r="K33" s="148">
        <f t="shared" si="11"/>
        <v>1072</v>
      </c>
      <c r="L33" s="148">
        <f t="shared" si="11"/>
        <v>0</v>
      </c>
      <c r="M33" s="148">
        <f t="shared" si="11"/>
        <v>0</v>
      </c>
      <c r="N33" s="148">
        <f t="shared" si="11"/>
        <v>0</v>
      </c>
      <c r="O33" s="148">
        <f t="shared" si="11"/>
        <v>0</v>
      </c>
      <c r="P33" s="148">
        <f t="shared" si="11"/>
        <v>0</v>
      </c>
      <c r="Q33" s="148">
        <f t="shared" si="11"/>
        <v>0</v>
      </c>
      <c r="R33" s="148">
        <f t="shared" si="11"/>
        <v>0</v>
      </c>
      <c r="S33" s="148">
        <f t="shared" si="11"/>
        <v>0</v>
      </c>
      <c r="T33" s="148">
        <f t="shared" si="11"/>
        <v>0</v>
      </c>
      <c r="U33" s="148">
        <f t="shared" si="11"/>
        <v>0</v>
      </c>
      <c r="V33" s="148">
        <f t="shared" si="11"/>
        <v>0</v>
      </c>
      <c r="W33" s="148">
        <f t="shared" si="11"/>
        <v>0</v>
      </c>
      <c r="X33" s="148">
        <f t="shared" si="11"/>
        <v>0</v>
      </c>
      <c r="Y33" s="148">
        <f t="shared" si="11"/>
        <v>2664</v>
      </c>
      <c r="Z33" s="148">
        <f t="shared" si="11"/>
        <v>2664</v>
      </c>
      <c r="AA33" s="148">
        <f t="shared" si="11"/>
        <v>0</v>
      </c>
      <c r="AB33" s="148">
        <f t="shared" si="11"/>
        <v>0</v>
      </c>
      <c r="AC33" s="148">
        <f t="shared" si="11"/>
        <v>0</v>
      </c>
      <c r="AD33" s="148">
        <f t="shared" si="11"/>
        <v>5628</v>
      </c>
    </row>
    <row r="34" spans="1:31" ht="20.25">
      <c r="A34" s="41" t="s">
        <v>229</v>
      </c>
      <c r="B34" s="605" t="s">
        <v>277</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7"/>
    </row>
    <row r="35" spans="1:31" ht="46.5">
      <c r="A35" s="155" t="s">
        <v>24</v>
      </c>
      <c r="B35" s="185" t="s">
        <v>288</v>
      </c>
      <c r="C35" s="205" t="s">
        <v>94</v>
      </c>
      <c r="D35" s="41" t="s">
        <v>93</v>
      </c>
      <c r="E35" s="142">
        <f>F35+G35+H35+I35</f>
        <v>2949</v>
      </c>
      <c r="F35" s="142">
        <v>2949</v>
      </c>
      <c r="G35" s="142">
        <v>0</v>
      </c>
      <c r="H35" s="142">
        <v>0</v>
      </c>
      <c r="I35" s="142">
        <v>0</v>
      </c>
      <c r="J35" s="282">
        <f>K35+L35+M35+N35</f>
        <v>2313</v>
      </c>
      <c r="K35" s="282">
        <f>1775+587-49</f>
        <v>2313</v>
      </c>
      <c r="L35" s="142">
        <v>0</v>
      </c>
      <c r="M35" s="142">
        <v>0</v>
      </c>
      <c r="N35" s="142">
        <v>0</v>
      </c>
      <c r="O35" s="142">
        <f xml:space="preserve"> SUM(P35:S35)</f>
        <v>0</v>
      </c>
      <c r="P35" s="142">
        <v>0</v>
      </c>
      <c r="Q35" s="142">
        <f>SUM(Q36,Q37,Q38,Q39)</f>
        <v>0</v>
      </c>
      <c r="R35" s="142">
        <f>SUM(R36,R37,R38,R39)</f>
        <v>0</v>
      </c>
      <c r="S35" s="142">
        <f>SUM(S36,S37,S38,S39)</f>
        <v>0</v>
      </c>
      <c r="T35" s="142">
        <f xml:space="preserve"> SUM(U35:X35)</f>
        <v>0</v>
      </c>
      <c r="U35" s="142">
        <v>0</v>
      </c>
      <c r="V35" s="142">
        <f>SUM(V36,V37,V38,V39)</f>
        <v>0</v>
      </c>
      <c r="W35" s="142">
        <f>SUM(W36,W37,W38,W39)</f>
        <v>0</v>
      </c>
      <c r="X35" s="142">
        <f>SUM(X36,X37,X38,X39)</f>
        <v>0</v>
      </c>
      <c r="Y35" s="142">
        <f xml:space="preserve"> SUM(Z35:AC35)</f>
        <v>3306</v>
      </c>
      <c r="Z35" s="142">
        <v>3306</v>
      </c>
      <c r="AA35" s="142">
        <f>SUM(AA36,AA37,AA38,AA39)</f>
        <v>0</v>
      </c>
      <c r="AB35" s="142">
        <f>SUM(AB36,AB37,AB38,AB39)</f>
        <v>0</v>
      </c>
      <c r="AC35" s="142">
        <f>SUM(AC36,AC37,AC38,AC39)</f>
        <v>0</v>
      </c>
      <c r="AD35" s="142">
        <f>E35+J35+O35+T35+Y35</f>
        <v>8568</v>
      </c>
    </row>
    <row r="36" spans="1:31" ht="139.5">
      <c r="A36" s="155" t="s">
        <v>151</v>
      </c>
      <c r="B36" s="175" t="s">
        <v>76</v>
      </c>
      <c r="C36" s="205" t="s">
        <v>94</v>
      </c>
      <c r="D36" s="41" t="s">
        <v>93</v>
      </c>
      <c r="E36" s="142">
        <f t="shared" ref="E36:E46" si="12">F36+G36+H36+I36</f>
        <v>9</v>
      </c>
      <c r="F36" s="142">
        <v>9</v>
      </c>
      <c r="G36" s="142">
        <v>0</v>
      </c>
      <c r="H36" s="142">
        <v>0</v>
      </c>
      <c r="I36" s="142">
        <v>0</v>
      </c>
      <c r="J36" s="142">
        <f t="shared" ref="J36:J46" si="13">K36+L36+M36+N36</f>
        <v>9</v>
      </c>
      <c r="K36" s="142">
        <v>9</v>
      </c>
      <c r="L36" s="142">
        <v>0</v>
      </c>
      <c r="M36" s="142">
        <v>0</v>
      </c>
      <c r="N36" s="142">
        <v>0</v>
      </c>
      <c r="O36" s="142">
        <f t="shared" ref="O36:O46" si="14">P36+Q36+R36+S36</f>
        <v>0</v>
      </c>
      <c r="P36" s="142">
        <v>0</v>
      </c>
      <c r="Q36" s="142">
        <v>0</v>
      </c>
      <c r="R36" s="142">
        <v>0</v>
      </c>
      <c r="S36" s="142">
        <v>0</v>
      </c>
      <c r="T36" s="142">
        <f t="shared" ref="T36:T46" si="15">U36+V36+W36+X36</f>
        <v>0</v>
      </c>
      <c r="U36" s="142">
        <v>0</v>
      </c>
      <c r="V36" s="142">
        <v>0</v>
      </c>
      <c r="W36" s="142">
        <v>0</v>
      </c>
      <c r="X36" s="142">
        <v>0</v>
      </c>
      <c r="Y36" s="142">
        <f t="shared" ref="Y36:Y46" si="16">Z36+AA36+AB36+AC36</f>
        <v>9</v>
      </c>
      <c r="Z36" s="142">
        <v>9</v>
      </c>
      <c r="AA36" s="142">
        <v>0</v>
      </c>
      <c r="AB36" s="142">
        <v>0</v>
      </c>
      <c r="AC36" s="142">
        <v>0</v>
      </c>
      <c r="AD36" s="142">
        <f t="shared" ref="AD36:AD48" si="17">E36+J36+O36+T36+Y36</f>
        <v>27</v>
      </c>
    </row>
    <row r="37" spans="1:31" ht="37.5" customHeight="1">
      <c r="A37" s="155" t="s">
        <v>235</v>
      </c>
      <c r="B37" s="175" t="s">
        <v>71</v>
      </c>
      <c r="C37" s="41" t="s">
        <v>94</v>
      </c>
      <c r="D37" s="41" t="s">
        <v>168</v>
      </c>
      <c r="E37" s="142">
        <f t="shared" si="12"/>
        <v>426</v>
      </c>
      <c r="F37" s="142">
        <v>426</v>
      </c>
      <c r="G37" s="142">
        <v>0</v>
      </c>
      <c r="H37" s="142">
        <v>0</v>
      </c>
      <c r="I37" s="142">
        <v>0</v>
      </c>
      <c r="J37" s="142">
        <f t="shared" si="13"/>
        <v>0</v>
      </c>
      <c r="K37" s="142">
        <v>0</v>
      </c>
      <c r="L37" s="142">
        <v>0</v>
      </c>
      <c r="M37" s="142">
        <v>0</v>
      </c>
      <c r="N37" s="142">
        <v>0</v>
      </c>
      <c r="O37" s="142">
        <f t="shared" si="14"/>
        <v>0</v>
      </c>
      <c r="P37" s="142">
        <v>0</v>
      </c>
      <c r="Q37" s="142">
        <v>0</v>
      </c>
      <c r="R37" s="142">
        <v>0</v>
      </c>
      <c r="S37" s="142">
        <v>0</v>
      </c>
      <c r="T37" s="142">
        <f t="shared" si="15"/>
        <v>0</v>
      </c>
      <c r="U37" s="142">
        <v>0</v>
      </c>
      <c r="V37" s="142">
        <v>0</v>
      </c>
      <c r="W37" s="142">
        <v>0</v>
      </c>
      <c r="X37" s="142">
        <v>0</v>
      </c>
      <c r="Y37" s="142">
        <f t="shared" si="16"/>
        <v>0</v>
      </c>
      <c r="Z37" s="142">
        <v>0</v>
      </c>
      <c r="AA37" s="142">
        <v>0</v>
      </c>
      <c r="AB37" s="142">
        <v>0</v>
      </c>
      <c r="AC37" s="142">
        <v>0</v>
      </c>
      <c r="AD37" s="142">
        <f>E37+J37+O37+T37+Y37</f>
        <v>426</v>
      </c>
    </row>
    <row r="38" spans="1:31" ht="23.25" customHeight="1">
      <c r="A38" s="155" t="s">
        <v>236</v>
      </c>
      <c r="B38" s="175" t="s">
        <v>110</v>
      </c>
      <c r="C38" s="608" t="s">
        <v>105</v>
      </c>
      <c r="D38" s="41" t="s">
        <v>93</v>
      </c>
      <c r="E38" s="142">
        <f t="shared" si="12"/>
        <v>3304</v>
      </c>
      <c r="F38" s="142">
        <v>3304</v>
      </c>
      <c r="G38" s="142">
        <v>0</v>
      </c>
      <c r="H38" s="142">
        <v>0</v>
      </c>
      <c r="I38" s="142">
        <v>0</v>
      </c>
      <c r="J38" s="142">
        <f t="shared" si="13"/>
        <v>3080</v>
      </c>
      <c r="K38" s="142">
        <f>3304-224</f>
        <v>3080</v>
      </c>
      <c r="L38" s="142">
        <v>0</v>
      </c>
      <c r="M38" s="142">
        <v>0</v>
      </c>
      <c r="N38" s="142">
        <v>0</v>
      </c>
      <c r="O38" s="142">
        <f t="shared" si="14"/>
        <v>0</v>
      </c>
      <c r="P38" s="142">
        <v>0</v>
      </c>
      <c r="Q38" s="142">
        <v>0</v>
      </c>
      <c r="R38" s="142">
        <v>0</v>
      </c>
      <c r="S38" s="142">
        <v>0</v>
      </c>
      <c r="T38" s="142">
        <f t="shared" si="15"/>
        <v>0</v>
      </c>
      <c r="U38" s="142">
        <v>0</v>
      </c>
      <c r="V38" s="142">
        <v>0</v>
      </c>
      <c r="W38" s="142">
        <v>0</v>
      </c>
      <c r="X38" s="142">
        <v>0</v>
      </c>
      <c r="Y38" s="142">
        <f t="shared" si="16"/>
        <v>3304</v>
      </c>
      <c r="Z38" s="142">
        <v>3304</v>
      </c>
      <c r="AA38" s="142">
        <v>0</v>
      </c>
      <c r="AB38" s="142">
        <v>0</v>
      </c>
      <c r="AC38" s="142">
        <v>0</v>
      </c>
      <c r="AD38" s="142">
        <f>E38+J38+O38+T38+Y38</f>
        <v>9688</v>
      </c>
    </row>
    <row r="39" spans="1:31" ht="93">
      <c r="A39" s="155" t="s">
        <v>237</v>
      </c>
      <c r="B39" s="175" t="s">
        <v>191</v>
      </c>
      <c r="C39" s="609"/>
      <c r="D39" s="41" t="s">
        <v>283</v>
      </c>
      <c r="E39" s="142">
        <f t="shared" si="12"/>
        <v>378</v>
      </c>
      <c r="F39" s="142">
        <v>378</v>
      </c>
      <c r="G39" s="142">
        <v>0</v>
      </c>
      <c r="H39" s="142">
        <v>0</v>
      </c>
      <c r="I39" s="142">
        <v>0</v>
      </c>
      <c r="J39" s="142">
        <f t="shared" si="13"/>
        <v>419</v>
      </c>
      <c r="K39" s="142">
        <f>324+95</f>
        <v>419</v>
      </c>
      <c r="L39" s="142">
        <v>0</v>
      </c>
      <c r="M39" s="142">
        <v>0</v>
      </c>
      <c r="N39" s="142">
        <v>0</v>
      </c>
      <c r="O39" s="142">
        <f t="shared" si="14"/>
        <v>0</v>
      </c>
      <c r="P39" s="142">
        <v>0</v>
      </c>
      <c r="Q39" s="142">
        <v>0</v>
      </c>
      <c r="R39" s="142">
        <v>0</v>
      </c>
      <c r="S39" s="142">
        <v>0</v>
      </c>
      <c r="T39" s="142">
        <f t="shared" si="15"/>
        <v>0</v>
      </c>
      <c r="U39" s="142">
        <v>0</v>
      </c>
      <c r="V39" s="142">
        <v>0</v>
      </c>
      <c r="W39" s="142">
        <v>0</v>
      </c>
      <c r="X39" s="142">
        <v>0</v>
      </c>
      <c r="Y39" s="142">
        <f t="shared" si="16"/>
        <v>378</v>
      </c>
      <c r="Z39" s="142">
        <v>378</v>
      </c>
      <c r="AA39" s="142">
        <v>0</v>
      </c>
      <c r="AB39" s="142">
        <v>0</v>
      </c>
      <c r="AC39" s="142">
        <v>0</v>
      </c>
      <c r="AD39" s="142">
        <f>E39+J39+O39+T39+Y39</f>
        <v>1175</v>
      </c>
    </row>
    <row r="40" spans="1:31" ht="93">
      <c r="A40" s="155" t="s">
        <v>238</v>
      </c>
      <c r="B40" s="175" t="s">
        <v>77</v>
      </c>
      <c r="C40" s="205" t="s">
        <v>94</v>
      </c>
      <c r="D40" s="41" t="s">
        <v>93</v>
      </c>
      <c r="E40" s="142">
        <f t="shared" si="12"/>
        <v>12</v>
      </c>
      <c r="F40" s="142">
        <v>12</v>
      </c>
      <c r="G40" s="142">
        <v>0</v>
      </c>
      <c r="H40" s="142">
        <v>0</v>
      </c>
      <c r="I40" s="142">
        <v>0</v>
      </c>
      <c r="J40" s="142">
        <f t="shared" si="13"/>
        <v>12</v>
      </c>
      <c r="K40" s="142">
        <v>12</v>
      </c>
      <c r="L40" s="142">
        <v>0</v>
      </c>
      <c r="M40" s="142">
        <v>0</v>
      </c>
      <c r="N40" s="142">
        <v>0</v>
      </c>
      <c r="O40" s="142">
        <f t="shared" si="14"/>
        <v>0</v>
      </c>
      <c r="P40" s="142">
        <v>0</v>
      </c>
      <c r="Q40" s="142">
        <v>0</v>
      </c>
      <c r="R40" s="142">
        <v>0</v>
      </c>
      <c r="S40" s="142">
        <v>0</v>
      </c>
      <c r="T40" s="142">
        <f t="shared" si="15"/>
        <v>0</v>
      </c>
      <c r="U40" s="142">
        <v>0</v>
      </c>
      <c r="V40" s="142">
        <v>0</v>
      </c>
      <c r="W40" s="142">
        <v>0</v>
      </c>
      <c r="X40" s="142">
        <v>0</v>
      </c>
      <c r="Y40" s="142">
        <f t="shared" si="16"/>
        <v>12</v>
      </c>
      <c r="Z40" s="142">
        <v>12</v>
      </c>
      <c r="AA40" s="142">
        <v>0</v>
      </c>
      <c r="AB40" s="142">
        <v>0</v>
      </c>
      <c r="AC40" s="142">
        <v>0</v>
      </c>
      <c r="AD40" s="142">
        <f t="shared" si="17"/>
        <v>36</v>
      </c>
    </row>
    <row r="41" spans="1:31" ht="93" customHeight="1">
      <c r="A41" s="155" t="s">
        <v>239</v>
      </c>
      <c r="B41" s="175" t="s">
        <v>265</v>
      </c>
      <c r="C41" s="610" t="s">
        <v>105</v>
      </c>
      <c r="D41" s="41" t="s">
        <v>168</v>
      </c>
      <c r="E41" s="142">
        <f t="shared" si="12"/>
        <v>50</v>
      </c>
      <c r="F41" s="142">
        <v>50</v>
      </c>
      <c r="G41" s="142">
        <v>0</v>
      </c>
      <c r="H41" s="142">
        <v>0</v>
      </c>
      <c r="I41" s="142">
        <v>0</v>
      </c>
      <c r="J41" s="142">
        <f t="shared" si="13"/>
        <v>0</v>
      </c>
      <c r="K41" s="142">
        <v>0</v>
      </c>
      <c r="L41" s="142">
        <v>0</v>
      </c>
      <c r="M41" s="142">
        <v>0</v>
      </c>
      <c r="N41" s="142">
        <v>0</v>
      </c>
      <c r="O41" s="142">
        <f t="shared" si="14"/>
        <v>0</v>
      </c>
      <c r="P41" s="142">
        <v>0</v>
      </c>
      <c r="Q41" s="142">
        <v>0</v>
      </c>
      <c r="R41" s="142">
        <v>0</v>
      </c>
      <c r="S41" s="142">
        <v>0</v>
      </c>
      <c r="T41" s="142">
        <f t="shared" si="15"/>
        <v>0</v>
      </c>
      <c r="U41" s="142">
        <v>0</v>
      </c>
      <c r="V41" s="142">
        <v>0</v>
      </c>
      <c r="W41" s="142">
        <v>0</v>
      </c>
      <c r="X41" s="142">
        <v>0</v>
      </c>
      <c r="Y41" s="142">
        <f t="shared" si="16"/>
        <v>0</v>
      </c>
      <c r="Z41" s="142">
        <v>0</v>
      </c>
      <c r="AA41" s="142">
        <v>0</v>
      </c>
      <c r="AB41" s="142">
        <v>0</v>
      </c>
      <c r="AC41" s="142">
        <v>0</v>
      </c>
      <c r="AD41" s="142">
        <f t="shared" si="17"/>
        <v>50</v>
      </c>
    </row>
    <row r="42" spans="1:31" ht="69.75">
      <c r="A42" s="155" t="s">
        <v>240</v>
      </c>
      <c r="B42" s="175" t="s">
        <v>111</v>
      </c>
      <c r="C42" s="611"/>
      <c r="D42" s="41" t="s">
        <v>168</v>
      </c>
      <c r="E42" s="142">
        <f t="shared" si="12"/>
        <v>50</v>
      </c>
      <c r="F42" s="142">
        <v>50</v>
      </c>
      <c r="G42" s="142">
        <v>0</v>
      </c>
      <c r="H42" s="142">
        <v>0</v>
      </c>
      <c r="I42" s="142">
        <v>0</v>
      </c>
      <c r="J42" s="142">
        <f t="shared" si="13"/>
        <v>50</v>
      </c>
      <c r="K42" s="142">
        <v>50</v>
      </c>
      <c r="L42" s="142">
        <v>0</v>
      </c>
      <c r="M42" s="142">
        <v>0</v>
      </c>
      <c r="N42" s="142">
        <v>0</v>
      </c>
      <c r="O42" s="142">
        <f t="shared" si="14"/>
        <v>0</v>
      </c>
      <c r="P42" s="142">
        <v>0</v>
      </c>
      <c r="Q42" s="142">
        <v>0</v>
      </c>
      <c r="R42" s="142">
        <v>0</v>
      </c>
      <c r="S42" s="142">
        <v>0</v>
      </c>
      <c r="T42" s="142">
        <f t="shared" si="15"/>
        <v>0</v>
      </c>
      <c r="U42" s="142">
        <v>0</v>
      </c>
      <c r="V42" s="142">
        <v>0</v>
      </c>
      <c r="W42" s="142">
        <v>0</v>
      </c>
      <c r="X42" s="142">
        <v>0</v>
      </c>
      <c r="Y42" s="142">
        <f t="shared" si="16"/>
        <v>0</v>
      </c>
      <c r="Z42" s="142">
        <v>0</v>
      </c>
      <c r="AA42" s="142">
        <v>0</v>
      </c>
      <c r="AB42" s="142">
        <v>0</v>
      </c>
      <c r="AC42" s="142">
        <v>0</v>
      </c>
      <c r="AD42" s="142">
        <f t="shared" si="17"/>
        <v>100</v>
      </c>
    </row>
    <row r="43" spans="1:31" ht="93">
      <c r="A43" s="155" t="s">
        <v>241</v>
      </c>
      <c r="B43" s="175" t="s">
        <v>112</v>
      </c>
      <c r="C43" s="611"/>
      <c r="D43" s="41" t="s">
        <v>93</v>
      </c>
      <c r="E43" s="142">
        <f t="shared" si="12"/>
        <v>810</v>
      </c>
      <c r="F43" s="142">
        <f>480+330</f>
        <v>810</v>
      </c>
      <c r="G43" s="142">
        <v>0</v>
      </c>
      <c r="H43" s="142">
        <v>0</v>
      </c>
      <c r="I43" s="142">
        <v>0</v>
      </c>
      <c r="J43" s="142">
        <f>K43+L43+M43+N43</f>
        <v>770</v>
      </c>
      <c r="K43" s="142">
        <f>720+50</f>
        <v>770</v>
      </c>
      <c r="L43" s="142">
        <v>0</v>
      </c>
      <c r="M43" s="142">
        <v>0</v>
      </c>
      <c r="N43" s="142">
        <v>0</v>
      </c>
      <c r="O43" s="142">
        <f t="shared" si="14"/>
        <v>0</v>
      </c>
      <c r="P43" s="142">
        <v>0</v>
      </c>
      <c r="Q43" s="142">
        <v>0</v>
      </c>
      <c r="R43" s="142">
        <v>0</v>
      </c>
      <c r="S43" s="142">
        <v>0</v>
      </c>
      <c r="T43" s="142">
        <f t="shared" si="15"/>
        <v>0</v>
      </c>
      <c r="U43" s="142">
        <v>0</v>
      </c>
      <c r="V43" s="142">
        <v>0</v>
      </c>
      <c r="W43" s="142">
        <v>0</v>
      </c>
      <c r="X43" s="142">
        <v>0</v>
      </c>
      <c r="Y43" s="142">
        <f t="shared" si="16"/>
        <v>480</v>
      </c>
      <c r="Z43" s="142">
        <v>480</v>
      </c>
      <c r="AA43" s="142">
        <v>0</v>
      </c>
      <c r="AB43" s="142">
        <v>0</v>
      </c>
      <c r="AC43" s="142">
        <v>0</v>
      </c>
      <c r="AD43" s="142">
        <f>E43+J43+O43+T43+Y43</f>
        <v>2060</v>
      </c>
    </row>
    <row r="44" spans="1:31" ht="116.25">
      <c r="A44" s="211" t="s">
        <v>242</v>
      </c>
      <c r="B44" s="175" t="s">
        <v>113</v>
      </c>
      <c r="C44" s="611"/>
      <c r="D44" s="41" t="s">
        <v>168</v>
      </c>
      <c r="E44" s="142">
        <f t="shared" si="12"/>
        <v>30</v>
      </c>
      <c r="F44" s="142">
        <v>30</v>
      </c>
      <c r="G44" s="142">
        <v>0</v>
      </c>
      <c r="H44" s="142">
        <v>0</v>
      </c>
      <c r="I44" s="142">
        <v>0</v>
      </c>
      <c r="J44" s="142">
        <f t="shared" si="13"/>
        <v>10</v>
      </c>
      <c r="K44" s="142">
        <v>10</v>
      </c>
      <c r="L44" s="142">
        <v>0</v>
      </c>
      <c r="M44" s="142">
        <v>0</v>
      </c>
      <c r="N44" s="142">
        <v>0</v>
      </c>
      <c r="O44" s="142">
        <f t="shared" si="14"/>
        <v>0</v>
      </c>
      <c r="P44" s="142">
        <v>0</v>
      </c>
      <c r="Q44" s="142">
        <v>0</v>
      </c>
      <c r="R44" s="142">
        <v>0</v>
      </c>
      <c r="S44" s="142">
        <v>0</v>
      </c>
      <c r="T44" s="142">
        <f t="shared" si="15"/>
        <v>0</v>
      </c>
      <c r="U44" s="142">
        <v>0</v>
      </c>
      <c r="V44" s="142">
        <v>0</v>
      </c>
      <c r="W44" s="142">
        <v>0</v>
      </c>
      <c r="X44" s="142">
        <v>0</v>
      </c>
      <c r="Y44" s="142">
        <f t="shared" si="16"/>
        <v>0</v>
      </c>
      <c r="Z44" s="142">
        <v>0</v>
      </c>
      <c r="AA44" s="142">
        <v>0</v>
      </c>
      <c r="AB44" s="142">
        <v>0</v>
      </c>
      <c r="AC44" s="142">
        <v>0</v>
      </c>
      <c r="AD44" s="142">
        <f t="shared" si="17"/>
        <v>40</v>
      </c>
    </row>
    <row r="45" spans="1:31" ht="69.75">
      <c r="A45" s="155" t="s">
        <v>243</v>
      </c>
      <c r="B45" s="175" t="s">
        <v>114</v>
      </c>
      <c r="C45" s="612"/>
      <c r="D45" s="41" t="s">
        <v>168</v>
      </c>
      <c r="E45" s="142">
        <f t="shared" si="12"/>
        <v>50</v>
      </c>
      <c r="F45" s="142">
        <v>50</v>
      </c>
      <c r="G45" s="142">
        <v>0</v>
      </c>
      <c r="H45" s="142">
        <v>0</v>
      </c>
      <c r="I45" s="142">
        <v>0</v>
      </c>
      <c r="J45" s="142">
        <f t="shared" si="13"/>
        <v>50</v>
      </c>
      <c r="K45" s="142">
        <v>50</v>
      </c>
      <c r="L45" s="142">
        <v>0</v>
      </c>
      <c r="M45" s="142">
        <v>0</v>
      </c>
      <c r="N45" s="142">
        <v>0</v>
      </c>
      <c r="O45" s="142">
        <f t="shared" si="14"/>
        <v>0</v>
      </c>
      <c r="P45" s="142">
        <v>0</v>
      </c>
      <c r="Q45" s="142">
        <v>0</v>
      </c>
      <c r="R45" s="142">
        <v>0</v>
      </c>
      <c r="S45" s="142">
        <v>0</v>
      </c>
      <c r="T45" s="142">
        <f t="shared" si="15"/>
        <v>0</v>
      </c>
      <c r="U45" s="142">
        <v>0</v>
      </c>
      <c r="V45" s="142">
        <v>0</v>
      </c>
      <c r="W45" s="142">
        <v>0</v>
      </c>
      <c r="X45" s="142">
        <v>0</v>
      </c>
      <c r="Y45" s="142">
        <f t="shared" si="16"/>
        <v>0</v>
      </c>
      <c r="Z45" s="142">
        <v>0</v>
      </c>
      <c r="AA45" s="142">
        <v>0</v>
      </c>
      <c r="AB45" s="142">
        <v>0</v>
      </c>
      <c r="AC45" s="142">
        <v>0</v>
      </c>
      <c r="AD45" s="142">
        <f t="shared" si="17"/>
        <v>100</v>
      </c>
    </row>
    <row r="46" spans="1:31" ht="69.75">
      <c r="A46" s="155" t="s">
        <v>244</v>
      </c>
      <c r="B46" s="175" t="s">
        <v>78</v>
      </c>
      <c r="C46" s="41" t="s">
        <v>18</v>
      </c>
      <c r="D46" s="41" t="s">
        <v>93</v>
      </c>
      <c r="E46" s="142">
        <f t="shared" si="12"/>
        <v>96</v>
      </c>
      <c r="F46" s="142">
        <f>96</f>
        <v>96</v>
      </c>
      <c r="G46" s="142">
        <v>0</v>
      </c>
      <c r="H46" s="142">
        <v>0</v>
      </c>
      <c r="I46" s="142">
        <v>0</v>
      </c>
      <c r="J46" s="299">
        <f t="shared" si="13"/>
        <v>43</v>
      </c>
      <c r="K46" s="299">
        <f>68-25</f>
        <v>43</v>
      </c>
      <c r="L46" s="142">
        <v>0</v>
      </c>
      <c r="M46" s="142">
        <v>0</v>
      </c>
      <c r="N46" s="142">
        <v>0</v>
      </c>
      <c r="O46" s="142">
        <f t="shared" si="14"/>
        <v>0</v>
      </c>
      <c r="P46" s="142">
        <v>0</v>
      </c>
      <c r="Q46" s="142">
        <v>0</v>
      </c>
      <c r="R46" s="142">
        <v>0</v>
      </c>
      <c r="S46" s="142">
        <v>0</v>
      </c>
      <c r="T46" s="142">
        <f t="shared" si="15"/>
        <v>0</v>
      </c>
      <c r="U46" s="142">
        <v>0</v>
      </c>
      <c r="V46" s="142">
        <v>0</v>
      </c>
      <c r="W46" s="142">
        <v>0</v>
      </c>
      <c r="X46" s="142">
        <v>0</v>
      </c>
      <c r="Y46" s="142">
        <f t="shared" si="16"/>
        <v>96</v>
      </c>
      <c r="Z46" s="142">
        <v>96</v>
      </c>
      <c r="AA46" s="142">
        <v>0</v>
      </c>
      <c r="AB46" s="142">
        <v>0</v>
      </c>
      <c r="AC46" s="142">
        <v>0</v>
      </c>
      <c r="AD46" s="142">
        <f t="shared" si="17"/>
        <v>235</v>
      </c>
    </row>
    <row r="47" spans="1:31" ht="93">
      <c r="A47" s="155" t="s">
        <v>245</v>
      </c>
      <c r="B47" s="175" t="s">
        <v>145</v>
      </c>
      <c r="C47" s="41" t="s">
        <v>94</v>
      </c>
      <c r="D47" s="41" t="s">
        <v>93</v>
      </c>
      <c r="E47" s="142">
        <f>F47+G47+H47+I47</f>
        <v>28325</v>
      </c>
      <c r="F47" s="142">
        <f>6567-902</f>
        <v>5665</v>
      </c>
      <c r="G47" s="142">
        <f>26268-3608</f>
        <v>22660</v>
      </c>
      <c r="H47" s="142">
        <v>0</v>
      </c>
      <c r="I47" s="142">
        <v>0</v>
      </c>
      <c r="J47" s="142">
        <f>K47+L47+M47+N47</f>
        <v>4455</v>
      </c>
      <c r="K47" s="142">
        <f>550+341</f>
        <v>891</v>
      </c>
      <c r="L47" s="142">
        <v>3564</v>
      </c>
      <c r="M47" s="142">
        <v>0</v>
      </c>
      <c r="N47" s="142">
        <v>0</v>
      </c>
      <c r="O47" s="142">
        <f>P47+Q47+R47+S47</f>
        <v>0</v>
      </c>
      <c r="P47" s="142">
        <v>0</v>
      </c>
      <c r="Q47" s="142">
        <v>0</v>
      </c>
      <c r="R47" s="142">
        <v>0</v>
      </c>
      <c r="S47" s="142">
        <v>0</v>
      </c>
      <c r="T47" s="142">
        <f>U47+V47+W47+X47</f>
        <v>0</v>
      </c>
      <c r="U47" s="142">
        <v>0</v>
      </c>
      <c r="V47" s="142">
        <v>0</v>
      </c>
      <c r="W47" s="142">
        <v>0</v>
      </c>
      <c r="X47" s="142">
        <v>0</v>
      </c>
      <c r="Y47" s="142">
        <v>2321</v>
      </c>
      <c r="Z47" s="142">
        <v>2321</v>
      </c>
      <c r="AA47" s="142">
        <v>0</v>
      </c>
      <c r="AB47" s="142">
        <v>0</v>
      </c>
      <c r="AC47" s="142">
        <v>0</v>
      </c>
      <c r="AD47" s="142">
        <f>E47+J47+O47+T47+Y47</f>
        <v>35101</v>
      </c>
      <c r="AE47" s="212"/>
    </row>
    <row r="48" spans="1:31" ht="46.5">
      <c r="A48" s="213" t="s">
        <v>246</v>
      </c>
      <c r="B48" s="187" t="s">
        <v>87</v>
      </c>
      <c r="C48" s="311" t="s">
        <v>52</v>
      </c>
      <c r="D48" s="41" t="s">
        <v>93</v>
      </c>
      <c r="E48" s="142">
        <f>F48+G48+H48+I48</f>
        <v>384.8</v>
      </c>
      <c r="F48" s="142">
        <f>387-2.2</f>
        <v>384.8</v>
      </c>
      <c r="G48" s="142">
        <v>0</v>
      </c>
      <c r="H48" s="142">
        <v>0</v>
      </c>
      <c r="I48" s="142">
        <v>0</v>
      </c>
      <c r="J48" s="282">
        <f>K48+L48+M48+N48</f>
        <v>362.1</v>
      </c>
      <c r="K48" s="282">
        <f>387-24.9</f>
        <v>362.1</v>
      </c>
      <c r="L48" s="282">
        <v>0</v>
      </c>
      <c r="M48" s="282">
        <v>0</v>
      </c>
      <c r="N48" s="282">
        <v>0</v>
      </c>
      <c r="O48" s="142">
        <v>387</v>
      </c>
      <c r="P48" s="142">
        <v>387</v>
      </c>
      <c r="Q48" s="142">
        <v>0</v>
      </c>
      <c r="R48" s="142">
        <v>0</v>
      </c>
      <c r="S48" s="142">
        <v>0</v>
      </c>
      <c r="T48" s="142">
        <f>U48+V48+W48+X48</f>
        <v>387</v>
      </c>
      <c r="U48" s="142">
        <v>387</v>
      </c>
      <c r="V48" s="142">
        <v>0</v>
      </c>
      <c r="W48" s="142">
        <v>0</v>
      </c>
      <c r="X48" s="142">
        <v>0</v>
      </c>
      <c r="Y48" s="142">
        <f>Z48+AA48+AB48+AC48</f>
        <v>387</v>
      </c>
      <c r="Z48" s="142">
        <v>387</v>
      </c>
      <c r="AA48" s="142">
        <v>0</v>
      </c>
      <c r="AB48" s="142">
        <v>0</v>
      </c>
      <c r="AC48" s="142">
        <v>0</v>
      </c>
      <c r="AD48" s="142">
        <f t="shared" si="17"/>
        <v>1907.9</v>
      </c>
    </row>
    <row r="49" spans="1:30" ht="75">
      <c r="A49" s="213" t="s">
        <v>247</v>
      </c>
      <c r="B49" s="187" t="s">
        <v>132</v>
      </c>
      <c r="C49" s="311" t="s">
        <v>147</v>
      </c>
      <c r="D49" s="204">
        <v>2020</v>
      </c>
      <c r="E49" s="142">
        <f>F49+G49+H49+I49</f>
        <v>1248</v>
      </c>
      <c r="F49" s="142">
        <f>1248</f>
        <v>1248</v>
      </c>
      <c r="G49" s="142">
        <v>0</v>
      </c>
      <c r="H49" s="142">
        <v>0</v>
      </c>
      <c r="I49" s="142">
        <v>0</v>
      </c>
      <c r="J49" s="142">
        <f>K49+L49+M49+N49</f>
        <v>0</v>
      </c>
      <c r="K49" s="142">
        <v>0</v>
      </c>
      <c r="L49" s="142">
        <v>0</v>
      </c>
      <c r="M49" s="142">
        <v>0</v>
      </c>
      <c r="N49" s="142">
        <v>0</v>
      </c>
      <c r="O49" s="142">
        <f>P49+Q49+R49+S49</f>
        <v>0</v>
      </c>
      <c r="P49" s="142">
        <v>0</v>
      </c>
      <c r="Q49" s="142">
        <v>0</v>
      </c>
      <c r="R49" s="142">
        <v>0</v>
      </c>
      <c r="S49" s="142">
        <v>0</v>
      </c>
      <c r="T49" s="142">
        <f>U49+V49+W49+X49</f>
        <v>0</v>
      </c>
      <c r="U49" s="142">
        <v>0</v>
      </c>
      <c r="V49" s="142">
        <v>0</v>
      </c>
      <c r="W49" s="142">
        <v>0</v>
      </c>
      <c r="X49" s="142">
        <v>0</v>
      </c>
      <c r="Y49" s="142">
        <f>Z49+AA49+AB49+AC49</f>
        <v>0</v>
      </c>
      <c r="Z49" s="142">
        <v>0</v>
      </c>
      <c r="AA49" s="142">
        <v>0</v>
      </c>
      <c r="AB49" s="142">
        <v>0</v>
      </c>
      <c r="AC49" s="142">
        <v>0</v>
      </c>
      <c r="AD49" s="142">
        <f>E49+J49+O49+T49+Y49</f>
        <v>1248</v>
      </c>
    </row>
    <row r="50" spans="1:30" ht="23.25">
      <c r="A50" s="575" t="s">
        <v>25</v>
      </c>
      <c r="B50" s="575"/>
      <c r="C50" s="575"/>
      <c r="D50" s="304"/>
      <c r="E50" s="148">
        <f t="shared" ref="E50:K50" si="18">E51+E52</f>
        <v>38121.800000000003</v>
      </c>
      <c r="F50" s="148">
        <f t="shared" si="18"/>
        <v>15461.8</v>
      </c>
      <c r="G50" s="148">
        <f t="shared" si="18"/>
        <v>22660</v>
      </c>
      <c r="H50" s="148">
        <f t="shared" si="18"/>
        <v>0</v>
      </c>
      <c r="I50" s="148">
        <f t="shared" si="18"/>
        <v>0</v>
      </c>
      <c r="J50" s="148">
        <f>J52+J51</f>
        <v>11573.1</v>
      </c>
      <c r="K50" s="148">
        <f t="shared" si="18"/>
        <v>8009.1</v>
      </c>
      <c r="L50" s="148">
        <f>SUM(L35,L36:L48)</f>
        <v>3564</v>
      </c>
      <c r="M50" s="148">
        <f>SUM(M35,M36:M48)</f>
        <v>0</v>
      </c>
      <c r="N50" s="148">
        <f>SUM(N35,N36:N48)</f>
        <v>0</v>
      </c>
      <c r="O50" s="148">
        <f>O51+O52</f>
        <v>387</v>
      </c>
      <c r="P50" s="148">
        <f>P51+P52</f>
        <v>387</v>
      </c>
      <c r="Q50" s="148">
        <f>SUM(Q35,Q36:Q48)</f>
        <v>0</v>
      </c>
      <c r="R50" s="148">
        <f>SUM(R35,R36:R48)</f>
        <v>0</v>
      </c>
      <c r="S50" s="148">
        <f>SUM(S35,S36:S48)</f>
        <v>0</v>
      </c>
      <c r="T50" s="148">
        <f>T51+T52</f>
        <v>387</v>
      </c>
      <c r="U50" s="148">
        <f>U51+U52</f>
        <v>387</v>
      </c>
      <c r="V50" s="148">
        <f>SUM(V35,V36:V48)</f>
        <v>0</v>
      </c>
      <c r="W50" s="148">
        <f>SUM(W35,W36:W48)</f>
        <v>0</v>
      </c>
      <c r="X50" s="148">
        <f>SUM(X35,X36:X48)</f>
        <v>0</v>
      </c>
      <c r="Y50" s="148">
        <f>Y51+Y52</f>
        <v>10293</v>
      </c>
      <c r="Z50" s="148">
        <f>Z51+Z52</f>
        <v>10293</v>
      </c>
      <c r="AA50" s="148">
        <f>SUM(AA35,AA36:AA48)</f>
        <v>0</v>
      </c>
      <c r="AB50" s="148">
        <f>SUM(AB35,AB36:AB48)</f>
        <v>0</v>
      </c>
      <c r="AC50" s="148">
        <f>SUM(AC35,AC36:AC48)</f>
        <v>0</v>
      </c>
      <c r="AD50" s="148">
        <f>E50+J50+O50+T50+Y50</f>
        <v>60761.9</v>
      </c>
    </row>
    <row r="51" spans="1:30" ht="23.25">
      <c r="A51" s="302" t="s">
        <v>73</v>
      </c>
      <c r="B51" s="302"/>
      <c r="C51" s="306"/>
      <c r="D51" s="157"/>
      <c r="E51" s="152">
        <f t="shared" ref="E51:AC51" si="19">E48</f>
        <v>384.8</v>
      </c>
      <c r="F51" s="152">
        <f t="shared" si="19"/>
        <v>384.8</v>
      </c>
      <c r="G51" s="152">
        <v>0</v>
      </c>
      <c r="H51" s="152">
        <f t="shared" si="19"/>
        <v>0</v>
      </c>
      <c r="I51" s="152">
        <f t="shared" si="19"/>
        <v>0</v>
      </c>
      <c r="J51" s="152">
        <f t="shared" si="19"/>
        <v>362.1</v>
      </c>
      <c r="K51" s="152">
        <f t="shared" si="19"/>
        <v>362.1</v>
      </c>
      <c r="L51" s="152">
        <f t="shared" si="19"/>
        <v>0</v>
      </c>
      <c r="M51" s="152">
        <f t="shared" si="19"/>
        <v>0</v>
      </c>
      <c r="N51" s="152">
        <f t="shared" si="19"/>
        <v>0</v>
      </c>
      <c r="O51" s="152">
        <f t="shared" si="19"/>
        <v>387</v>
      </c>
      <c r="P51" s="152">
        <f t="shared" si="19"/>
        <v>387</v>
      </c>
      <c r="Q51" s="152">
        <f t="shared" si="19"/>
        <v>0</v>
      </c>
      <c r="R51" s="152">
        <f t="shared" si="19"/>
        <v>0</v>
      </c>
      <c r="S51" s="152">
        <f t="shared" si="19"/>
        <v>0</v>
      </c>
      <c r="T51" s="152">
        <f t="shared" si="19"/>
        <v>387</v>
      </c>
      <c r="U51" s="152">
        <f t="shared" si="19"/>
        <v>387</v>
      </c>
      <c r="V51" s="152">
        <f t="shared" si="19"/>
        <v>0</v>
      </c>
      <c r="W51" s="152">
        <f t="shared" si="19"/>
        <v>0</v>
      </c>
      <c r="X51" s="152">
        <f t="shared" si="19"/>
        <v>0</v>
      </c>
      <c r="Y51" s="152">
        <f t="shared" si="19"/>
        <v>387</v>
      </c>
      <c r="Z51" s="152">
        <f t="shared" si="19"/>
        <v>387</v>
      </c>
      <c r="AA51" s="152">
        <f t="shared" si="19"/>
        <v>0</v>
      </c>
      <c r="AB51" s="152">
        <f t="shared" si="19"/>
        <v>0</v>
      </c>
      <c r="AC51" s="152">
        <f t="shared" si="19"/>
        <v>0</v>
      </c>
      <c r="AD51" s="158">
        <f>E51+J51+O51+T51+Y51</f>
        <v>1907.9</v>
      </c>
    </row>
    <row r="52" spans="1:30" ht="23.25">
      <c r="A52" s="302" t="s">
        <v>135</v>
      </c>
      <c r="B52" s="302"/>
      <c r="C52" s="306"/>
      <c r="D52" s="157"/>
      <c r="E52" s="142">
        <f>E35+E36+E37+E38+E39+E40+E41+E42+E43+E44+E45+E46+E47+E49</f>
        <v>37737</v>
      </c>
      <c r="F52" s="142">
        <f>F35+F36+F37+F38+F39+F40+F41+F42+F43+F44+F45+F46+F47+F49</f>
        <v>15077</v>
      </c>
      <c r="G52" s="142">
        <v>22660</v>
      </c>
      <c r="H52" s="142">
        <f>0</f>
        <v>0</v>
      </c>
      <c r="I52" s="142">
        <v>0</v>
      </c>
      <c r="J52" s="142">
        <f>J35+J36+J37+J38+J39+J40+J41+J42+J43+J44+J45+J46+J47+J49</f>
        <v>11211</v>
      </c>
      <c r="K52" s="142">
        <f>K35+K36+K37+K38+K39+K40+K41+K42+K43+K44+K45+K46+K47+K49</f>
        <v>7647</v>
      </c>
      <c r="L52" s="142">
        <v>0</v>
      </c>
      <c r="M52" s="142">
        <v>0</v>
      </c>
      <c r="N52" s="142">
        <v>0</v>
      </c>
      <c r="O52" s="142">
        <f>O35+O36+O37+O38+O39+O40+O42+O41+O43+O44+O45+O46+O47+O49</f>
        <v>0</v>
      </c>
      <c r="P52" s="142">
        <f>P35+P36+P37+P38+P39+P40+P41+P42+P43+P44+P45+P46+P47+P49</f>
        <v>0</v>
      </c>
      <c r="Q52" s="142">
        <v>0</v>
      </c>
      <c r="R52" s="142">
        <v>0</v>
      </c>
      <c r="S52" s="142">
        <v>0</v>
      </c>
      <c r="T52" s="142">
        <f>T35+T36+T37+T38+T39+T40+T41+T42+T43+T44+T45+T46+T47+T49</f>
        <v>0</v>
      </c>
      <c r="U52" s="142">
        <f>U35+U36+U37+U38+U39+U40+U41+U42+U43+U44+U45+U46+U47+U49</f>
        <v>0</v>
      </c>
      <c r="V52" s="142">
        <v>0</v>
      </c>
      <c r="W52" s="142">
        <v>0</v>
      </c>
      <c r="X52" s="142">
        <v>0</v>
      </c>
      <c r="Y52" s="142">
        <f>Y35+Y36+Y37+Y38+Y39+Y40+Y41+Y42+Y43+Y44+Y45+Y46+Y47+Y49</f>
        <v>9906</v>
      </c>
      <c r="Z52" s="142">
        <f>Z35+Z36+Z37+Z38+Z39+Z40+Z41+Z42+Z43+Z44+Z45+Z46+Z47+Z49</f>
        <v>9906</v>
      </c>
      <c r="AA52" s="142">
        <v>0</v>
      </c>
      <c r="AB52" s="142">
        <v>0</v>
      </c>
      <c r="AC52" s="142">
        <v>0</v>
      </c>
      <c r="AD52" s="142">
        <f>E52+J52+O52+T52+Y52</f>
        <v>58854</v>
      </c>
    </row>
    <row r="53" spans="1:30" ht="23.25" customHeight="1">
      <c r="A53" s="41" t="s">
        <v>223</v>
      </c>
      <c r="B53" s="572" t="s">
        <v>248</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4"/>
    </row>
    <row r="54" spans="1:30" ht="63" customHeight="1">
      <c r="A54" s="155" t="s">
        <v>27</v>
      </c>
      <c r="B54" s="175" t="s">
        <v>120</v>
      </c>
      <c r="C54" s="41" t="s">
        <v>94</v>
      </c>
      <c r="D54" s="41" t="s">
        <v>93</v>
      </c>
      <c r="E54" s="142">
        <f>F54+G54+H54+I54</f>
        <v>700</v>
      </c>
      <c r="F54" s="142">
        <f>700</f>
        <v>700</v>
      </c>
      <c r="G54" s="142">
        <v>0</v>
      </c>
      <c r="H54" s="142">
        <v>0</v>
      </c>
      <c r="I54" s="142">
        <v>0</v>
      </c>
      <c r="J54" s="282">
        <f>K54+L54+M54+N54</f>
        <v>498</v>
      </c>
      <c r="K54" s="282">
        <f>600-102</f>
        <v>498</v>
      </c>
      <c r="L54" s="282">
        <v>0</v>
      </c>
      <c r="M54" s="142">
        <v>0</v>
      </c>
      <c r="N54" s="142">
        <v>0</v>
      </c>
      <c r="O54" s="142">
        <f>P54+Q54+R54+S54</f>
        <v>0</v>
      </c>
      <c r="P54" s="142">
        <v>0</v>
      </c>
      <c r="Q54" s="142">
        <v>0</v>
      </c>
      <c r="R54" s="142">
        <v>0</v>
      </c>
      <c r="S54" s="142">
        <v>0</v>
      </c>
      <c r="T54" s="142">
        <f>U54+V54+W54+X54</f>
        <v>0</v>
      </c>
      <c r="U54" s="142">
        <v>0</v>
      </c>
      <c r="V54" s="142">
        <v>0</v>
      </c>
      <c r="W54" s="142">
        <v>0</v>
      </c>
      <c r="X54" s="142">
        <v>0</v>
      </c>
      <c r="Y54" s="142">
        <f>Z54+AA54+AB54+AC54</f>
        <v>700</v>
      </c>
      <c r="Z54" s="142">
        <v>700</v>
      </c>
      <c r="AA54" s="142">
        <v>0</v>
      </c>
      <c r="AB54" s="142">
        <v>0</v>
      </c>
      <c r="AC54" s="142">
        <v>0</v>
      </c>
      <c r="AD54" s="142">
        <f>E54+J54+O54+T54+Y54</f>
        <v>1898</v>
      </c>
    </row>
    <row r="55" spans="1:30" ht="23.25">
      <c r="A55" s="575" t="s">
        <v>44</v>
      </c>
      <c r="B55" s="575"/>
      <c r="C55" s="575"/>
      <c r="D55" s="304"/>
      <c r="E55" s="148">
        <f t="shared" ref="E55:AD55" si="20">SUM(E54:E54)</f>
        <v>700</v>
      </c>
      <c r="F55" s="148">
        <f>SUM(F54)</f>
        <v>700</v>
      </c>
      <c r="G55" s="148">
        <f t="shared" si="20"/>
        <v>0</v>
      </c>
      <c r="H55" s="148">
        <f t="shared" si="20"/>
        <v>0</v>
      </c>
      <c r="I55" s="148">
        <f t="shared" si="20"/>
        <v>0</v>
      </c>
      <c r="J55" s="148">
        <f>J54</f>
        <v>498</v>
      </c>
      <c r="K55" s="148">
        <f t="shared" si="20"/>
        <v>498</v>
      </c>
      <c r="L55" s="148">
        <f t="shared" si="20"/>
        <v>0</v>
      </c>
      <c r="M55" s="148">
        <f t="shared" si="20"/>
        <v>0</v>
      </c>
      <c r="N55" s="148">
        <f t="shared" si="20"/>
        <v>0</v>
      </c>
      <c r="O55" s="148">
        <f t="shared" si="20"/>
        <v>0</v>
      </c>
      <c r="P55" s="148">
        <f t="shared" si="20"/>
        <v>0</v>
      </c>
      <c r="Q55" s="148">
        <f t="shared" si="20"/>
        <v>0</v>
      </c>
      <c r="R55" s="148">
        <f t="shared" si="20"/>
        <v>0</v>
      </c>
      <c r="S55" s="148">
        <f t="shared" si="20"/>
        <v>0</v>
      </c>
      <c r="T55" s="148">
        <f t="shared" si="20"/>
        <v>0</v>
      </c>
      <c r="U55" s="148">
        <f t="shared" si="20"/>
        <v>0</v>
      </c>
      <c r="V55" s="148">
        <f t="shared" si="20"/>
        <v>0</v>
      </c>
      <c r="W55" s="148">
        <f t="shared" si="20"/>
        <v>0</v>
      </c>
      <c r="X55" s="148">
        <f t="shared" si="20"/>
        <v>0</v>
      </c>
      <c r="Y55" s="148">
        <f t="shared" si="20"/>
        <v>700</v>
      </c>
      <c r="Z55" s="148">
        <f t="shared" si="20"/>
        <v>700</v>
      </c>
      <c r="AA55" s="148">
        <f t="shared" si="20"/>
        <v>0</v>
      </c>
      <c r="AB55" s="148">
        <f t="shared" si="20"/>
        <v>0</v>
      </c>
      <c r="AC55" s="148">
        <f t="shared" si="20"/>
        <v>0</v>
      </c>
      <c r="AD55" s="148">
        <f t="shared" si="20"/>
        <v>1898</v>
      </c>
    </row>
    <row r="56" spans="1:30" ht="23.25" customHeight="1">
      <c r="A56" s="41" t="s">
        <v>249</v>
      </c>
      <c r="B56" s="572" t="s">
        <v>250</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4"/>
    </row>
    <row r="57" spans="1:30" ht="111" customHeight="1">
      <c r="A57" s="626" t="s">
        <v>46</v>
      </c>
      <c r="B57" s="613" t="s">
        <v>291</v>
      </c>
      <c r="C57" s="41" t="s">
        <v>285</v>
      </c>
      <c r="D57" s="224">
        <v>2020</v>
      </c>
      <c r="E57" s="142">
        <f>F57+G57+H57+I57</f>
        <v>1449</v>
      </c>
      <c r="F57" s="142">
        <f>1656-207</f>
        <v>1449</v>
      </c>
      <c r="G57" s="142">
        <v>0</v>
      </c>
      <c r="H57" s="142">
        <v>0</v>
      </c>
      <c r="I57" s="142">
        <v>0</v>
      </c>
      <c r="J57" s="142">
        <f>K57+L57+M57+N57</f>
        <v>0</v>
      </c>
      <c r="K57" s="142">
        <v>0</v>
      </c>
      <c r="L57" s="142">
        <v>0</v>
      </c>
      <c r="M57" s="142">
        <v>0</v>
      </c>
      <c r="N57" s="142">
        <v>0</v>
      </c>
      <c r="O57" s="142">
        <f>P57+Q57+R57+S57</f>
        <v>0</v>
      </c>
      <c r="P57" s="142">
        <v>0</v>
      </c>
      <c r="Q57" s="142">
        <v>0</v>
      </c>
      <c r="R57" s="142">
        <v>0</v>
      </c>
      <c r="S57" s="142">
        <v>0</v>
      </c>
      <c r="T57" s="142">
        <f t="shared" ref="T57:T62" si="21">U57+V57+W57+X57</f>
        <v>0</v>
      </c>
      <c r="U57" s="142">
        <v>0</v>
      </c>
      <c r="V57" s="142">
        <v>0</v>
      </c>
      <c r="W57" s="142">
        <v>0</v>
      </c>
      <c r="X57" s="142">
        <v>0</v>
      </c>
      <c r="Y57" s="142">
        <f>Z57+AA57+AB57+AC57</f>
        <v>0</v>
      </c>
      <c r="Z57" s="142">
        <v>0</v>
      </c>
      <c r="AA57" s="142">
        <v>0</v>
      </c>
      <c r="AB57" s="142">
        <v>0</v>
      </c>
      <c r="AC57" s="142">
        <v>0</v>
      </c>
      <c r="AD57" s="142">
        <f>E57+I57+O57+T57+0</f>
        <v>1449</v>
      </c>
    </row>
    <row r="58" spans="1:30" ht="76.5" customHeight="1">
      <c r="A58" s="627"/>
      <c r="B58" s="614"/>
      <c r="C58" s="41" t="s">
        <v>286</v>
      </c>
      <c r="D58" s="224" t="s">
        <v>284</v>
      </c>
      <c r="E58" s="142">
        <f>F58+G58+H58+I58</f>
        <v>0</v>
      </c>
      <c r="F58" s="142">
        <v>0</v>
      </c>
      <c r="G58" s="142">
        <v>0</v>
      </c>
      <c r="H58" s="142">
        <v>0</v>
      </c>
      <c r="I58" s="142">
        <v>0</v>
      </c>
      <c r="J58" s="282">
        <f>K58+L58+M58+N58</f>
        <v>850</v>
      </c>
      <c r="K58" s="282">
        <f>1437-237-350</f>
        <v>850</v>
      </c>
      <c r="L58" s="282">
        <v>0</v>
      </c>
      <c r="M58" s="142">
        <v>0</v>
      </c>
      <c r="N58" s="142">
        <v>0</v>
      </c>
      <c r="O58" s="142">
        <f>P58+Q58+R58+S58</f>
        <v>1437</v>
      </c>
      <c r="P58" s="142">
        <v>1437</v>
      </c>
      <c r="Q58" s="142">
        <v>0</v>
      </c>
      <c r="R58" s="142">
        <v>0</v>
      </c>
      <c r="S58" s="142">
        <v>0</v>
      </c>
      <c r="T58" s="142">
        <f t="shared" si="21"/>
        <v>1437</v>
      </c>
      <c r="U58" s="142">
        <v>1437</v>
      </c>
      <c r="V58" s="142">
        <v>0</v>
      </c>
      <c r="W58" s="142">
        <v>0</v>
      </c>
      <c r="X58" s="142">
        <v>0</v>
      </c>
      <c r="Y58" s="142">
        <f>Z58+AA58+AB58+AC58</f>
        <v>1656</v>
      </c>
      <c r="Z58" s="142">
        <v>1656</v>
      </c>
      <c r="AA58" s="142">
        <v>0</v>
      </c>
      <c r="AB58" s="142">
        <v>0</v>
      </c>
      <c r="AC58" s="142">
        <v>0</v>
      </c>
      <c r="AD58" s="142">
        <f>E58+J58+O58+T58+Y58</f>
        <v>5380</v>
      </c>
    </row>
    <row r="59" spans="1:30" ht="69.75">
      <c r="A59" s="155" t="s">
        <v>251</v>
      </c>
      <c r="B59" s="175" t="s">
        <v>292</v>
      </c>
      <c r="C59" s="41" t="s">
        <v>52</v>
      </c>
      <c r="D59" s="41" t="s">
        <v>93</v>
      </c>
      <c r="E59" s="142">
        <f>F59+G59+H59+I59</f>
        <v>55</v>
      </c>
      <c r="F59" s="142">
        <f>86-31</f>
        <v>55</v>
      </c>
      <c r="G59" s="142">
        <v>0</v>
      </c>
      <c r="H59" s="142">
        <v>0</v>
      </c>
      <c r="I59" s="142">
        <v>0</v>
      </c>
      <c r="J59" s="282">
        <f>K59+L59+M59+N59</f>
        <v>60.5</v>
      </c>
      <c r="K59" s="282">
        <f>70-9.5</f>
        <v>60.5</v>
      </c>
      <c r="L59" s="142">
        <v>0</v>
      </c>
      <c r="M59" s="142">
        <v>0</v>
      </c>
      <c r="N59" s="142">
        <v>0</v>
      </c>
      <c r="O59" s="142">
        <f>P59+Q59+R59+S59</f>
        <v>68.5</v>
      </c>
      <c r="P59" s="142">
        <f>70-1.5</f>
        <v>68.5</v>
      </c>
      <c r="Q59" s="142">
        <v>0</v>
      </c>
      <c r="R59" s="142">
        <v>0</v>
      </c>
      <c r="S59" s="142">
        <v>0</v>
      </c>
      <c r="T59" s="142">
        <f t="shared" si="21"/>
        <v>68.5</v>
      </c>
      <c r="U59" s="142">
        <f>70-1.5</f>
        <v>68.5</v>
      </c>
      <c r="V59" s="142">
        <v>0</v>
      </c>
      <c r="W59" s="142">
        <v>0</v>
      </c>
      <c r="X59" s="142">
        <v>0</v>
      </c>
      <c r="Y59" s="142">
        <f>Z59+AA59+AB59+AC59</f>
        <v>84.5</v>
      </c>
      <c r="Z59" s="142">
        <f>86-1.5</f>
        <v>84.5</v>
      </c>
      <c r="AA59" s="142">
        <v>0</v>
      </c>
      <c r="AB59" s="142">
        <v>0</v>
      </c>
      <c r="AC59" s="142">
        <v>0</v>
      </c>
      <c r="AD59" s="142">
        <f>E59+J59+O59+T59+Y59</f>
        <v>337</v>
      </c>
    </row>
    <row r="60" spans="1:30" ht="37.5">
      <c r="A60" s="155"/>
      <c r="B60" s="175" t="s">
        <v>293</v>
      </c>
      <c r="C60" s="41" t="s">
        <v>52</v>
      </c>
      <c r="D60" s="41" t="s">
        <v>294</v>
      </c>
      <c r="E60" s="142">
        <v>0</v>
      </c>
      <c r="F60" s="142">
        <v>0</v>
      </c>
      <c r="G60" s="142">
        <v>0</v>
      </c>
      <c r="H60" s="142">
        <v>0</v>
      </c>
      <c r="I60" s="142">
        <v>0</v>
      </c>
      <c r="J60" s="282">
        <v>0</v>
      </c>
      <c r="K60" s="282">
        <v>0</v>
      </c>
      <c r="L60" s="142">
        <v>0</v>
      </c>
      <c r="M60" s="142">
        <v>0</v>
      </c>
      <c r="N60" s="142">
        <v>0</v>
      </c>
      <c r="O60" s="142">
        <f>P60+Q60+R60+S60</f>
        <v>1.5</v>
      </c>
      <c r="P60" s="142">
        <v>1.5</v>
      </c>
      <c r="Q60" s="142">
        <v>0</v>
      </c>
      <c r="R60" s="142">
        <v>0</v>
      </c>
      <c r="S60" s="142">
        <v>0</v>
      </c>
      <c r="T60" s="142">
        <f t="shared" si="21"/>
        <v>1.5</v>
      </c>
      <c r="U60" s="142">
        <v>1.5</v>
      </c>
      <c r="V60" s="142">
        <v>0</v>
      </c>
      <c r="W60" s="142">
        <v>0</v>
      </c>
      <c r="X60" s="142">
        <v>0</v>
      </c>
      <c r="Y60" s="142">
        <f>Z60+AA60+AB60+AC60</f>
        <v>1.5</v>
      </c>
      <c r="Z60" s="142">
        <v>1.5</v>
      </c>
      <c r="AA60" s="142">
        <v>0</v>
      </c>
      <c r="AB60" s="142">
        <v>0</v>
      </c>
      <c r="AC60" s="142">
        <v>0</v>
      </c>
      <c r="AD60" s="142">
        <f>E60+J60+O60+T60+Y60</f>
        <v>4.5</v>
      </c>
    </row>
    <row r="61" spans="1:30" ht="37.5">
      <c r="A61" s="302"/>
      <c r="B61" s="302" t="s">
        <v>296</v>
      </c>
      <c r="C61" s="41" t="s">
        <v>52</v>
      </c>
      <c r="D61" s="304"/>
      <c r="E61" s="148">
        <f>E63+E64</f>
        <v>1504</v>
      </c>
      <c r="F61" s="148">
        <f>F63+F64</f>
        <v>1504</v>
      </c>
      <c r="G61" s="148">
        <f t="shared" ref="G61:AC61" si="22">SUM(G58:G59)</f>
        <v>0</v>
      </c>
      <c r="H61" s="148">
        <f t="shared" si="22"/>
        <v>0</v>
      </c>
      <c r="I61" s="148">
        <f t="shared" si="22"/>
        <v>0</v>
      </c>
      <c r="J61" s="148">
        <f t="shared" si="22"/>
        <v>910.5</v>
      </c>
      <c r="K61" s="148">
        <f t="shared" si="22"/>
        <v>910.5</v>
      </c>
      <c r="L61" s="148">
        <f t="shared" si="22"/>
        <v>0</v>
      </c>
      <c r="M61" s="148">
        <f t="shared" si="22"/>
        <v>0</v>
      </c>
      <c r="N61" s="148">
        <f t="shared" si="22"/>
        <v>0</v>
      </c>
      <c r="O61" s="148">
        <f t="shared" si="22"/>
        <v>1505.5</v>
      </c>
      <c r="P61" s="148">
        <f t="shared" si="22"/>
        <v>1505.5</v>
      </c>
      <c r="Q61" s="148">
        <f t="shared" si="22"/>
        <v>0</v>
      </c>
      <c r="R61" s="148">
        <f t="shared" si="22"/>
        <v>0</v>
      </c>
      <c r="S61" s="148">
        <f t="shared" si="22"/>
        <v>0</v>
      </c>
      <c r="T61" s="148">
        <f t="shared" si="22"/>
        <v>1505.5</v>
      </c>
      <c r="U61" s="148">
        <f t="shared" si="22"/>
        <v>1505.5</v>
      </c>
      <c r="V61" s="148">
        <f t="shared" si="22"/>
        <v>0</v>
      </c>
      <c r="W61" s="148">
        <f t="shared" si="22"/>
        <v>0</v>
      </c>
      <c r="X61" s="148">
        <f t="shared" si="22"/>
        <v>0</v>
      </c>
      <c r="Y61" s="148">
        <f>Y58+Y59</f>
        <v>1740.5</v>
      </c>
      <c r="Z61" s="148">
        <f>Z58+Z59</f>
        <v>1740.5</v>
      </c>
      <c r="AA61" s="148">
        <f t="shared" si="22"/>
        <v>0</v>
      </c>
      <c r="AB61" s="148">
        <f t="shared" si="22"/>
        <v>0</v>
      </c>
      <c r="AC61" s="148">
        <f t="shared" si="22"/>
        <v>0</v>
      </c>
      <c r="AD61" s="148">
        <f>AD63+AD64</f>
        <v>7166</v>
      </c>
    </row>
    <row r="62" spans="1:30" ht="37.5">
      <c r="A62" s="155"/>
      <c r="B62" s="175" t="s">
        <v>295</v>
      </c>
      <c r="C62" s="41" t="s">
        <v>52</v>
      </c>
      <c r="D62" s="313" t="s">
        <v>294</v>
      </c>
      <c r="E62" s="142">
        <v>0</v>
      </c>
      <c r="F62" s="142">
        <v>0</v>
      </c>
      <c r="G62" s="142">
        <v>0</v>
      </c>
      <c r="H62" s="142">
        <v>0</v>
      </c>
      <c r="I62" s="148">
        <v>0</v>
      </c>
      <c r="J62" s="301">
        <v>0</v>
      </c>
      <c r="K62" s="301">
        <v>0</v>
      </c>
      <c r="L62" s="148">
        <v>0</v>
      </c>
      <c r="M62" s="148">
        <v>0</v>
      </c>
      <c r="N62" s="148">
        <v>0</v>
      </c>
      <c r="O62" s="148">
        <f>P62+Q62+R62+S62</f>
        <v>1.5</v>
      </c>
      <c r="P62" s="148">
        <v>1.5</v>
      </c>
      <c r="Q62" s="148">
        <v>0</v>
      </c>
      <c r="R62" s="148">
        <v>0</v>
      </c>
      <c r="S62" s="148">
        <v>0</v>
      </c>
      <c r="T62" s="148">
        <f t="shared" si="21"/>
        <v>1.5</v>
      </c>
      <c r="U62" s="148">
        <v>1.5</v>
      </c>
      <c r="V62" s="148">
        <v>0</v>
      </c>
      <c r="W62" s="148">
        <v>0</v>
      </c>
      <c r="X62" s="148">
        <v>0</v>
      </c>
      <c r="Y62" s="148">
        <f>Z62+AA62+AB62+AC62</f>
        <v>1.5</v>
      </c>
      <c r="Z62" s="148">
        <f>Z60</f>
        <v>1.5</v>
      </c>
      <c r="AA62" s="148">
        <v>0</v>
      </c>
      <c r="AB62" s="148">
        <v>0</v>
      </c>
      <c r="AC62" s="148">
        <v>0</v>
      </c>
      <c r="AD62" s="148">
        <f>E62+J62+O62+T62+Y62</f>
        <v>4.5</v>
      </c>
    </row>
    <row r="63" spans="1:30" ht="23.25">
      <c r="A63" s="302" t="s">
        <v>73</v>
      </c>
      <c r="B63" s="302"/>
      <c r="C63" s="306"/>
      <c r="D63" s="304"/>
      <c r="E63" s="142">
        <f>E59</f>
        <v>55</v>
      </c>
      <c r="F63" s="142">
        <f>F59</f>
        <v>55</v>
      </c>
      <c r="G63" s="142">
        <v>0</v>
      </c>
      <c r="H63" s="142">
        <v>0</v>
      </c>
      <c r="I63" s="142">
        <v>0</v>
      </c>
      <c r="J63" s="142">
        <f>K63+L63+M63+N63</f>
        <v>910.5</v>
      </c>
      <c r="K63" s="142">
        <f>K58+K59</f>
        <v>910.5</v>
      </c>
      <c r="L63" s="142">
        <v>0</v>
      </c>
      <c r="M63" s="142">
        <v>0</v>
      </c>
      <c r="N63" s="142">
        <v>0</v>
      </c>
      <c r="O63" s="142">
        <f>P63+Q63+R63+S63</f>
        <v>1507</v>
      </c>
      <c r="P63" s="142">
        <f>P61+P62</f>
        <v>1507</v>
      </c>
      <c r="Q63" s="142">
        <v>0</v>
      </c>
      <c r="R63" s="142">
        <v>0</v>
      </c>
      <c r="S63" s="142">
        <v>0</v>
      </c>
      <c r="T63" s="142">
        <f>T58+T59</f>
        <v>1505.5</v>
      </c>
      <c r="U63" s="142">
        <f>U58+U59</f>
        <v>1505.5</v>
      </c>
      <c r="V63" s="142">
        <v>0</v>
      </c>
      <c r="W63" s="142">
        <v>0</v>
      </c>
      <c r="X63" s="142">
        <v>0</v>
      </c>
      <c r="Y63" s="142">
        <f>Y58+Y59</f>
        <v>1740.5</v>
      </c>
      <c r="Z63" s="142">
        <f>Z58+Z59</f>
        <v>1740.5</v>
      </c>
      <c r="AA63" s="142">
        <v>0</v>
      </c>
      <c r="AB63" s="142">
        <v>0</v>
      </c>
      <c r="AC63" s="142">
        <v>0</v>
      </c>
      <c r="AD63" s="142">
        <f>AD58+AD59</f>
        <v>5717</v>
      </c>
    </row>
    <row r="64" spans="1:30" ht="23.25">
      <c r="A64" s="302" t="s">
        <v>135</v>
      </c>
      <c r="B64" s="302"/>
      <c r="C64" s="306"/>
      <c r="D64" s="304"/>
      <c r="E64" s="142">
        <f>F64+G64+H64+I64</f>
        <v>1449</v>
      </c>
      <c r="F64" s="142">
        <f>F57</f>
        <v>1449</v>
      </c>
      <c r="G64" s="142">
        <v>0</v>
      </c>
      <c r="H64" s="142">
        <v>0</v>
      </c>
      <c r="I64" s="142">
        <v>0</v>
      </c>
      <c r="J64" s="142">
        <v>0</v>
      </c>
      <c r="K64" s="142">
        <v>0</v>
      </c>
      <c r="L64" s="142">
        <v>0</v>
      </c>
      <c r="M64" s="142">
        <v>0</v>
      </c>
      <c r="N64" s="142">
        <v>0</v>
      </c>
      <c r="O64" s="142">
        <v>0</v>
      </c>
      <c r="P64" s="142">
        <v>0</v>
      </c>
      <c r="Q64" s="142">
        <v>0</v>
      </c>
      <c r="R64" s="142">
        <v>0</v>
      </c>
      <c r="S64" s="142">
        <v>0</v>
      </c>
      <c r="T64" s="142">
        <v>0</v>
      </c>
      <c r="U64" s="142">
        <v>0</v>
      </c>
      <c r="V64" s="142">
        <v>0</v>
      </c>
      <c r="W64" s="142">
        <v>0</v>
      </c>
      <c r="X64" s="142">
        <v>0</v>
      </c>
      <c r="Y64" s="142">
        <v>0</v>
      </c>
      <c r="Z64" s="142">
        <v>0</v>
      </c>
      <c r="AA64" s="142">
        <v>0</v>
      </c>
      <c r="AB64" s="142">
        <v>0</v>
      </c>
      <c r="AC64" s="142">
        <v>0</v>
      </c>
      <c r="AD64" s="142">
        <f>AD57</f>
        <v>1449</v>
      </c>
    </row>
    <row r="65" spans="1:32" ht="23.25">
      <c r="A65" s="302"/>
      <c r="B65" s="302" t="s">
        <v>297</v>
      </c>
      <c r="C65" s="306"/>
      <c r="D65" s="304"/>
      <c r="E65" s="142">
        <f>F65+G65+H65+I65</f>
        <v>1504</v>
      </c>
      <c r="F65" s="142">
        <f>F61+F62</f>
        <v>1504</v>
      </c>
      <c r="G65" s="142">
        <v>0</v>
      </c>
      <c r="H65" s="148">
        <v>0</v>
      </c>
      <c r="I65" s="148">
        <v>0</v>
      </c>
      <c r="J65" s="148">
        <f>K65+L65+M65+N65</f>
        <v>910.5</v>
      </c>
      <c r="K65" s="148">
        <f>K61+K62</f>
        <v>910.5</v>
      </c>
      <c r="L65" s="148">
        <v>0</v>
      </c>
      <c r="M65" s="148">
        <v>0</v>
      </c>
      <c r="N65" s="148">
        <v>0</v>
      </c>
      <c r="O65" s="148">
        <f>P65+Q65+R65+S65</f>
        <v>1507</v>
      </c>
      <c r="P65" s="148">
        <f>P61+P62</f>
        <v>1507</v>
      </c>
      <c r="Q65" s="148">
        <v>0</v>
      </c>
      <c r="R65" s="148">
        <v>0</v>
      </c>
      <c r="S65" s="148">
        <v>0</v>
      </c>
      <c r="T65" s="148">
        <f>U65+V65+W65+X65</f>
        <v>1507</v>
      </c>
      <c r="U65" s="148">
        <f>U61+U62</f>
        <v>1507</v>
      </c>
      <c r="V65" s="148">
        <v>0</v>
      </c>
      <c r="W65" s="148">
        <v>0</v>
      </c>
      <c r="X65" s="148">
        <v>0</v>
      </c>
      <c r="Y65" s="148">
        <f>Z65+AA65+AB65+AC65</f>
        <v>1742</v>
      </c>
      <c r="Z65" s="148">
        <f>Z61+Z62</f>
        <v>1742</v>
      </c>
      <c r="AA65" s="148">
        <v>0</v>
      </c>
      <c r="AB65" s="148">
        <v>0</v>
      </c>
      <c r="AC65" s="148">
        <v>0</v>
      </c>
      <c r="AD65" s="148"/>
    </row>
    <row r="66" spans="1:32" ht="23.25">
      <c r="A66" s="41" t="s">
        <v>224</v>
      </c>
      <c r="B66" s="572" t="s">
        <v>278</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4"/>
    </row>
    <row r="67" spans="1:32" ht="87.75" customHeight="1">
      <c r="A67" s="155" t="s">
        <v>48</v>
      </c>
      <c r="B67" s="170" t="s">
        <v>108</v>
      </c>
      <c r="C67" s="41" t="s">
        <v>94</v>
      </c>
      <c r="D67" s="41" t="s">
        <v>93</v>
      </c>
      <c r="E67" s="142">
        <f>F67+G67+H67+I67</f>
        <v>766</v>
      </c>
      <c r="F67" s="142">
        <f>409+357</f>
        <v>766</v>
      </c>
      <c r="G67" s="142">
        <v>0</v>
      </c>
      <c r="H67" s="142">
        <v>0</v>
      </c>
      <c r="I67" s="142">
        <v>0</v>
      </c>
      <c r="J67" s="142">
        <f>K67+L67+M67+N67</f>
        <v>628</v>
      </c>
      <c r="K67" s="142">
        <f>655-27</f>
        <v>628</v>
      </c>
      <c r="L67" s="142">
        <v>0</v>
      </c>
      <c r="M67" s="142">
        <v>0</v>
      </c>
      <c r="N67" s="142">
        <v>0</v>
      </c>
      <c r="O67" s="142">
        <f>P67+Q67+R67+S67</f>
        <v>0</v>
      </c>
      <c r="P67" s="142">
        <v>0</v>
      </c>
      <c r="Q67" s="142">
        <v>0</v>
      </c>
      <c r="R67" s="142">
        <v>0</v>
      </c>
      <c r="S67" s="142">
        <v>0</v>
      </c>
      <c r="T67" s="142">
        <v>0</v>
      </c>
      <c r="U67" s="142">
        <v>0</v>
      </c>
      <c r="V67" s="142">
        <v>0</v>
      </c>
      <c r="W67" s="142">
        <v>0</v>
      </c>
      <c r="X67" s="142">
        <v>0</v>
      </c>
      <c r="Y67" s="142">
        <v>510</v>
      </c>
      <c r="Z67" s="142">
        <v>510</v>
      </c>
      <c r="AA67" s="142">
        <v>0</v>
      </c>
      <c r="AB67" s="142">
        <v>0</v>
      </c>
      <c r="AC67" s="142">
        <v>0</v>
      </c>
      <c r="AD67" s="142">
        <f>E67+J67+O67+T67+Y67</f>
        <v>1904</v>
      </c>
      <c r="AF67" s="200" t="s">
        <v>131</v>
      </c>
    </row>
    <row r="68" spans="1:32">
      <c r="A68" s="631" t="s">
        <v>49</v>
      </c>
      <c r="B68" s="631"/>
      <c r="C68" s="631"/>
      <c r="D68" s="304"/>
      <c r="E68" s="148">
        <f t="shared" ref="E68:AD68" si="23">SUM(E67:E67)</f>
        <v>766</v>
      </c>
      <c r="F68" s="148">
        <f>SUM(F67)</f>
        <v>766</v>
      </c>
      <c r="G68" s="148">
        <f t="shared" si="23"/>
        <v>0</v>
      </c>
      <c r="H68" s="148">
        <f t="shared" si="23"/>
        <v>0</v>
      </c>
      <c r="I68" s="148">
        <f t="shared" si="23"/>
        <v>0</v>
      </c>
      <c r="J68" s="148">
        <f>J67</f>
        <v>628</v>
      </c>
      <c r="K68" s="148">
        <f t="shared" si="23"/>
        <v>628</v>
      </c>
      <c r="L68" s="148">
        <f t="shared" si="23"/>
        <v>0</v>
      </c>
      <c r="M68" s="148">
        <f t="shared" si="23"/>
        <v>0</v>
      </c>
      <c r="N68" s="148">
        <f t="shared" si="23"/>
        <v>0</v>
      </c>
      <c r="O68" s="148">
        <f t="shared" si="23"/>
        <v>0</v>
      </c>
      <c r="P68" s="148">
        <f t="shared" si="23"/>
        <v>0</v>
      </c>
      <c r="Q68" s="148">
        <f t="shared" si="23"/>
        <v>0</v>
      </c>
      <c r="R68" s="148">
        <f t="shared" si="23"/>
        <v>0</v>
      </c>
      <c r="S68" s="148">
        <f t="shared" si="23"/>
        <v>0</v>
      </c>
      <c r="T68" s="148">
        <f t="shared" si="23"/>
        <v>0</v>
      </c>
      <c r="U68" s="148">
        <f t="shared" si="23"/>
        <v>0</v>
      </c>
      <c r="V68" s="148">
        <f t="shared" si="23"/>
        <v>0</v>
      </c>
      <c r="W68" s="148">
        <f t="shared" si="23"/>
        <v>0</v>
      </c>
      <c r="X68" s="148">
        <f t="shared" si="23"/>
        <v>0</v>
      </c>
      <c r="Y68" s="148">
        <f t="shared" si="23"/>
        <v>510</v>
      </c>
      <c r="Z68" s="148">
        <f t="shared" si="23"/>
        <v>510</v>
      </c>
      <c r="AA68" s="148">
        <f t="shared" si="23"/>
        <v>0</v>
      </c>
      <c r="AB68" s="148">
        <f t="shared" si="23"/>
        <v>0</v>
      </c>
      <c r="AC68" s="148">
        <f t="shared" si="23"/>
        <v>0</v>
      </c>
      <c r="AD68" s="148">
        <f t="shared" si="23"/>
        <v>1904</v>
      </c>
    </row>
    <row r="69" spans="1:32" ht="23.25">
      <c r="A69" s="304" t="s">
        <v>252</v>
      </c>
      <c r="B69" s="572" t="s">
        <v>279</v>
      </c>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4"/>
    </row>
    <row r="70" spans="1:32" ht="93.75">
      <c r="A70" s="304" t="s">
        <v>50</v>
      </c>
      <c r="B70" s="170" t="s">
        <v>115</v>
      </c>
      <c r="C70" s="41" t="s">
        <v>106</v>
      </c>
      <c r="D70" s="41" t="s">
        <v>93</v>
      </c>
      <c r="E70" s="142">
        <f>F70+G70+H70+I70</f>
        <v>25286</v>
      </c>
      <c r="F70" s="142">
        <f>27786-2500</f>
        <v>25286</v>
      </c>
      <c r="G70" s="142">
        <v>0</v>
      </c>
      <c r="H70" s="142">
        <v>0</v>
      </c>
      <c r="I70" s="142">
        <v>0</v>
      </c>
      <c r="J70" s="142">
        <f>K70+L70+M70+N70</f>
        <v>29781</v>
      </c>
      <c r="K70" s="142">
        <f>40120-110-10229</f>
        <v>29781</v>
      </c>
      <c r="L70" s="142">
        <v>0</v>
      </c>
      <c r="M70" s="142">
        <v>0</v>
      </c>
      <c r="N70" s="142">
        <v>0</v>
      </c>
      <c r="O70" s="142">
        <f>P70+Q70+R70+S70</f>
        <v>0</v>
      </c>
      <c r="P70" s="142">
        <v>0</v>
      </c>
      <c r="Q70" s="142">
        <v>0</v>
      </c>
      <c r="R70" s="142">
        <v>0</v>
      </c>
      <c r="S70" s="142">
        <v>0</v>
      </c>
      <c r="T70" s="142">
        <f>U70+V70+W70+X70</f>
        <v>0</v>
      </c>
      <c r="U70" s="142">
        <v>0</v>
      </c>
      <c r="V70" s="142">
        <v>0</v>
      </c>
      <c r="W70" s="142">
        <v>0</v>
      </c>
      <c r="X70" s="142">
        <v>0</v>
      </c>
      <c r="Y70" s="142">
        <v>40120</v>
      </c>
      <c r="Z70" s="142">
        <v>40120</v>
      </c>
      <c r="AA70" s="142">
        <v>0</v>
      </c>
      <c r="AB70" s="142">
        <v>0</v>
      </c>
      <c r="AC70" s="142">
        <v>0</v>
      </c>
      <c r="AD70" s="142">
        <f>E70+J70+O70+T70+Y70</f>
        <v>95187</v>
      </c>
    </row>
    <row r="71" spans="1:32" ht="23.25">
      <c r="A71" s="632" t="s">
        <v>53</v>
      </c>
      <c r="B71" s="633"/>
      <c r="C71" s="634"/>
      <c r="D71" s="304"/>
      <c r="E71" s="148">
        <f t="shared" ref="E71:AD71" si="24">SUM(E70:E70)</f>
        <v>25286</v>
      </c>
      <c r="F71" s="148">
        <f>SUM(F70)</f>
        <v>25286</v>
      </c>
      <c r="G71" s="148">
        <f t="shared" si="24"/>
        <v>0</v>
      </c>
      <c r="H71" s="148">
        <f t="shared" si="24"/>
        <v>0</v>
      </c>
      <c r="I71" s="148">
        <f t="shared" si="24"/>
        <v>0</v>
      </c>
      <c r="J71" s="148">
        <f>J70</f>
        <v>29781</v>
      </c>
      <c r="K71" s="148">
        <f t="shared" si="24"/>
        <v>29781</v>
      </c>
      <c r="L71" s="148">
        <f t="shared" si="24"/>
        <v>0</v>
      </c>
      <c r="M71" s="148">
        <f t="shared" si="24"/>
        <v>0</v>
      </c>
      <c r="N71" s="148">
        <f t="shared" si="24"/>
        <v>0</v>
      </c>
      <c r="O71" s="148">
        <f t="shared" si="24"/>
        <v>0</v>
      </c>
      <c r="P71" s="148">
        <f t="shared" si="24"/>
        <v>0</v>
      </c>
      <c r="Q71" s="148">
        <f t="shared" si="24"/>
        <v>0</v>
      </c>
      <c r="R71" s="148">
        <f t="shared" si="24"/>
        <v>0</v>
      </c>
      <c r="S71" s="148">
        <f t="shared" si="24"/>
        <v>0</v>
      </c>
      <c r="T71" s="148">
        <f t="shared" si="24"/>
        <v>0</v>
      </c>
      <c r="U71" s="148">
        <f t="shared" si="24"/>
        <v>0</v>
      </c>
      <c r="V71" s="148">
        <f t="shared" si="24"/>
        <v>0</v>
      </c>
      <c r="W71" s="148">
        <f t="shared" si="24"/>
        <v>0</v>
      </c>
      <c r="X71" s="148">
        <f t="shared" si="24"/>
        <v>0</v>
      </c>
      <c r="Y71" s="148">
        <f t="shared" si="24"/>
        <v>40120</v>
      </c>
      <c r="Z71" s="148">
        <f t="shared" si="24"/>
        <v>40120</v>
      </c>
      <c r="AA71" s="148">
        <f t="shared" si="24"/>
        <v>0</v>
      </c>
      <c r="AB71" s="148">
        <f t="shared" si="24"/>
        <v>0</v>
      </c>
      <c r="AC71" s="148">
        <f t="shared" si="24"/>
        <v>0</v>
      </c>
      <c r="AD71" s="148">
        <f t="shared" si="24"/>
        <v>95187</v>
      </c>
    </row>
    <row r="72" spans="1:32" ht="23.25">
      <c r="A72" s="304" t="s">
        <v>254</v>
      </c>
      <c r="B72" s="572" t="s">
        <v>280</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4"/>
    </row>
    <row r="73" spans="1:32" ht="37.5">
      <c r="A73" s="304" t="s">
        <v>55</v>
      </c>
      <c r="B73" s="191" t="s">
        <v>96</v>
      </c>
      <c r="C73" s="41" t="s">
        <v>94</v>
      </c>
      <c r="D73" s="41" t="s">
        <v>93</v>
      </c>
      <c r="E73" s="142">
        <f>F73+G73+H73+I73</f>
        <v>7420</v>
      </c>
      <c r="F73" s="142">
        <f>6486+934</f>
        <v>7420</v>
      </c>
      <c r="G73" s="142">
        <v>0</v>
      </c>
      <c r="H73" s="142">
        <v>0</v>
      </c>
      <c r="I73" s="142">
        <v>0</v>
      </c>
      <c r="J73" s="282">
        <f>K73+L73+M73+N73</f>
        <v>6270</v>
      </c>
      <c r="K73" s="282">
        <f>7350-300-780</f>
        <v>6270</v>
      </c>
      <c r="L73" s="142">
        <v>0</v>
      </c>
      <c r="M73" s="142">
        <v>0</v>
      </c>
      <c r="N73" s="142">
        <v>0</v>
      </c>
      <c r="O73" s="142">
        <f>P73+Q73+R73+S73</f>
        <v>0</v>
      </c>
      <c r="P73" s="142">
        <v>0</v>
      </c>
      <c r="Q73" s="142">
        <v>0</v>
      </c>
      <c r="R73" s="142">
        <v>0</v>
      </c>
      <c r="S73" s="142">
        <v>0</v>
      </c>
      <c r="T73" s="142">
        <f>U73+V73+W73+X73</f>
        <v>0</v>
      </c>
      <c r="U73" s="142">
        <v>0</v>
      </c>
      <c r="V73" s="142">
        <v>0</v>
      </c>
      <c r="W73" s="142">
        <v>0</v>
      </c>
      <c r="X73" s="142">
        <v>0</v>
      </c>
      <c r="Y73" s="142">
        <f>Z73+AA73+AB73+AC73</f>
        <v>6486</v>
      </c>
      <c r="Z73" s="142">
        <v>6486</v>
      </c>
      <c r="AA73" s="142">
        <v>0</v>
      </c>
      <c r="AB73" s="142">
        <v>0</v>
      </c>
      <c r="AC73" s="142">
        <v>0</v>
      </c>
      <c r="AD73" s="142">
        <f>E73+J73+O73+T73+Y73</f>
        <v>20176</v>
      </c>
    </row>
    <row r="74" spans="1:32" ht="69.75">
      <c r="A74" s="304" t="s">
        <v>256</v>
      </c>
      <c r="B74" s="170" t="s">
        <v>209</v>
      </c>
      <c r="C74" s="41" t="s">
        <v>94</v>
      </c>
      <c r="D74" s="41" t="s">
        <v>93</v>
      </c>
      <c r="E74" s="142">
        <f>SUM(F74:I74)</f>
        <v>681</v>
      </c>
      <c r="F74" s="142">
        <v>681</v>
      </c>
      <c r="G74" s="142">
        <v>0</v>
      </c>
      <c r="H74" s="142">
        <v>0</v>
      </c>
      <c r="I74" s="142">
        <v>0</v>
      </c>
      <c r="J74" s="299">
        <f>K74+L74+M74+N74</f>
        <v>558</v>
      </c>
      <c r="K74" s="299">
        <f>684-126</f>
        <v>558</v>
      </c>
      <c r="L74" s="142">
        <v>0</v>
      </c>
      <c r="M74" s="142">
        <v>0</v>
      </c>
      <c r="N74" s="142">
        <v>0</v>
      </c>
      <c r="O74" s="142">
        <f>P74+Q74+R74+S74</f>
        <v>0</v>
      </c>
      <c r="P74" s="142">
        <v>0</v>
      </c>
      <c r="Q74" s="142">
        <v>0</v>
      </c>
      <c r="R74" s="142">
        <v>0</v>
      </c>
      <c r="S74" s="142">
        <v>0</v>
      </c>
      <c r="T74" s="142">
        <f>U74+V74+W74+X74</f>
        <v>0</v>
      </c>
      <c r="U74" s="142">
        <v>0</v>
      </c>
      <c r="V74" s="142">
        <v>0</v>
      </c>
      <c r="W74" s="142">
        <v>0</v>
      </c>
      <c r="X74" s="142">
        <v>0</v>
      </c>
      <c r="Y74" s="142">
        <f>Z74+AA74+AB74+AC74</f>
        <v>660</v>
      </c>
      <c r="Z74" s="142">
        <v>660</v>
      </c>
      <c r="AA74" s="142">
        <v>0</v>
      </c>
      <c r="AB74" s="142">
        <v>0</v>
      </c>
      <c r="AC74" s="142">
        <v>0</v>
      </c>
      <c r="AD74" s="142">
        <f>E74+J74+O74+T74+Y74</f>
        <v>1899</v>
      </c>
    </row>
    <row r="75" spans="1:32" ht="86.25" customHeight="1">
      <c r="A75" s="304" t="s">
        <v>257</v>
      </c>
      <c r="B75" s="170" t="s">
        <v>271</v>
      </c>
      <c r="C75" s="41" t="s">
        <v>266</v>
      </c>
      <c r="D75" s="41">
        <v>2020</v>
      </c>
      <c r="E75" s="142">
        <f>F75+G75+H75+I75</f>
        <v>774</v>
      </c>
      <c r="F75" s="142">
        <v>774</v>
      </c>
      <c r="G75" s="142">
        <v>0</v>
      </c>
      <c r="H75" s="142">
        <v>0</v>
      </c>
      <c r="I75" s="142">
        <v>0</v>
      </c>
      <c r="J75" s="142">
        <f>K75+L75+M75+N75</f>
        <v>350</v>
      </c>
      <c r="K75" s="142">
        <v>350</v>
      </c>
      <c r="L75" s="142">
        <v>0</v>
      </c>
      <c r="M75" s="142">
        <v>0</v>
      </c>
      <c r="N75" s="142">
        <v>0</v>
      </c>
      <c r="O75" s="142">
        <f>P75+Q75+R75+S75</f>
        <v>0</v>
      </c>
      <c r="P75" s="142">
        <v>0</v>
      </c>
      <c r="Q75" s="142">
        <v>0</v>
      </c>
      <c r="R75" s="142">
        <v>0</v>
      </c>
      <c r="S75" s="142">
        <v>0</v>
      </c>
      <c r="T75" s="142">
        <f>U75+V75+W75+X75</f>
        <v>0</v>
      </c>
      <c r="U75" s="142">
        <v>0</v>
      </c>
      <c r="V75" s="142">
        <v>0</v>
      </c>
      <c r="W75" s="142">
        <v>0</v>
      </c>
      <c r="X75" s="142">
        <v>0</v>
      </c>
      <c r="Y75" s="142">
        <f>Z75+AA75+AB75+AC75</f>
        <v>774</v>
      </c>
      <c r="Z75" s="142">
        <v>774</v>
      </c>
      <c r="AA75" s="142">
        <v>0</v>
      </c>
      <c r="AB75" s="142">
        <v>0</v>
      </c>
      <c r="AC75" s="142">
        <v>0</v>
      </c>
      <c r="AD75" s="142">
        <f>E75+J75+O75+T75+Y75</f>
        <v>1898</v>
      </c>
    </row>
    <row r="76" spans="1:32" ht="23.25">
      <c r="A76" s="632" t="s">
        <v>56</v>
      </c>
      <c r="B76" s="633"/>
      <c r="C76" s="634"/>
      <c r="D76" s="304"/>
      <c r="E76" s="148">
        <f>E73+E74+E75</f>
        <v>8875</v>
      </c>
      <c r="F76" s="148">
        <f>F73+F74+F75</f>
        <v>8875</v>
      </c>
      <c r="G76" s="148">
        <f>SUM(G73:G73)</f>
        <v>0</v>
      </c>
      <c r="H76" s="148">
        <f>SUM(H73:H73)</f>
        <v>0</v>
      </c>
      <c r="I76" s="148">
        <f>SUM(I73:I73)</f>
        <v>0</v>
      </c>
      <c r="J76" s="148">
        <f>J73+J74+J75</f>
        <v>7178</v>
      </c>
      <c r="K76" s="148">
        <f>K73+K74+K75</f>
        <v>7178</v>
      </c>
      <c r="L76" s="148">
        <f>SUM(L73:L73)</f>
        <v>0</v>
      </c>
      <c r="M76" s="148">
        <f>SUM(M73:M73)</f>
        <v>0</v>
      </c>
      <c r="N76" s="148">
        <f>SUM(N73:N73)</f>
        <v>0</v>
      </c>
      <c r="O76" s="148">
        <f>O73+O74+O75</f>
        <v>0</v>
      </c>
      <c r="P76" s="148">
        <f>P73+P74+P75</f>
        <v>0</v>
      </c>
      <c r="Q76" s="148">
        <f>SUM(Q73:Q73)</f>
        <v>0</v>
      </c>
      <c r="R76" s="148">
        <f>SUM(R73:R73)</f>
        <v>0</v>
      </c>
      <c r="S76" s="148">
        <f>SUM(S73:S73)</f>
        <v>0</v>
      </c>
      <c r="T76" s="148">
        <f>T73+T74+T75</f>
        <v>0</v>
      </c>
      <c r="U76" s="148">
        <f>U73+U74+U75</f>
        <v>0</v>
      </c>
      <c r="V76" s="148">
        <f>SUM(V73:V73)</f>
        <v>0</v>
      </c>
      <c r="W76" s="148">
        <f>SUM(W73:W73)</f>
        <v>0</v>
      </c>
      <c r="X76" s="148">
        <f>SUM(X73:X73)</f>
        <v>0</v>
      </c>
      <c r="Y76" s="148">
        <f>Y73+Y74+Y75</f>
        <v>7920</v>
      </c>
      <c r="Z76" s="148">
        <f>Z73+Z74+Z75</f>
        <v>7920</v>
      </c>
      <c r="AA76" s="148">
        <f>SUM(AA73:AA73)</f>
        <v>0</v>
      </c>
      <c r="AB76" s="148">
        <f>SUM(AB73:AB73)</f>
        <v>0</v>
      </c>
      <c r="AC76" s="148">
        <f>SUM(AC73:AC73)</f>
        <v>0</v>
      </c>
      <c r="AD76" s="148">
        <f>SUM(AD73:AD75)</f>
        <v>23973</v>
      </c>
    </row>
    <row r="77" spans="1:32" ht="23.25">
      <c r="A77" s="302" t="s">
        <v>135</v>
      </c>
      <c r="B77" s="302"/>
      <c r="C77" s="306"/>
      <c r="D77" s="157"/>
      <c r="E77" s="152">
        <f>E73+E74+E75</f>
        <v>8875</v>
      </c>
      <c r="F77" s="152">
        <f>F73+F74+F75</f>
        <v>8875</v>
      </c>
      <c r="G77" s="152">
        <v>0</v>
      </c>
      <c r="H77" s="152">
        <v>0</v>
      </c>
      <c r="I77" s="152">
        <v>0</v>
      </c>
      <c r="J77" s="152">
        <f>J73+J74+J75</f>
        <v>7178</v>
      </c>
      <c r="K77" s="152">
        <f>K73+K74+K75</f>
        <v>7178</v>
      </c>
      <c r="L77" s="152">
        <v>0</v>
      </c>
      <c r="M77" s="152">
        <v>0</v>
      </c>
      <c r="N77" s="152">
        <v>0</v>
      </c>
      <c r="O77" s="152">
        <f>O76</f>
        <v>0</v>
      </c>
      <c r="P77" s="152">
        <f>P76</f>
        <v>0</v>
      </c>
      <c r="Q77" s="152">
        <v>0</v>
      </c>
      <c r="R77" s="152">
        <v>0</v>
      </c>
      <c r="S77" s="152">
        <v>0</v>
      </c>
      <c r="T77" s="152">
        <f>T73+T74+T75</f>
        <v>0</v>
      </c>
      <c r="U77" s="152">
        <f>U73+U74+U75</f>
        <v>0</v>
      </c>
      <c r="V77" s="152">
        <v>0</v>
      </c>
      <c r="W77" s="152">
        <v>0</v>
      </c>
      <c r="X77" s="152">
        <v>0</v>
      </c>
      <c r="Y77" s="152">
        <f>Y73+Y74+Y75</f>
        <v>7920</v>
      </c>
      <c r="Z77" s="152">
        <f>Z73+Z74+Z75</f>
        <v>7920</v>
      </c>
      <c r="AA77" s="152">
        <v>0</v>
      </c>
      <c r="AB77" s="152">
        <v>0</v>
      </c>
      <c r="AC77" s="152">
        <v>0</v>
      </c>
      <c r="AD77" s="158">
        <f>AD73+AD74</f>
        <v>22075</v>
      </c>
    </row>
    <row r="78" spans="1:32" ht="23.25">
      <c r="A78" s="304" t="s">
        <v>97</v>
      </c>
      <c r="B78" s="572" t="s">
        <v>281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4"/>
    </row>
    <row r="79" spans="1:32" ht="129.75" customHeight="1">
      <c r="A79" s="214" t="s">
        <v>57</v>
      </c>
      <c r="B79" s="191" t="s">
        <v>290</v>
      </c>
      <c r="C79" s="41" t="s">
        <v>73</v>
      </c>
      <c r="D79" s="41" t="s">
        <v>93</v>
      </c>
      <c r="E79" s="142">
        <f xml:space="preserve"> SUM(F79:I79)</f>
        <v>136.19999999999999</v>
      </c>
      <c r="F79" s="142">
        <f>74.6+61.6</f>
        <v>136.19999999999999</v>
      </c>
      <c r="G79" s="142">
        <v>0</v>
      </c>
      <c r="H79" s="142">
        <v>0</v>
      </c>
      <c r="I79" s="142">
        <v>0</v>
      </c>
      <c r="J79" s="282">
        <f xml:space="preserve"> SUM(K79:N79)</f>
        <v>137.5</v>
      </c>
      <c r="K79" s="282">
        <f>142-4.5</f>
        <v>137.5</v>
      </c>
      <c r="L79" s="282">
        <v>0</v>
      </c>
      <c r="M79" s="142">
        <v>0</v>
      </c>
      <c r="N79" s="142">
        <v>0</v>
      </c>
      <c r="O79" s="142">
        <f xml:space="preserve"> SUM(P79:S79)</f>
        <v>142</v>
      </c>
      <c r="P79" s="142">
        <v>142</v>
      </c>
      <c r="Q79" s="142">
        <v>0</v>
      </c>
      <c r="R79" s="142">
        <v>0</v>
      </c>
      <c r="S79" s="142">
        <v>0</v>
      </c>
      <c r="T79" s="142">
        <f xml:space="preserve"> SUM(U79:X79)</f>
        <v>142</v>
      </c>
      <c r="U79" s="142">
        <v>142</v>
      </c>
      <c r="V79" s="142">
        <v>0</v>
      </c>
      <c r="W79" s="142">
        <v>0</v>
      </c>
      <c r="X79" s="142">
        <v>0</v>
      </c>
      <c r="Y79" s="142">
        <f xml:space="preserve"> SUM(Z79:AC79)</f>
        <v>145</v>
      </c>
      <c r="Z79" s="142">
        <v>145</v>
      </c>
      <c r="AA79" s="142">
        <v>0</v>
      </c>
      <c r="AB79" s="142">
        <v>0</v>
      </c>
      <c r="AC79" s="142">
        <v>0</v>
      </c>
      <c r="AD79" s="142">
        <f>E79+J79+O79+T79+Y79</f>
        <v>702.7</v>
      </c>
    </row>
    <row r="80" spans="1:32" ht="23.25">
      <c r="A80" s="575" t="s">
        <v>58</v>
      </c>
      <c r="B80" s="575"/>
      <c r="C80" s="575"/>
      <c r="D80" s="304"/>
      <c r="E80" s="148">
        <f>E79</f>
        <v>136.19999999999999</v>
      </c>
      <c r="F80" s="148">
        <f>F79</f>
        <v>136.19999999999999</v>
      </c>
      <c r="G80" s="148">
        <v>0</v>
      </c>
      <c r="H80" s="148">
        <v>0</v>
      </c>
      <c r="I80" s="148">
        <v>0</v>
      </c>
      <c r="J80" s="148">
        <f t="shared" ref="J80:AC80" si="25">J79</f>
        <v>137.5</v>
      </c>
      <c r="K80" s="148">
        <f t="shared" si="25"/>
        <v>137.5</v>
      </c>
      <c r="L80" s="148">
        <f t="shared" si="25"/>
        <v>0</v>
      </c>
      <c r="M80" s="148">
        <f t="shared" si="25"/>
        <v>0</v>
      </c>
      <c r="N80" s="148">
        <f t="shared" si="25"/>
        <v>0</v>
      </c>
      <c r="O80" s="148">
        <f t="shared" si="25"/>
        <v>142</v>
      </c>
      <c r="P80" s="148">
        <f t="shared" si="25"/>
        <v>142</v>
      </c>
      <c r="Q80" s="148">
        <f t="shared" si="25"/>
        <v>0</v>
      </c>
      <c r="R80" s="148">
        <f t="shared" si="25"/>
        <v>0</v>
      </c>
      <c r="S80" s="148">
        <f t="shared" si="25"/>
        <v>0</v>
      </c>
      <c r="T80" s="148">
        <f t="shared" si="25"/>
        <v>142</v>
      </c>
      <c r="U80" s="148">
        <f t="shared" si="25"/>
        <v>142</v>
      </c>
      <c r="V80" s="148">
        <f t="shared" si="25"/>
        <v>0</v>
      </c>
      <c r="W80" s="148">
        <f t="shared" si="25"/>
        <v>0</v>
      </c>
      <c r="X80" s="148">
        <f t="shared" si="25"/>
        <v>0</v>
      </c>
      <c r="Y80" s="148">
        <f t="shared" si="25"/>
        <v>145</v>
      </c>
      <c r="Z80" s="148">
        <f t="shared" si="25"/>
        <v>145</v>
      </c>
      <c r="AA80" s="148">
        <f t="shared" si="25"/>
        <v>0</v>
      </c>
      <c r="AB80" s="148">
        <f t="shared" si="25"/>
        <v>0</v>
      </c>
      <c r="AC80" s="148">
        <f t="shared" si="25"/>
        <v>0</v>
      </c>
      <c r="AD80" s="148">
        <f>E80+J80+O80+T80+Y80</f>
        <v>702.7</v>
      </c>
    </row>
    <row r="81" spans="1:30" ht="93" customHeight="1">
      <c r="A81" s="206">
        <v>10</v>
      </c>
      <c r="B81" s="562" t="s">
        <v>259</v>
      </c>
      <c r="C81" s="563"/>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4"/>
    </row>
    <row r="82" spans="1:30" ht="93">
      <c r="A82" s="215" t="s">
        <v>59</v>
      </c>
      <c r="B82" s="191" t="s">
        <v>186</v>
      </c>
      <c r="C82" s="308" t="s">
        <v>107</v>
      </c>
      <c r="D82" s="41" t="s">
        <v>93</v>
      </c>
      <c r="E82" s="216">
        <v>500</v>
      </c>
      <c r="F82" s="216">
        <v>500</v>
      </c>
      <c r="G82" s="216">
        <v>0</v>
      </c>
      <c r="H82" s="216">
        <v>0</v>
      </c>
      <c r="I82" s="216">
        <v>0</v>
      </c>
      <c r="J82" s="300">
        <f>K82+L82+M82+N82</f>
        <v>12</v>
      </c>
      <c r="K82" s="300">
        <f>24-12</f>
        <v>12</v>
      </c>
      <c r="L82" s="216">
        <v>0</v>
      </c>
      <c r="M82" s="216">
        <v>0</v>
      </c>
      <c r="N82" s="216">
        <v>0</v>
      </c>
      <c r="O82" s="216">
        <v>0</v>
      </c>
      <c r="P82" s="216">
        <v>0</v>
      </c>
      <c r="Q82" s="216">
        <v>0</v>
      </c>
      <c r="R82" s="216">
        <v>0</v>
      </c>
      <c r="S82" s="216">
        <v>0</v>
      </c>
      <c r="T82" s="216">
        <f t="shared" ref="T82:T87" si="26">U82+V82+W82+X82</f>
        <v>0</v>
      </c>
      <c r="U82" s="216">
        <v>0</v>
      </c>
      <c r="V82" s="216">
        <v>0</v>
      </c>
      <c r="W82" s="216">
        <v>0</v>
      </c>
      <c r="X82" s="216">
        <v>0</v>
      </c>
      <c r="Y82" s="216">
        <v>6480</v>
      </c>
      <c r="Z82" s="216">
        <v>6480</v>
      </c>
      <c r="AA82" s="216">
        <v>0</v>
      </c>
      <c r="AB82" s="216">
        <v>0</v>
      </c>
      <c r="AC82" s="216">
        <v>0</v>
      </c>
      <c r="AD82" s="216">
        <f>E82+J82+O82+T82+Y82</f>
        <v>6992</v>
      </c>
    </row>
    <row r="83" spans="1:30" ht="75">
      <c r="A83" s="215" t="s">
        <v>98</v>
      </c>
      <c r="B83" s="170" t="s">
        <v>159</v>
      </c>
      <c r="C83" s="163" t="s">
        <v>107</v>
      </c>
      <c r="D83" s="41" t="s">
        <v>93</v>
      </c>
      <c r="E83" s="216">
        <v>2880</v>
      </c>
      <c r="F83" s="216">
        <v>2880</v>
      </c>
      <c r="G83" s="216">
        <v>0</v>
      </c>
      <c r="H83" s="216">
        <v>0</v>
      </c>
      <c r="I83" s="216">
        <v>0</v>
      </c>
      <c r="J83" s="300">
        <f>K83+L83+M83+N83</f>
        <v>2730</v>
      </c>
      <c r="K83" s="300">
        <f>2880-150</f>
        <v>2730</v>
      </c>
      <c r="L83" s="216">
        <v>0</v>
      </c>
      <c r="M83" s="216">
        <v>0</v>
      </c>
      <c r="N83" s="216">
        <v>0</v>
      </c>
      <c r="O83" s="216">
        <v>0</v>
      </c>
      <c r="P83" s="216">
        <v>0</v>
      </c>
      <c r="Q83" s="216">
        <v>0</v>
      </c>
      <c r="R83" s="216">
        <v>0</v>
      </c>
      <c r="S83" s="216">
        <v>0</v>
      </c>
      <c r="T83" s="216">
        <f t="shared" si="26"/>
        <v>0</v>
      </c>
      <c r="U83" s="216">
        <v>0</v>
      </c>
      <c r="V83" s="216">
        <v>0</v>
      </c>
      <c r="W83" s="216">
        <v>0</v>
      </c>
      <c r="X83" s="216">
        <v>0</v>
      </c>
      <c r="Y83" s="216">
        <v>5760</v>
      </c>
      <c r="Z83" s="216">
        <v>5760</v>
      </c>
      <c r="AA83" s="216">
        <v>0</v>
      </c>
      <c r="AB83" s="216">
        <v>0</v>
      </c>
      <c r="AC83" s="216">
        <v>0</v>
      </c>
      <c r="AD83" s="216">
        <f>E83+J83+O83+T83+Y83</f>
        <v>11370</v>
      </c>
    </row>
    <row r="84" spans="1:30" ht="23.25" customHeight="1">
      <c r="A84" s="632" t="s">
        <v>60</v>
      </c>
      <c r="B84" s="633"/>
      <c r="C84" s="634"/>
      <c r="D84" s="215"/>
      <c r="E84" s="107">
        <f>E82+E83</f>
        <v>3380</v>
      </c>
      <c r="F84" s="107">
        <f>SUM(F82:F83)</f>
        <v>3380</v>
      </c>
      <c r="G84" s="107">
        <f>G82</f>
        <v>0</v>
      </c>
      <c r="H84" s="107">
        <f>I82</f>
        <v>0</v>
      </c>
      <c r="I84" s="107">
        <f t="shared" ref="I84:V84" si="27">I82</f>
        <v>0</v>
      </c>
      <c r="J84" s="107">
        <f>K84+L84+M84+N84</f>
        <v>2742</v>
      </c>
      <c r="K84" s="107">
        <f>K82+K83</f>
        <v>2742</v>
      </c>
      <c r="L84" s="107">
        <f t="shared" si="27"/>
        <v>0</v>
      </c>
      <c r="M84" s="107">
        <f t="shared" si="27"/>
        <v>0</v>
      </c>
      <c r="N84" s="107">
        <f t="shared" si="27"/>
        <v>0</v>
      </c>
      <c r="O84" s="107">
        <f>P84+Q84+R84+S84</f>
        <v>0</v>
      </c>
      <c r="P84" s="107">
        <f>P82+P83</f>
        <v>0</v>
      </c>
      <c r="Q84" s="107">
        <f t="shared" si="27"/>
        <v>0</v>
      </c>
      <c r="R84" s="107">
        <f t="shared" si="27"/>
        <v>0</v>
      </c>
      <c r="S84" s="107">
        <f t="shared" si="27"/>
        <v>0</v>
      </c>
      <c r="T84" s="107">
        <f t="shared" si="26"/>
        <v>0</v>
      </c>
      <c r="U84" s="107">
        <f>T82+T83</f>
        <v>0</v>
      </c>
      <c r="V84" s="107">
        <f t="shared" si="27"/>
        <v>0</v>
      </c>
      <c r="W84" s="107">
        <f>V82</f>
        <v>0</v>
      </c>
      <c r="X84" s="107">
        <f t="shared" ref="X84:AC84" si="28">X82</f>
        <v>0</v>
      </c>
      <c r="Y84" s="107">
        <f>Z84+AA84+AB84+AC84</f>
        <v>12240</v>
      </c>
      <c r="Z84" s="107">
        <f>Z82+Z83</f>
        <v>12240</v>
      </c>
      <c r="AA84" s="107">
        <f t="shared" si="28"/>
        <v>0</v>
      </c>
      <c r="AB84" s="107">
        <f t="shared" si="28"/>
        <v>0</v>
      </c>
      <c r="AC84" s="107">
        <f t="shared" si="28"/>
        <v>0</v>
      </c>
      <c r="AD84" s="107">
        <f>E84+J84+O84+T84+Y84</f>
        <v>18362</v>
      </c>
    </row>
    <row r="85" spans="1:30" ht="37.5" customHeight="1">
      <c r="A85" s="637" t="s">
        <v>298</v>
      </c>
      <c r="B85" s="638"/>
      <c r="C85" s="303"/>
      <c r="D85" s="215"/>
      <c r="E85" s="107">
        <f>E27+E33+E50+E55+E61+E68+E71+E76+E80+E84</f>
        <v>157092.37</v>
      </c>
      <c r="F85" s="107">
        <f>F27+F33+F50+F55+F61+F68+F71+F76+F80+F84</f>
        <v>108956.7</v>
      </c>
      <c r="G85" s="107">
        <f>G27+G33+G50+G55+G61+G68+G71+G76+G80+G84</f>
        <v>45966</v>
      </c>
      <c r="H85" s="107">
        <f>H27+H33+H50+H55+H61+H68+H71+H76+H80+H84</f>
        <v>0</v>
      </c>
      <c r="I85" s="107">
        <f>I27+I33+I50+I55+I61+I68+I71+I76+I80+I84</f>
        <v>2169.67</v>
      </c>
      <c r="J85" s="107">
        <f>K85+L85+M85+N85</f>
        <v>122219.1</v>
      </c>
      <c r="K85" s="107">
        <f>K27+K33+K50+K55+K61+K68+K71+K76+K80+K84</f>
        <v>94437.1</v>
      </c>
      <c r="L85" s="107">
        <f>L27+L33+L50+L55+L61+L68+L71+L76+L80+L84</f>
        <v>27782</v>
      </c>
      <c r="M85" s="107">
        <f>M27+M33+M50+M55+M61+M68+M71+M76+M80+M84</f>
        <v>0</v>
      </c>
      <c r="N85" s="107">
        <f>N27+N33+N50+N55+N61+N68+N71+N76+N80+N84</f>
        <v>0</v>
      </c>
      <c r="O85" s="107">
        <f>P85+Q85+R85+S85</f>
        <v>26252.5</v>
      </c>
      <c r="P85" s="107">
        <f>P27+P33+P50+P55+P61+P68+P71+P76+P80+P84</f>
        <v>2034.5</v>
      </c>
      <c r="Q85" s="107">
        <f>Q27+Q33+Q50+Q55+Q61+Q68+Q71+Q76+Q80+Q84</f>
        <v>24218</v>
      </c>
      <c r="R85" s="107">
        <f>R27+R33+R50+R55+R61+R68+R71+R76+R80+R84</f>
        <v>0</v>
      </c>
      <c r="S85" s="107">
        <f>S27+S33+S50+S55+S61+S68+S71+S76+S80+S84</f>
        <v>0</v>
      </c>
      <c r="T85" s="107">
        <f t="shared" si="26"/>
        <v>26252.5</v>
      </c>
      <c r="U85" s="107">
        <f>U27+U33+U50+U55+U63+U68+U71+U76+U80+U84</f>
        <v>2034.5</v>
      </c>
      <c r="V85" s="107">
        <f>V27+V33+V50+V55+V61+V68+V71+V76+V80+V84</f>
        <v>24218</v>
      </c>
      <c r="W85" s="107">
        <f>W27+W33+W50+W55+W61+W68+W71+W76+W80+W84</f>
        <v>0</v>
      </c>
      <c r="X85" s="107">
        <f>X27+X33+X50+X55+X61+X68+X71+X76+X80+X84</f>
        <v>0</v>
      </c>
      <c r="Y85" s="107">
        <f>Z85+AA85+AB85+AC85</f>
        <v>130727.8</v>
      </c>
      <c r="Z85" s="107">
        <f>Z27+Z33+Z50+Z55+Z61+Z68+Z71+Z76+Z80+Z84</f>
        <v>130727.8</v>
      </c>
      <c r="AA85" s="107">
        <f>AA27+AA33+AA50+AA55+AA61+AA68+AA71+AA76+AA80+AA84</f>
        <v>0</v>
      </c>
      <c r="AB85" s="107">
        <f>AB27+AB33+AB50+AB55+AB61+AB68+AB71+AB76+AB80+AB84</f>
        <v>0</v>
      </c>
      <c r="AC85" s="107">
        <f>AC27+AC33+AC50+AC55+AC61+AC68+AC71+AC76+AC80+AC84</f>
        <v>0</v>
      </c>
      <c r="AD85" s="107">
        <f>AD27+AD33+AD50+AD55+AD61+AD68+AD71+AD76+AD80+AD84</f>
        <v>462544.27</v>
      </c>
    </row>
    <row r="86" spans="1:30" ht="23.25" customHeight="1">
      <c r="A86" s="637" t="s">
        <v>299</v>
      </c>
      <c r="B86" s="638"/>
      <c r="C86" s="163" t="s">
        <v>73</v>
      </c>
      <c r="D86" s="304"/>
      <c r="E86" s="148">
        <v>0</v>
      </c>
      <c r="F86" s="148">
        <v>0</v>
      </c>
      <c r="G86" s="148">
        <v>0</v>
      </c>
      <c r="H86" s="148">
        <v>0</v>
      </c>
      <c r="I86" s="148">
        <v>0</v>
      </c>
      <c r="J86" s="301">
        <v>0</v>
      </c>
      <c r="K86" s="301">
        <v>0</v>
      </c>
      <c r="L86" s="148">
        <v>0</v>
      </c>
      <c r="M86" s="148">
        <v>0</v>
      </c>
      <c r="N86" s="148">
        <v>0</v>
      </c>
      <c r="O86" s="148">
        <f>P86+Q86+R86+S86</f>
        <v>1.5</v>
      </c>
      <c r="P86" s="148">
        <v>1.5</v>
      </c>
      <c r="Q86" s="148">
        <v>0</v>
      </c>
      <c r="R86" s="148">
        <v>0</v>
      </c>
      <c r="S86" s="148">
        <v>0</v>
      </c>
      <c r="T86" s="148">
        <f t="shared" si="26"/>
        <v>1.5</v>
      </c>
      <c r="U86" s="148">
        <v>1.5</v>
      </c>
      <c r="V86" s="148">
        <v>0</v>
      </c>
      <c r="W86" s="148">
        <v>0</v>
      </c>
      <c r="X86" s="148">
        <v>0</v>
      </c>
      <c r="Y86" s="148">
        <f>Z86+AA86+AC86+AB86</f>
        <v>1.5</v>
      </c>
      <c r="Z86" s="148">
        <f>Z62</f>
        <v>1.5</v>
      </c>
      <c r="AA86" s="148">
        <v>0</v>
      </c>
      <c r="AB86" s="148">
        <v>0</v>
      </c>
      <c r="AC86" s="148">
        <v>0</v>
      </c>
      <c r="AD86" s="148">
        <f>E86+J86+O86+T86+Y86</f>
        <v>4.5</v>
      </c>
    </row>
    <row r="87" spans="1:30" ht="23.25">
      <c r="A87" s="630" t="s">
        <v>300</v>
      </c>
      <c r="B87" s="630"/>
      <c r="C87" s="630"/>
      <c r="D87" s="215"/>
      <c r="E87" s="107">
        <f>E85+E86</f>
        <v>157092.37</v>
      </c>
      <c r="F87" s="107">
        <f>F85+F86</f>
        <v>108956.7</v>
      </c>
      <c r="G87" s="107">
        <f>G85+G86</f>
        <v>45966</v>
      </c>
      <c r="H87" s="107">
        <f>H29+H35+H52+H57+H63+H70+H73+H78+H82+H86</f>
        <v>0</v>
      </c>
      <c r="I87" s="107">
        <f>I85+I86</f>
        <v>2169.67</v>
      </c>
      <c r="J87" s="107">
        <f>K87+L87+M87+N87</f>
        <v>122219.1</v>
      </c>
      <c r="K87" s="107">
        <f>K85+K86</f>
        <v>94437.1</v>
      </c>
      <c r="L87" s="107">
        <f>L85+L86</f>
        <v>27782</v>
      </c>
      <c r="M87" s="107">
        <f>M29+M35+M52+M57+M63+M70+M73+M78+M82+M86</f>
        <v>0</v>
      </c>
      <c r="N87" s="107">
        <f>N29+N35+N52+N57+N63+N70+N73+N78+N82+N86</f>
        <v>0</v>
      </c>
      <c r="O87" s="107">
        <f>P87+Q87+R87+S87</f>
        <v>26254</v>
      </c>
      <c r="P87" s="107">
        <f>P85+P86</f>
        <v>2036</v>
      </c>
      <c r="Q87" s="107">
        <f>Q85+Q86</f>
        <v>24218</v>
      </c>
      <c r="R87" s="107">
        <f>R29+R35+R52+R57+R63+R70+R73+R78+R82+R86</f>
        <v>0</v>
      </c>
      <c r="S87" s="107">
        <f>S29+S35+S52+S57+S63+S70+S73+S78+S82+S86</f>
        <v>0</v>
      </c>
      <c r="T87" s="107">
        <f t="shared" si="26"/>
        <v>2036</v>
      </c>
      <c r="U87" s="107">
        <f>U85+U86</f>
        <v>2036</v>
      </c>
      <c r="V87" s="107">
        <f>V29+V35+V52+V57+V63+V70+V73+V78+V82+V86</f>
        <v>0</v>
      </c>
      <c r="W87" s="107">
        <f>W29+W35+W52+W57+W63+W70+W73+W78+W82+W86</f>
        <v>0</v>
      </c>
      <c r="X87" s="107">
        <f>X29+X35+X52+X57+X63+X70+X73+X78+X82+X86</f>
        <v>0</v>
      </c>
      <c r="Y87" s="107">
        <f>Z87+AA87+AB87+AC87</f>
        <v>130729.3</v>
      </c>
      <c r="Z87" s="107">
        <f>Z85+Z86</f>
        <v>130729.3</v>
      </c>
      <c r="AA87" s="107">
        <f>AA29+AA35+AA52+AA57+AA63+AA70+AA73+AA78+AA82+AA86</f>
        <v>0</v>
      </c>
      <c r="AB87" s="107">
        <f>AB29+AB35+AB52+AB57+AB63+AB70+AB73+AB78+AB82+AB86</f>
        <v>0</v>
      </c>
      <c r="AC87" s="107">
        <f>AC29+AC35+AC52+AC57+AC63+AC70+AC73+AC78+AC82+AC86</f>
        <v>0</v>
      </c>
      <c r="AD87" s="107">
        <f>AD85+AD86</f>
        <v>462548.77</v>
      </c>
    </row>
    <row r="88" spans="1:30">
      <c r="C88" s="199">
        <v>2020</v>
      </c>
      <c r="E88" s="218"/>
    </row>
    <row r="89" spans="1:30" ht="225">
      <c r="A89" s="222" t="s">
        <v>201</v>
      </c>
      <c r="B89" s="219" t="s">
        <v>134</v>
      </c>
      <c r="C89" s="218">
        <f>E29+E33+E52+E55+E64+E68+E71+E77+E84</f>
        <v>96915</v>
      </c>
      <c r="F89" s="218"/>
      <c r="J89" s="218"/>
      <c r="O89" s="218"/>
      <c r="T89" s="218"/>
      <c r="Y89" s="218"/>
      <c r="AC89" s="218"/>
    </row>
    <row r="90" spans="1:30">
      <c r="B90" s="219" t="s">
        <v>137</v>
      </c>
      <c r="C90" s="218">
        <f>E30+E51+E63+E80</f>
        <v>23882</v>
      </c>
      <c r="J90" s="218"/>
      <c r="O90" s="218"/>
      <c r="T90" s="218"/>
      <c r="Y90" s="218"/>
      <c r="AC90" s="218"/>
    </row>
    <row r="91" spans="1:30">
      <c r="B91" s="219" t="s">
        <v>138</v>
      </c>
      <c r="C91" s="218">
        <f>E28</f>
        <v>36295.369999999995</v>
      </c>
      <c r="J91" s="218"/>
      <c r="O91" s="218"/>
      <c r="T91" s="218"/>
      <c r="Y91" s="218"/>
      <c r="AC91" s="218"/>
    </row>
    <row r="92" spans="1:30">
      <c r="C92" s="218"/>
      <c r="J92" s="218"/>
      <c r="O92" s="218"/>
      <c r="T92" s="218"/>
      <c r="Y92" s="218"/>
      <c r="AC92" s="218"/>
    </row>
    <row r="93" spans="1:30">
      <c r="B93" s="219"/>
      <c r="C93" s="218">
        <f>C89+C90+C91</f>
        <v>157092.37</v>
      </c>
      <c r="J93" s="218"/>
      <c r="K93" s="218"/>
      <c r="O93" s="218"/>
      <c r="T93" s="218"/>
      <c r="Y93" s="218"/>
      <c r="AC93" s="218"/>
    </row>
    <row r="94" spans="1:30">
      <c r="C94" s="218"/>
      <c r="J94" s="218"/>
      <c r="O94" s="218"/>
      <c r="T94" s="218"/>
      <c r="Y94" s="218"/>
      <c r="AC94" s="218"/>
    </row>
    <row r="95" spans="1:30">
      <c r="C95" s="218"/>
      <c r="J95" s="218"/>
      <c r="O95" s="218"/>
      <c r="T95" s="218"/>
      <c r="Y95" s="218"/>
    </row>
    <row r="97" spans="2:29">
      <c r="B97" s="219" t="s">
        <v>195</v>
      </c>
      <c r="C97" s="218">
        <f>I85+N85+S85+X85+AC85</f>
        <v>2169.67</v>
      </c>
    </row>
    <row r="98" spans="2:29">
      <c r="B98" s="220" t="s">
        <v>196</v>
      </c>
      <c r="C98" s="218">
        <f>F85+K85+P85+U85+Z85</f>
        <v>338190.6</v>
      </c>
      <c r="D98" s="199" t="s">
        <v>301</v>
      </c>
      <c r="E98" s="218">
        <f>C98-3</f>
        <v>338187.6</v>
      </c>
      <c r="R98" s="199" t="s">
        <v>302</v>
      </c>
      <c r="T98" s="218">
        <f>C98-3</f>
        <v>338187.6</v>
      </c>
    </row>
    <row r="99" spans="2:29">
      <c r="B99" s="220" t="s">
        <v>197</v>
      </c>
      <c r="C99" s="218">
        <f>G85+L85+Q85+V85+AA85</f>
        <v>122184</v>
      </c>
    </row>
    <row r="100" spans="2:29">
      <c r="C100" s="218">
        <f>C97+C98+C99</f>
        <v>462544.26999999996</v>
      </c>
      <c r="AC100" s="218"/>
    </row>
    <row r="102" spans="2:29">
      <c r="B102" s="218">
        <f>127165-F85</f>
        <v>18208.300000000003</v>
      </c>
    </row>
    <row r="104" spans="2:29">
      <c r="Y104" s="221"/>
    </row>
    <row r="107" spans="2:29">
      <c r="D107" s="221"/>
      <c r="E107" s="221"/>
    </row>
    <row r="108" spans="2:29">
      <c r="D108" s="221"/>
      <c r="E108" s="221"/>
    </row>
    <row r="113" spans="4:4">
      <c r="D113" s="218">
        <f>G85+L85+Q85+V85+AA85</f>
        <v>122184</v>
      </c>
    </row>
  </sheetData>
  <mergeCells count="42">
    <mergeCell ref="A80:C80"/>
    <mergeCell ref="B81:AD81"/>
    <mergeCell ref="A86:B86"/>
    <mergeCell ref="A87:C87"/>
    <mergeCell ref="B69:AD69"/>
    <mergeCell ref="A71:C71"/>
    <mergeCell ref="B72:AD72"/>
    <mergeCell ref="A76:C76"/>
    <mergeCell ref="B78:AD78"/>
    <mergeCell ref="A85:B85"/>
    <mergeCell ref="A84:C84"/>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B66:AD66"/>
    <mergeCell ref="A68:C68"/>
    <mergeCell ref="A57:A58"/>
    <mergeCell ref="B57:B58"/>
    <mergeCell ref="C13:C14"/>
    <mergeCell ref="A27:C27"/>
    <mergeCell ref="B31:AD31"/>
    <mergeCell ref="A33:C33"/>
    <mergeCell ref="B34:AD34"/>
    <mergeCell ref="C38:C39"/>
    <mergeCell ref="C41:C45"/>
    <mergeCell ref="A50:C50"/>
    <mergeCell ref="B53:AD53"/>
    <mergeCell ref="A55:C55"/>
    <mergeCell ref="B56:AD56"/>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AF108"/>
  <sheetViews>
    <sheetView view="pageBreakPreview" topLeftCell="A61" zoomScale="50" zoomScaleSheetLayoutView="50" workbookViewId="0">
      <selection activeCell="A61" sqref="A1:XFD1048576"/>
    </sheetView>
  </sheetViews>
  <sheetFormatPr defaultRowHeight="18.75"/>
  <cols>
    <col min="1" max="1" width="6.140625" style="314" customWidth="1"/>
    <col min="2" max="2" width="188" style="315" customWidth="1"/>
    <col min="3" max="3" width="42.42578125" style="315" customWidth="1"/>
    <col min="4" max="4" width="23.5703125" style="315" customWidth="1"/>
    <col min="5" max="5" width="21.28515625" style="315" customWidth="1"/>
    <col min="6" max="6" width="22.42578125" style="315" customWidth="1"/>
    <col min="7" max="7" width="16.140625" style="315" customWidth="1"/>
    <col min="8" max="9" width="16.85546875" style="315" customWidth="1"/>
    <col min="10" max="10" width="21.140625" style="315" customWidth="1"/>
    <col min="11" max="11" width="18.140625" style="315" customWidth="1"/>
    <col min="12" max="12" width="15" style="315" customWidth="1"/>
    <col min="13" max="13" width="14.7109375" style="315" customWidth="1"/>
    <col min="14" max="14" width="14.28515625" style="315" customWidth="1"/>
    <col min="15" max="15" width="17.140625" style="315" customWidth="1"/>
    <col min="16" max="16" width="18.7109375" style="315" customWidth="1"/>
    <col min="17" max="17" width="17.28515625" style="315" customWidth="1"/>
    <col min="18" max="18" width="19" style="315" customWidth="1"/>
    <col min="19" max="19" width="13" style="315" customWidth="1"/>
    <col min="20" max="20" width="16.42578125" style="315" customWidth="1"/>
    <col min="21" max="21" width="12.7109375" style="315" customWidth="1"/>
    <col min="22" max="22" width="11.85546875" style="315" customWidth="1"/>
    <col min="23" max="23" width="11.7109375" style="315" customWidth="1"/>
    <col min="24" max="24" width="10.28515625" style="315" customWidth="1"/>
    <col min="25" max="25" width="18" style="315" customWidth="1"/>
    <col min="26" max="26" width="14.5703125" style="315" customWidth="1"/>
    <col min="27" max="27" width="13" style="315" customWidth="1"/>
    <col min="28" max="28" width="12.7109375" style="315" customWidth="1"/>
    <col min="29" max="29" width="14.28515625" style="315" customWidth="1"/>
    <col min="30" max="30" width="17.7109375" style="315" customWidth="1"/>
    <col min="31" max="16384" width="9.140625" style="316"/>
  </cols>
  <sheetData>
    <row r="1" spans="1:30">
      <c r="Z1" s="315" t="s">
        <v>260</v>
      </c>
    </row>
    <row r="2" spans="1:30">
      <c r="Z2" s="315" t="s">
        <v>261</v>
      </c>
    </row>
    <row r="3" spans="1:30" ht="18.75" customHeight="1">
      <c r="L3" s="317"/>
      <c r="M3" s="317"/>
      <c r="N3" s="317"/>
      <c r="O3" s="317"/>
      <c r="P3" s="317"/>
      <c r="Q3" s="317"/>
      <c r="R3" s="317"/>
      <c r="S3" s="317"/>
      <c r="T3" s="317"/>
      <c r="U3" s="317"/>
      <c r="V3" s="317"/>
      <c r="W3" s="317"/>
      <c r="X3" s="317"/>
      <c r="Y3" s="317"/>
      <c r="Z3" s="675" t="s">
        <v>262</v>
      </c>
      <c r="AA3" s="675"/>
      <c r="AB3" s="675"/>
      <c r="AC3" s="675"/>
      <c r="AD3" s="675"/>
    </row>
    <row r="4" spans="1:30" ht="18.75" customHeight="1">
      <c r="V4" s="676" t="s">
        <v>272</v>
      </c>
      <c r="W4" s="676"/>
      <c r="X4" s="676"/>
      <c r="Y4" s="676"/>
      <c r="Z4" s="676"/>
      <c r="AA4" s="676"/>
      <c r="AB4" s="676"/>
      <c r="AC4" s="676"/>
      <c r="AD4" s="676"/>
    </row>
    <row r="5" spans="1:30">
      <c r="A5" s="677" t="s">
        <v>0</v>
      </c>
      <c r="B5" s="677"/>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row>
    <row r="7" spans="1:30" ht="19.5" customHeight="1">
      <c r="A7" s="664" t="s">
        <v>1</v>
      </c>
      <c r="B7" s="664" t="s">
        <v>219</v>
      </c>
      <c r="C7" s="664" t="s">
        <v>2</v>
      </c>
      <c r="D7" s="664" t="s">
        <v>3</v>
      </c>
      <c r="E7" s="679" t="s">
        <v>273</v>
      </c>
      <c r="F7" s="680"/>
      <c r="G7" s="680"/>
      <c r="H7" s="680"/>
      <c r="I7" s="680"/>
      <c r="J7" s="680"/>
      <c r="K7" s="680"/>
      <c r="L7" s="680"/>
      <c r="M7" s="680"/>
      <c r="N7" s="680"/>
      <c r="O7" s="680"/>
      <c r="P7" s="680"/>
      <c r="Q7" s="680"/>
      <c r="R7" s="680"/>
      <c r="S7" s="680"/>
      <c r="T7" s="680"/>
      <c r="U7" s="680"/>
      <c r="V7" s="680"/>
      <c r="W7" s="680"/>
      <c r="X7" s="680"/>
      <c r="Y7" s="680"/>
      <c r="Z7" s="680"/>
      <c r="AA7" s="680"/>
      <c r="AB7" s="680"/>
      <c r="AC7" s="680"/>
      <c r="AD7" s="681"/>
    </row>
    <row r="8" spans="1:30" ht="18.75" customHeight="1">
      <c r="A8" s="678"/>
      <c r="B8" s="678"/>
      <c r="C8" s="678"/>
      <c r="D8" s="678"/>
      <c r="E8" s="682" t="s">
        <v>88</v>
      </c>
      <c r="F8" s="683"/>
      <c r="G8" s="683"/>
      <c r="H8" s="683"/>
      <c r="I8" s="684"/>
      <c r="J8" s="682" t="s">
        <v>89</v>
      </c>
      <c r="K8" s="683"/>
      <c r="L8" s="683"/>
      <c r="M8" s="683"/>
      <c r="N8" s="684"/>
      <c r="O8" s="682" t="s">
        <v>90</v>
      </c>
      <c r="P8" s="683"/>
      <c r="Q8" s="683"/>
      <c r="R8" s="683"/>
      <c r="S8" s="684"/>
      <c r="T8" s="682" t="s">
        <v>91</v>
      </c>
      <c r="U8" s="683"/>
      <c r="V8" s="683"/>
      <c r="W8" s="683"/>
      <c r="X8" s="684"/>
      <c r="Y8" s="682" t="s">
        <v>92</v>
      </c>
      <c r="Z8" s="683"/>
      <c r="AA8" s="683"/>
      <c r="AB8" s="683"/>
      <c r="AC8" s="684"/>
      <c r="AD8" s="664" t="s">
        <v>5</v>
      </c>
    </row>
    <row r="9" spans="1:30" ht="87.75" customHeight="1">
      <c r="A9" s="665"/>
      <c r="B9" s="665"/>
      <c r="C9" s="665"/>
      <c r="D9" s="665"/>
      <c r="E9" s="318" t="s">
        <v>6</v>
      </c>
      <c r="F9" s="319" t="s">
        <v>7</v>
      </c>
      <c r="G9" s="319" t="s">
        <v>8</v>
      </c>
      <c r="H9" s="319" t="s">
        <v>9</v>
      </c>
      <c r="I9" s="320" t="s">
        <v>10</v>
      </c>
      <c r="J9" s="318" t="s">
        <v>6</v>
      </c>
      <c r="K9" s="319" t="s">
        <v>7</v>
      </c>
      <c r="L9" s="319" t="s">
        <v>8</v>
      </c>
      <c r="M9" s="319" t="s">
        <v>9</v>
      </c>
      <c r="N9" s="320" t="s">
        <v>10</v>
      </c>
      <c r="O9" s="318" t="s">
        <v>6</v>
      </c>
      <c r="P9" s="319" t="s">
        <v>7</v>
      </c>
      <c r="Q9" s="319" t="s">
        <v>8</v>
      </c>
      <c r="R9" s="319" t="s">
        <v>9</v>
      </c>
      <c r="S9" s="320" t="s">
        <v>10</v>
      </c>
      <c r="T9" s="318" t="s">
        <v>6</v>
      </c>
      <c r="U9" s="319" t="s">
        <v>7</v>
      </c>
      <c r="V9" s="319" t="s">
        <v>8</v>
      </c>
      <c r="W9" s="319" t="s">
        <v>9</v>
      </c>
      <c r="X9" s="320" t="s">
        <v>10</v>
      </c>
      <c r="Y9" s="318" t="s">
        <v>6</v>
      </c>
      <c r="Z9" s="319" t="s">
        <v>7</v>
      </c>
      <c r="AA9" s="319" t="s">
        <v>8</v>
      </c>
      <c r="AB9" s="319" t="s">
        <v>9</v>
      </c>
      <c r="AC9" s="320" t="s">
        <v>10</v>
      </c>
      <c r="AD9" s="665"/>
    </row>
    <row r="10" spans="1:30">
      <c r="A10" s="321">
        <v>1</v>
      </c>
      <c r="B10" s="321">
        <v>2</v>
      </c>
      <c r="C10" s="321">
        <v>3</v>
      </c>
      <c r="D10" s="321">
        <v>4</v>
      </c>
      <c r="E10" s="321">
        <v>5</v>
      </c>
      <c r="F10" s="321">
        <v>6</v>
      </c>
      <c r="G10" s="321">
        <v>7</v>
      </c>
      <c r="H10" s="321">
        <v>8</v>
      </c>
      <c r="I10" s="321">
        <v>9</v>
      </c>
      <c r="J10" s="321">
        <v>10</v>
      </c>
      <c r="K10" s="321">
        <v>11</v>
      </c>
      <c r="L10" s="321">
        <v>12</v>
      </c>
      <c r="M10" s="321">
        <v>13</v>
      </c>
      <c r="N10" s="321">
        <v>14</v>
      </c>
      <c r="O10" s="321">
        <v>15</v>
      </c>
      <c r="P10" s="321">
        <v>16</v>
      </c>
      <c r="Q10" s="321">
        <v>17</v>
      </c>
      <c r="R10" s="321">
        <v>18</v>
      </c>
      <c r="S10" s="321">
        <v>19</v>
      </c>
      <c r="T10" s="321">
        <v>20</v>
      </c>
      <c r="U10" s="321">
        <v>21</v>
      </c>
      <c r="V10" s="321">
        <v>22</v>
      </c>
      <c r="W10" s="321">
        <v>23</v>
      </c>
      <c r="X10" s="321">
        <v>24</v>
      </c>
      <c r="Y10" s="321">
        <v>25</v>
      </c>
      <c r="Z10" s="321">
        <v>26</v>
      </c>
      <c r="AA10" s="321">
        <v>27</v>
      </c>
      <c r="AB10" s="321">
        <v>28</v>
      </c>
      <c r="AC10" s="321">
        <v>29</v>
      </c>
      <c r="AD10" s="321">
        <v>30</v>
      </c>
    </row>
    <row r="11" spans="1:30" ht="18.75" customHeight="1">
      <c r="A11" s="666" t="s">
        <v>274</v>
      </c>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8"/>
    </row>
    <row r="12" spans="1:30" ht="23.25">
      <c r="A12" s="322" t="s">
        <v>221</v>
      </c>
      <c r="B12" s="669" t="s">
        <v>275</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1"/>
    </row>
    <row r="13" spans="1:30" ht="93">
      <c r="A13" s="323" t="s">
        <v>12</v>
      </c>
      <c r="B13" s="324" t="s">
        <v>81</v>
      </c>
      <c r="C13" s="661" t="s">
        <v>14</v>
      </c>
      <c r="D13" s="325" t="s">
        <v>93</v>
      </c>
      <c r="E13" s="298">
        <f>SUM(F13:I13)</f>
        <v>28350</v>
      </c>
      <c r="F13" s="298">
        <f>43350-15000</f>
        <v>28350</v>
      </c>
      <c r="G13" s="298">
        <v>0</v>
      </c>
      <c r="H13" s="298">
        <v>0</v>
      </c>
      <c r="I13" s="298">
        <v>0</v>
      </c>
      <c r="J13" s="298">
        <f>K13+L13+M13+N13</f>
        <v>26292</v>
      </c>
      <c r="K13" s="298">
        <f>19722+15778-9208</f>
        <v>26292</v>
      </c>
      <c r="L13" s="298">
        <v>0</v>
      </c>
      <c r="M13" s="299">
        <v>0</v>
      </c>
      <c r="N13" s="299">
        <v>0</v>
      </c>
      <c r="O13" s="299">
        <f>P13+Q13+R13+S13</f>
        <v>42513</v>
      </c>
      <c r="P13" s="299">
        <v>42513</v>
      </c>
      <c r="Q13" s="299">
        <v>0</v>
      </c>
      <c r="R13" s="299">
        <v>0</v>
      </c>
      <c r="S13" s="299">
        <v>0</v>
      </c>
      <c r="T13" s="299">
        <f>U13+V13+W13+X13</f>
        <v>0</v>
      </c>
      <c r="U13" s="299">
        <v>0</v>
      </c>
      <c r="V13" s="299">
        <v>0</v>
      </c>
      <c r="W13" s="299">
        <v>0</v>
      </c>
      <c r="X13" s="299">
        <v>0</v>
      </c>
      <c r="Y13" s="299">
        <f>Z13+AA13+AB13+AC13</f>
        <v>0</v>
      </c>
      <c r="Z13" s="299">
        <v>0</v>
      </c>
      <c r="AA13" s="299">
        <v>0</v>
      </c>
      <c r="AB13" s="299">
        <v>0</v>
      </c>
      <c r="AC13" s="299">
        <v>0</v>
      </c>
      <c r="AD13" s="326">
        <f t="shared" ref="AD13:AD18" si="0">E13+J13+O13+T13+Y13</f>
        <v>97155</v>
      </c>
    </row>
    <row r="14" spans="1:30" ht="116.25">
      <c r="A14" s="323" t="s">
        <v>13</v>
      </c>
      <c r="B14" s="327" t="s">
        <v>268</v>
      </c>
      <c r="C14" s="663"/>
      <c r="D14" s="325" t="s">
        <v>93</v>
      </c>
      <c r="E14" s="298">
        <f>SUM(F14:I14)</f>
        <v>7359</v>
      </c>
      <c r="F14" s="298">
        <f>12748-5387-2060</f>
        <v>5301</v>
      </c>
      <c r="G14" s="298">
        <v>0</v>
      </c>
      <c r="H14" s="298">
        <v>0</v>
      </c>
      <c r="I14" s="298">
        <f>4602-2544</f>
        <v>2058</v>
      </c>
      <c r="J14" s="298">
        <v>0</v>
      </c>
      <c r="K14" s="298">
        <v>0</v>
      </c>
      <c r="L14" s="298">
        <v>0</v>
      </c>
      <c r="M14" s="299">
        <v>0</v>
      </c>
      <c r="N14" s="299">
        <v>0</v>
      </c>
      <c r="O14" s="299">
        <v>0</v>
      </c>
      <c r="P14" s="299">
        <v>0</v>
      </c>
      <c r="Q14" s="299">
        <v>0</v>
      </c>
      <c r="R14" s="299">
        <v>0</v>
      </c>
      <c r="S14" s="299">
        <v>0</v>
      </c>
      <c r="T14" s="299">
        <f>U14+V14+W14+X14</f>
        <v>0</v>
      </c>
      <c r="U14" s="299">
        <v>0</v>
      </c>
      <c r="V14" s="299">
        <v>0</v>
      </c>
      <c r="W14" s="299">
        <v>0</v>
      </c>
      <c r="X14" s="299">
        <v>0</v>
      </c>
      <c r="Y14" s="299">
        <f>Z14+AA14+AB14+AC14</f>
        <v>0</v>
      </c>
      <c r="Z14" s="299">
        <v>0</v>
      </c>
      <c r="AA14" s="299">
        <v>0</v>
      </c>
      <c r="AB14" s="299">
        <v>0</v>
      </c>
      <c r="AC14" s="299">
        <v>0</v>
      </c>
      <c r="AD14" s="326">
        <f t="shared" si="0"/>
        <v>7359</v>
      </c>
    </row>
    <row r="15" spans="1:30" ht="93">
      <c r="A15" s="323" t="s">
        <v>15</v>
      </c>
      <c r="B15" s="328" t="s">
        <v>117</v>
      </c>
      <c r="C15" s="329" t="s">
        <v>218</v>
      </c>
      <c r="D15" s="322" t="s">
        <v>93</v>
      </c>
      <c r="E15" s="298">
        <f>F15+G15+H15+I15</f>
        <v>8260</v>
      </c>
      <c r="F15" s="298">
        <f>8260</f>
        <v>8260</v>
      </c>
      <c r="G15" s="298">
        <v>0</v>
      </c>
      <c r="H15" s="298">
        <v>0</v>
      </c>
      <c r="I15" s="298">
        <v>0</v>
      </c>
      <c r="J15" s="298">
        <f>K15+L15+M15+N15</f>
        <v>11513</v>
      </c>
      <c r="K15" s="298">
        <v>11513</v>
      </c>
      <c r="L15" s="298">
        <v>0</v>
      </c>
      <c r="M15" s="299">
        <v>0</v>
      </c>
      <c r="N15" s="299">
        <v>0</v>
      </c>
      <c r="O15" s="299">
        <f>P15+Q15+R15+S15</f>
        <v>10547</v>
      </c>
      <c r="P15" s="299">
        <v>10547</v>
      </c>
      <c r="Q15" s="299">
        <v>0</v>
      </c>
      <c r="R15" s="299">
        <v>0</v>
      </c>
      <c r="S15" s="299">
        <v>0</v>
      </c>
      <c r="T15" s="299">
        <f>U15+V15+W15+X15</f>
        <v>0</v>
      </c>
      <c r="U15" s="299">
        <v>0</v>
      </c>
      <c r="V15" s="299">
        <v>0</v>
      </c>
      <c r="W15" s="299">
        <v>0</v>
      </c>
      <c r="X15" s="299">
        <v>0</v>
      </c>
      <c r="Y15" s="299">
        <f>Z15+AA15+AB15+AC15</f>
        <v>0</v>
      </c>
      <c r="Z15" s="299">
        <v>0</v>
      </c>
      <c r="AA15" s="299">
        <v>0</v>
      </c>
      <c r="AB15" s="299">
        <v>0</v>
      </c>
      <c r="AC15" s="299">
        <v>0</v>
      </c>
      <c r="AD15" s="326">
        <f t="shared" si="0"/>
        <v>30320</v>
      </c>
    </row>
    <row r="16" spans="1:30" ht="93">
      <c r="A16" s="323" t="s">
        <v>16</v>
      </c>
      <c r="B16" s="330" t="s">
        <v>270</v>
      </c>
      <c r="C16" s="331" t="s">
        <v>14</v>
      </c>
      <c r="D16" s="322" t="s">
        <v>93</v>
      </c>
      <c r="E16" s="298">
        <f>F16+G16+H16+I16</f>
        <v>586.36999999999978</v>
      </c>
      <c r="F16" s="298">
        <f>3300-2825.3</f>
        <v>474.69999999999982</v>
      </c>
      <c r="G16" s="298">
        <v>0</v>
      </c>
      <c r="H16" s="298">
        <v>0</v>
      </c>
      <c r="I16" s="298">
        <f>775-663.33</f>
        <v>111.66999999999996</v>
      </c>
      <c r="J16" s="298">
        <v>0</v>
      </c>
      <c r="K16" s="298">
        <v>0</v>
      </c>
      <c r="L16" s="298">
        <v>0</v>
      </c>
      <c r="M16" s="299">
        <v>0</v>
      </c>
      <c r="N16" s="299">
        <v>0</v>
      </c>
      <c r="O16" s="299">
        <v>0</v>
      </c>
      <c r="P16" s="299">
        <v>0</v>
      </c>
      <c r="Q16" s="299">
        <v>0</v>
      </c>
      <c r="R16" s="299">
        <v>0</v>
      </c>
      <c r="S16" s="299">
        <v>0</v>
      </c>
      <c r="T16" s="299">
        <v>0</v>
      </c>
      <c r="U16" s="299">
        <v>0</v>
      </c>
      <c r="V16" s="299">
        <v>0</v>
      </c>
      <c r="W16" s="299">
        <v>0</v>
      </c>
      <c r="X16" s="299">
        <v>0</v>
      </c>
      <c r="Y16" s="299">
        <v>0</v>
      </c>
      <c r="Z16" s="299">
        <v>0</v>
      </c>
      <c r="AA16" s="299">
        <v>0</v>
      </c>
      <c r="AB16" s="299">
        <v>0</v>
      </c>
      <c r="AC16" s="299">
        <v>0</v>
      </c>
      <c r="AD16" s="326">
        <f t="shared" si="0"/>
        <v>586.36999999999978</v>
      </c>
    </row>
    <row r="17" spans="1:31" ht="37.5" customHeight="1">
      <c r="A17" s="323" t="s">
        <v>17</v>
      </c>
      <c r="B17" s="330" t="s">
        <v>210</v>
      </c>
      <c r="C17" s="329" t="s">
        <v>94</v>
      </c>
      <c r="D17" s="332">
        <v>2020</v>
      </c>
      <c r="E17" s="298">
        <f t="shared" ref="E17:E22" si="1">F17+G17+H17+I17</f>
        <v>1192</v>
      </c>
      <c r="F17" s="298">
        <v>1192</v>
      </c>
      <c r="G17" s="298">
        <v>0</v>
      </c>
      <c r="H17" s="298">
        <v>0</v>
      </c>
      <c r="I17" s="298">
        <v>0</v>
      </c>
      <c r="J17" s="298">
        <f t="shared" ref="J17:J22" si="2">K17+L17+M17+N17</f>
        <v>0</v>
      </c>
      <c r="K17" s="298">
        <v>0</v>
      </c>
      <c r="L17" s="298">
        <v>0</v>
      </c>
      <c r="M17" s="299">
        <v>0</v>
      </c>
      <c r="N17" s="299">
        <v>0</v>
      </c>
      <c r="O17" s="299">
        <f>P17+Q17+R17+S17</f>
        <v>0</v>
      </c>
      <c r="P17" s="299">
        <v>0</v>
      </c>
      <c r="Q17" s="299">
        <v>0</v>
      </c>
      <c r="R17" s="299">
        <v>0</v>
      </c>
      <c r="S17" s="299">
        <v>0</v>
      </c>
      <c r="T17" s="299">
        <f>U17+V17+W17+X17</f>
        <v>0</v>
      </c>
      <c r="U17" s="299">
        <v>0</v>
      </c>
      <c r="V17" s="299">
        <v>0</v>
      </c>
      <c r="W17" s="299">
        <v>0</v>
      </c>
      <c r="X17" s="299">
        <v>0</v>
      </c>
      <c r="Y17" s="299">
        <f>Z17+AA17+AB17+AC17</f>
        <v>0</v>
      </c>
      <c r="Z17" s="299">
        <v>0</v>
      </c>
      <c r="AA17" s="299">
        <v>0</v>
      </c>
      <c r="AB17" s="299">
        <v>0</v>
      </c>
      <c r="AC17" s="299">
        <v>0</v>
      </c>
      <c r="AD17" s="299">
        <f t="shared" si="0"/>
        <v>1192</v>
      </c>
    </row>
    <row r="18" spans="1:31" ht="46.5" customHeight="1">
      <c r="A18" s="323" t="s">
        <v>163</v>
      </c>
      <c r="B18" s="330" t="s">
        <v>121</v>
      </c>
      <c r="C18" s="329" t="s">
        <v>94</v>
      </c>
      <c r="D18" s="332" t="s">
        <v>164</v>
      </c>
      <c r="E18" s="298">
        <f t="shared" si="1"/>
        <v>6060</v>
      </c>
      <c r="F18" s="298">
        <f>6183-123</f>
        <v>6060</v>
      </c>
      <c r="G18" s="298">
        <v>0</v>
      </c>
      <c r="H18" s="298">
        <v>0</v>
      </c>
      <c r="I18" s="298">
        <v>0</v>
      </c>
      <c r="J18" s="298">
        <f t="shared" si="2"/>
        <v>5586</v>
      </c>
      <c r="K18" s="298">
        <f>5832-126-120</f>
        <v>5586</v>
      </c>
      <c r="L18" s="298">
        <v>0</v>
      </c>
      <c r="M18" s="299">
        <v>0</v>
      </c>
      <c r="N18" s="299">
        <v>0</v>
      </c>
      <c r="O18" s="299">
        <f>P18+Q18+R18+S18</f>
        <v>5760</v>
      </c>
      <c r="P18" s="299">
        <v>5760</v>
      </c>
      <c r="Q18" s="299">
        <v>0</v>
      </c>
      <c r="R18" s="299">
        <v>0</v>
      </c>
      <c r="S18" s="299">
        <v>0</v>
      </c>
      <c r="T18" s="299">
        <f>U18+V18+W18+X18</f>
        <v>0</v>
      </c>
      <c r="U18" s="299">
        <v>0</v>
      </c>
      <c r="V18" s="299">
        <v>0</v>
      </c>
      <c r="W18" s="299">
        <v>0</v>
      </c>
      <c r="X18" s="299">
        <v>0</v>
      </c>
      <c r="Y18" s="299">
        <f>Z18+AA18+AB18+AC18</f>
        <v>0</v>
      </c>
      <c r="Z18" s="299">
        <v>0</v>
      </c>
      <c r="AA18" s="299">
        <v>0</v>
      </c>
      <c r="AB18" s="299">
        <v>0</v>
      </c>
      <c r="AC18" s="299">
        <v>0</v>
      </c>
      <c r="AD18" s="299">
        <f t="shared" si="0"/>
        <v>17406</v>
      </c>
    </row>
    <row r="19" spans="1:31" ht="37.5" customHeight="1">
      <c r="A19" s="323" t="s">
        <v>182</v>
      </c>
      <c r="B19" s="333" t="s">
        <v>124</v>
      </c>
      <c r="C19" s="329" t="s">
        <v>94</v>
      </c>
      <c r="D19" s="332" t="s">
        <v>282</v>
      </c>
      <c r="E19" s="298">
        <f t="shared" si="1"/>
        <v>785</v>
      </c>
      <c r="F19" s="298">
        <v>785</v>
      </c>
      <c r="G19" s="298">
        <v>0</v>
      </c>
      <c r="H19" s="298">
        <v>0</v>
      </c>
      <c r="I19" s="298">
        <v>0</v>
      </c>
      <c r="J19" s="298">
        <f t="shared" si="2"/>
        <v>90</v>
      </c>
      <c r="K19" s="298">
        <v>90</v>
      </c>
      <c r="L19" s="298">
        <v>0</v>
      </c>
      <c r="M19" s="299">
        <v>0</v>
      </c>
      <c r="N19" s="299">
        <v>0</v>
      </c>
      <c r="O19" s="299">
        <v>0</v>
      </c>
      <c r="P19" s="299">
        <v>0</v>
      </c>
      <c r="Q19" s="299">
        <v>0</v>
      </c>
      <c r="R19" s="299">
        <v>0</v>
      </c>
      <c r="S19" s="299">
        <v>0</v>
      </c>
      <c r="T19" s="299">
        <v>0</v>
      </c>
      <c r="U19" s="299">
        <v>0</v>
      </c>
      <c r="V19" s="299">
        <v>0</v>
      </c>
      <c r="W19" s="299">
        <v>0</v>
      </c>
      <c r="X19" s="299">
        <v>0</v>
      </c>
      <c r="Y19" s="299">
        <v>0</v>
      </c>
      <c r="Z19" s="299">
        <v>0</v>
      </c>
      <c r="AA19" s="299">
        <v>0</v>
      </c>
      <c r="AB19" s="299">
        <v>0</v>
      </c>
      <c r="AC19" s="299">
        <v>0</v>
      </c>
      <c r="AD19" s="299">
        <f>E19+J19+O19+T19+Y19</f>
        <v>875</v>
      </c>
    </row>
    <row r="20" spans="1:31" ht="46.5" customHeight="1">
      <c r="A20" s="323" t="s">
        <v>208</v>
      </c>
      <c r="B20" s="333" t="s">
        <v>126</v>
      </c>
      <c r="C20" s="329" t="s">
        <v>94</v>
      </c>
      <c r="D20" s="332">
        <v>2020</v>
      </c>
      <c r="E20" s="298">
        <f t="shared" si="1"/>
        <v>110</v>
      </c>
      <c r="F20" s="298">
        <v>110</v>
      </c>
      <c r="G20" s="298">
        <v>0</v>
      </c>
      <c r="H20" s="298">
        <v>0</v>
      </c>
      <c r="I20" s="298">
        <v>0</v>
      </c>
      <c r="J20" s="298">
        <f t="shared" si="2"/>
        <v>0</v>
      </c>
      <c r="K20" s="298">
        <v>0</v>
      </c>
      <c r="L20" s="298">
        <v>0</v>
      </c>
      <c r="M20" s="299">
        <v>0</v>
      </c>
      <c r="N20" s="299">
        <v>0</v>
      </c>
      <c r="O20" s="299">
        <f t="shared" ref="O20:O26" si="3">P20+Q20+R20+S20</f>
        <v>0</v>
      </c>
      <c r="P20" s="299">
        <v>0</v>
      </c>
      <c r="Q20" s="299">
        <v>0</v>
      </c>
      <c r="R20" s="299">
        <v>0</v>
      </c>
      <c r="S20" s="299">
        <v>0</v>
      </c>
      <c r="T20" s="299">
        <f t="shared" ref="T20:T26" si="4">U20+V20+W20+X20</f>
        <v>0</v>
      </c>
      <c r="U20" s="299">
        <v>0</v>
      </c>
      <c r="V20" s="299">
        <v>0</v>
      </c>
      <c r="W20" s="299">
        <v>0</v>
      </c>
      <c r="X20" s="299">
        <v>0</v>
      </c>
      <c r="Y20" s="299">
        <f>Z20+AA20+AB20+AC20</f>
        <v>0</v>
      </c>
      <c r="Z20" s="299">
        <v>0</v>
      </c>
      <c r="AA20" s="299">
        <v>0</v>
      </c>
      <c r="AB20" s="299">
        <v>0</v>
      </c>
      <c r="AC20" s="299">
        <v>0</v>
      </c>
      <c r="AD20" s="299">
        <f t="shared" ref="AD20:AD26" si="5">E20+J20+O20+T20+Y20</f>
        <v>110</v>
      </c>
    </row>
    <row r="21" spans="1:31" ht="69.75">
      <c r="A21" s="323" t="s">
        <v>211</v>
      </c>
      <c r="B21" s="333" t="s">
        <v>122</v>
      </c>
      <c r="C21" s="329" t="s">
        <v>94</v>
      </c>
      <c r="D21" s="332">
        <v>2020</v>
      </c>
      <c r="E21" s="298">
        <f t="shared" si="1"/>
        <v>53</v>
      </c>
      <c r="F21" s="298">
        <v>53</v>
      </c>
      <c r="G21" s="298">
        <v>0</v>
      </c>
      <c r="H21" s="298">
        <v>0</v>
      </c>
      <c r="I21" s="298">
        <v>0</v>
      </c>
      <c r="J21" s="298">
        <f t="shared" si="2"/>
        <v>0</v>
      </c>
      <c r="K21" s="298">
        <v>0</v>
      </c>
      <c r="L21" s="298">
        <v>0</v>
      </c>
      <c r="M21" s="299">
        <v>0</v>
      </c>
      <c r="N21" s="299">
        <v>0</v>
      </c>
      <c r="O21" s="299">
        <f t="shared" si="3"/>
        <v>0</v>
      </c>
      <c r="P21" s="299">
        <v>0</v>
      </c>
      <c r="Q21" s="299">
        <v>0</v>
      </c>
      <c r="R21" s="299">
        <v>0</v>
      </c>
      <c r="S21" s="299">
        <v>0</v>
      </c>
      <c r="T21" s="299">
        <f t="shared" si="4"/>
        <v>0</v>
      </c>
      <c r="U21" s="299">
        <v>0</v>
      </c>
      <c r="V21" s="299">
        <v>0</v>
      </c>
      <c r="W21" s="299">
        <v>0</v>
      </c>
      <c r="X21" s="299">
        <v>0</v>
      </c>
      <c r="Y21" s="299">
        <f>Z21+AA21+AB21+AC21</f>
        <v>0</v>
      </c>
      <c r="Z21" s="299">
        <v>0</v>
      </c>
      <c r="AA21" s="299">
        <v>0</v>
      </c>
      <c r="AB21" s="299">
        <v>0</v>
      </c>
      <c r="AC21" s="299">
        <v>0</v>
      </c>
      <c r="AD21" s="299">
        <f t="shared" si="5"/>
        <v>53</v>
      </c>
    </row>
    <row r="22" spans="1:31" ht="46.5" customHeight="1">
      <c r="A22" s="323" t="s">
        <v>212</v>
      </c>
      <c r="B22" s="333" t="s">
        <v>123</v>
      </c>
      <c r="C22" s="329" t="s">
        <v>94</v>
      </c>
      <c r="D22" s="332">
        <v>2020</v>
      </c>
      <c r="E22" s="298">
        <f t="shared" si="1"/>
        <v>130</v>
      </c>
      <c r="F22" s="298">
        <f>112+18</f>
        <v>130</v>
      </c>
      <c r="G22" s="298">
        <v>0</v>
      </c>
      <c r="H22" s="298">
        <v>0</v>
      </c>
      <c r="I22" s="298">
        <v>0</v>
      </c>
      <c r="J22" s="298">
        <f t="shared" si="2"/>
        <v>0</v>
      </c>
      <c r="K22" s="298">
        <v>0</v>
      </c>
      <c r="L22" s="298">
        <v>0</v>
      </c>
      <c r="M22" s="299">
        <v>0</v>
      </c>
      <c r="N22" s="299">
        <v>0</v>
      </c>
      <c r="O22" s="299">
        <f t="shared" si="3"/>
        <v>0</v>
      </c>
      <c r="P22" s="299">
        <v>0</v>
      </c>
      <c r="Q22" s="299">
        <v>0</v>
      </c>
      <c r="R22" s="299">
        <v>0</v>
      </c>
      <c r="S22" s="299">
        <v>0</v>
      </c>
      <c r="T22" s="299">
        <f t="shared" si="4"/>
        <v>0</v>
      </c>
      <c r="U22" s="299">
        <v>0</v>
      </c>
      <c r="V22" s="299">
        <v>0</v>
      </c>
      <c r="W22" s="299">
        <v>0</v>
      </c>
      <c r="X22" s="299">
        <v>0</v>
      </c>
      <c r="Y22" s="299">
        <f>Z22+AA22+AB22+AC22</f>
        <v>0</v>
      </c>
      <c r="Z22" s="299">
        <v>0</v>
      </c>
      <c r="AA22" s="299">
        <v>0</v>
      </c>
      <c r="AB22" s="299">
        <v>0</v>
      </c>
      <c r="AC22" s="299">
        <v>0</v>
      </c>
      <c r="AD22" s="299">
        <f t="shared" si="5"/>
        <v>130</v>
      </c>
    </row>
    <row r="23" spans="1:31" ht="46.5" customHeight="1">
      <c r="A23" s="323" t="s">
        <v>213</v>
      </c>
      <c r="B23" s="333" t="s">
        <v>125</v>
      </c>
      <c r="C23" s="329" t="s">
        <v>94</v>
      </c>
      <c r="D23" s="332" t="s">
        <v>164</v>
      </c>
      <c r="E23" s="298">
        <v>120</v>
      </c>
      <c r="F23" s="298">
        <v>120</v>
      </c>
      <c r="G23" s="298">
        <v>0</v>
      </c>
      <c r="H23" s="298">
        <v>0</v>
      </c>
      <c r="I23" s="298">
        <v>0</v>
      </c>
      <c r="J23" s="298">
        <f>K23+L23+M23+N23</f>
        <v>0</v>
      </c>
      <c r="K23" s="298">
        <f>60-60</f>
        <v>0</v>
      </c>
      <c r="L23" s="298">
        <v>0</v>
      </c>
      <c r="M23" s="299">
        <v>0</v>
      </c>
      <c r="N23" s="299">
        <v>0</v>
      </c>
      <c r="O23" s="299">
        <f t="shared" si="3"/>
        <v>60</v>
      </c>
      <c r="P23" s="299">
        <v>60</v>
      </c>
      <c r="Q23" s="299">
        <v>0</v>
      </c>
      <c r="R23" s="299">
        <v>0</v>
      </c>
      <c r="S23" s="299">
        <v>0</v>
      </c>
      <c r="T23" s="299">
        <f t="shared" si="4"/>
        <v>0</v>
      </c>
      <c r="U23" s="299">
        <v>0</v>
      </c>
      <c r="V23" s="299">
        <v>0</v>
      </c>
      <c r="W23" s="299">
        <v>0</v>
      </c>
      <c r="X23" s="299">
        <v>0</v>
      </c>
      <c r="Y23" s="299">
        <f>Z23+AA23+AB23+AC23</f>
        <v>0</v>
      </c>
      <c r="Z23" s="299">
        <v>0</v>
      </c>
      <c r="AA23" s="299">
        <v>0</v>
      </c>
      <c r="AB23" s="299">
        <v>0</v>
      </c>
      <c r="AC23" s="299">
        <v>0</v>
      </c>
      <c r="AD23" s="299">
        <f t="shared" si="5"/>
        <v>180</v>
      </c>
    </row>
    <row r="24" spans="1:31" ht="37.5" customHeight="1">
      <c r="A24" s="323" t="s">
        <v>214</v>
      </c>
      <c r="B24" s="333" t="s">
        <v>205</v>
      </c>
      <c r="C24" s="329" t="s">
        <v>52</v>
      </c>
      <c r="D24" s="332" t="s">
        <v>287</v>
      </c>
      <c r="E24" s="298">
        <v>23068</v>
      </c>
      <c r="F24" s="298">
        <v>0</v>
      </c>
      <c r="G24" s="298">
        <v>23068</v>
      </c>
      <c r="H24" s="298">
        <v>0</v>
      </c>
      <c r="I24" s="298">
        <v>0</v>
      </c>
      <c r="J24" s="298">
        <f>K24+L24+M24+N24</f>
        <v>22592</v>
      </c>
      <c r="K24" s="298">
        <v>0</v>
      </c>
      <c r="L24" s="298">
        <f>23742-1150</f>
        <v>22592</v>
      </c>
      <c r="M24" s="299">
        <v>0</v>
      </c>
      <c r="N24" s="299">
        <v>0</v>
      </c>
      <c r="O24" s="334">
        <f t="shared" si="3"/>
        <v>24077</v>
      </c>
      <c r="P24" s="299">
        <v>0</v>
      </c>
      <c r="Q24" s="334">
        <v>24077</v>
      </c>
      <c r="R24" s="299">
        <v>0</v>
      </c>
      <c r="S24" s="299">
        <v>0</v>
      </c>
      <c r="T24" s="334">
        <f t="shared" si="4"/>
        <v>24077</v>
      </c>
      <c r="U24" s="299">
        <v>0</v>
      </c>
      <c r="V24" s="334">
        <v>24077</v>
      </c>
      <c r="W24" s="299">
        <v>0</v>
      </c>
      <c r="X24" s="299">
        <v>0</v>
      </c>
      <c r="Y24" s="299">
        <f>Z24+AA24+AB24+AC24</f>
        <v>24077</v>
      </c>
      <c r="Z24" s="299">
        <v>0</v>
      </c>
      <c r="AA24" s="299">
        <v>24077</v>
      </c>
      <c r="AB24" s="299">
        <v>0</v>
      </c>
      <c r="AC24" s="299">
        <v>0</v>
      </c>
      <c r="AD24" s="299">
        <f>E24+J24+O24+T24+Y24</f>
        <v>117891</v>
      </c>
    </row>
    <row r="25" spans="1:31" ht="46.5">
      <c r="A25" s="323" t="s">
        <v>215</v>
      </c>
      <c r="B25" s="333" t="s">
        <v>198</v>
      </c>
      <c r="C25" s="329" t="s">
        <v>52</v>
      </c>
      <c r="D25" s="332" t="s">
        <v>287</v>
      </c>
      <c r="E25" s="298">
        <v>238</v>
      </c>
      <c r="F25" s="335">
        <v>0</v>
      </c>
      <c r="G25" s="298">
        <v>238</v>
      </c>
      <c r="H25" s="298">
        <v>0</v>
      </c>
      <c r="I25" s="298">
        <v>0</v>
      </c>
      <c r="J25" s="298">
        <f>K25+L25+M25+N25</f>
        <v>476</v>
      </c>
      <c r="K25" s="298">
        <v>0</v>
      </c>
      <c r="L25" s="298">
        <v>476</v>
      </c>
      <c r="M25" s="299">
        <v>0</v>
      </c>
      <c r="N25" s="299">
        <v>0</v>
      </c>
      <c r="O25" s="334">
        <f t="shared" si="3"/>
        <v>0</v>
      </c>
      <c r="P25" s="299">
        <v>0</v>
      </c>
      <c r="Q25" s="334">
        <v>0</v>
      </c>
      <c r="R25" s="299">
        <v>0</v>
      </c>
      <c r="S25" s="299">
        <v>0</v>
      </c>
      <c r="T25" s="334">
        <f t="shared" si="4"/>
        <v>0</v>
      </c>
      <c r="U25" s="299">
        <v>0</v>
      </c>
      <c r="V25" s="334">
        <v>0</v>
      </c>
      <c r="W25" s="299">
        <v>0</v>
      </c>
      <c r="X25" s="299">
        <v>0</v>
      </c>
      <c r="Y25" s="299">
        <v>0</v>
      </c>
      <c r="Z25" s="299">
        <v>0</v>
      </c>
      <c r="AA25" s="299">
        <v>0</v>
      </c>
      <c r="AB25" s="299">
        <v>0</v>
      </c>
      <c r="AC25" s="299">
        <v>0</v>
      </c>
      <c r="AD25" s="299">
        <f>E25+J25+O25+T25+Y25</f>
        <v>714</v>
      </c>
    </row>
    <row r="26" spans="1:31" ht="46.5" customHeight="1">
      <c r="A26" s="323" t="s">
        <v>216</v>
      </c>
      <c r="B26" s="330" t="s">
        <v>217</v>
      </c>
      <c r="C26" s="329" t="s">
        <v>94</v>
      </c>
      <c r="D26" s="332">
        <v>2020</v>
      </c>
      <c r="E26" s="298">
        <f>F26+G26+H26+I26</f>
        <v>120</v>
      </c>
      <c r="F26" s="298">
        <f>300-180</f>
        <v>120</v>
      </c>
      <c r="G26" s="298">
        <v>0</v>
      </c>
      <c r="H26" s="298">
        <v>0</v>
      </c>
      <c r="I26" s="298">
        <v>0</v>
      </c>
      <c r="J26" s="298">
        <f>K26+L26+M26+N26</f>
        <v>0</v>
      </c>
      <c r="K26" s="298">
        <v>0</v>
      </c>
      <c r="L26" s="298">
        <v>0</v>
      </c>
      <c r="M26" s="299">
        <v>0</v>
      </c>
      <c r="N26" s="299">
        <v>0</v>
      </c>
      <c r="O26" s="299">
        <f t="shared" si="3"/>
        <v>0</v>
      </c>
      <c r="P26" s="299">
        <v>0</v>
      </c>
      <c r="Q26" s="299">
        <v>0</v>
      </c>
      <c r="R26" s="299">
        <v>0</v>
      </c>
      <c r="S26" s="299">
        <v>0</v>
      </c>
      <c r="T26" s="299">
        <f t="shared" si="4"/>
        <v>0</v>
      </c>
      <c r="U26" s="299">
        <v>0</v>
      </c>
      <c r="V26" s="299">
        <v>0</v>
      </c>
      <c r="W26" s="299">
        <v>0</v>
      </c>
      <c r="X26" s="299">
        <v>0</v>
      </c>
      <c r="Y26" s="299">
        <f>Z26+AA26+AB26+AC26</f>
        <v>0</v>
      </c>
      <c r="Z26" s="299">
        <v>0</v>
      </c>
      <c r="AA26" s="299">
        <v>0</v>
      </c>
      <c r="AB26" s="299">
        <v>0</v>
      </c>
      <c r="AC26" s="299">
        <v>0</v>
      </c>
      <c r="AD26" s="299">
        <f t="shared" si="5"/>
        <v>120</v>
      </c>
    </row>
    <row r="27" spans="1:31" ht="23.25">
      <c r="A27" s="642" t="s">
        <v>19</v>
      </c>
      <c r="B27" s="643"/>
      <c r="C27" s="644"/>
      <c r="D27" s="336"/>
      <c r="E27" s="326">
        <f>E28+E29+E30</f>
        <v>76431.37</v>
      </c>
      <c r="F27" s="326">
        <f>SUM(F13:F26)</f>
        <v>50955.7</v>
      </c>
      <c r="G27" s="326">
        <f>G28+G29+G30</f>
        <v>23306</v>
      </c>
      <c r="H27" s="326">
        <f>SUM(H13:H17)</f>
        <v>0</v>
      </c>
      <c r="I27" s="326">
        <f>SUM(I13:I17)</f>
        <v>2169.67</v>
      </c>
      <c r="J27" s="326">
        <f>J28+J29+J30</f>
        <v>66549</v>
      </c>
      <c r="K27" s="326">
        <f>K28+K29</f>
        <v>43481</v>
      </c>
      <c r="L27" s="326">
        <f>L13+L14+L15+L16+L17+L18+L19+L20+L21+L22+L23+L24+L25+L26</f>
        <v>23068</v>
      </c>
      <c r="M27" s="326">
        <f>SUM(M13:M17)</f>
        <v>0</v>
      </c>
      <c r="N27" s="326">
        <f>SUM(N13:N17)</f>
        <v>0</v>
      </c>
      <c r="O27" s="337">
        <f>P27+Q27+R27+S27</f>
        <v>82957</v>
      </c>
      <c r="P27" s="326">
        <f>P28+P29</f>
        <v>58880</v>
      </c>
      <c r="Q27" s="337">
        <f>Q28+Q29+Q30</f>
        <v>24077</v>
      </c>
      <c r="R27" s="326">
        <f>SUM(R13:R17)</f>
        <v>0</v>
      </c>
      <c r="S27" s="326">
        <f>SUM(S13:S17)</f>
        <v>0</v>
      </c>
      <c r="T27" s="337">
        <f>SUM(T13:T26)</f>
        <v>24077</v>
      </c>
      <c r="U27" s="326">
        <f>SUM(U13:U26)</f>
        <v>0</v>
      </c>
      <c r="V27" s="337">
        <f>V28+V29+V30</f>
        <v>24077</v>
      </c>
      <c r="W27" s="326">
        <f>SUM(W13:W16)</f>
        <v>0</v>
      </c>
      <c r="X27" s="326">
        <f>SUM(X13:X16)</f>
        <v>0</v>
      </c>
      <c r="Y27" s="326">
        <f>Y28+Y29</f>
        <v>0</v>
      </c>
      <c r="Z27" s="326">
        <f>Z28+Z29+Z30</f>
        <v>0</v>
      </c>
      <c r="AA27" s="326">
        <f>AA28+AA29+AA30</f>
        <v>24077</v>
      </c>
      <c r="AB27" s="326">
        <f>SUM(AB13:AB17)</f>
        <v>0</v>
      </c>
      <c r="AC27" s="326">
        <f>SUM(AC13:AC17)</f>
        <v>0</v>
      </c>
      <c r="AD27" s="326">
        <f>AD28+AD29+AD30</f>
        <v>274091.37</v>
      </c>
    </row>
    <row r="28" spans="1:31" ht="23.25">
      <c r="A28" s="338" t="s">
        <v>14</v>
      </c>
      <c r="B28" s="339"/>
      <c r="C28" s="340"/>
      <c r="D28" s="341"/>
      <c r="E28" s="299">
        <f>F28+G28+H28+I28</f>
        <v>36295.369999999995</v>
      </c>
      <c r="F28" s="299">
        <f>F13+F14+F16</f>
        <v>34125.699999999997</v>
      </c>
      <c r="G28" s="299">
        <f>G13+G14+G16</f>
        <v>0</v>
      </c>
      <c r="H28" s="299">
        <f>G13+G14+G16</f>
        <v>0</v>
      </c>
      <c r="I28" s="299">
        <f>I14+I16</f>
        <v>2169.67</v>
      </c>
      <c r="J28" s="299">
        <f t="shared" ref="J28:V28" si="6">J13+J14+J16</f>
        <v>26292</v>
      </c>
      <c r="K28" s="299">
        <f t="shared" si="6"/>
        <v>26292</v>
      </c>
      <c r="L28" s="299">
        <f t="shared" si="6"/>
        <v>0</v>
      </c>
      <c r="M28" s="299">
        <f t="shared" si="6"/>
        <v>0</v>
      </c>
      <c r="N28" s="299">
        <f t="shared" si="6"/>
        <v>0</v>
      </c>
      <c r="O28" s="299">
        <f t="shared" si="6"/>
        <v>42513</v>
      </c>
      <c r="P28" s="299">
        <f t="shared" si="6"/>
        <v>42513</v>
      </c>
      <c r="Q28" s="299">
        <f t="shared" si="6"/>
        <v>0</v>
      </c>
      <c r="R28" s="299">
        <f t="shared" si="6"/>
        <v>0</v>
      </c>
      <c r="S28" s="299">
        <f t="shared" si="6"/>
        <v>0</v>
      </c>
      <c r="T28" s="299">
        <f t="shared" si="6"/>
        <v>0</v>
      </c>
      <c r="U28" s="299">
        <f t="shared" si="6"/>
        <v>0</v>
      </c>
      <c r="V28" s="299">
        <f t="shared" si="6"/>
        <v>0</v>
      </c>
      <c r="W28" s="299">
        <f>W13+W14+W16</f>
        <v>0</v>
      </c>
      <c r="X28" s="299">
        <f t="shared" ref="X28:AC28" si="7">X13+X14+X16</f>
        <v>0</v>
      </c>
      <c r="Y28" s="299">
        <f t="shared" si="7"/>
        <v>0</v>
      </c>
      <c r="Z28" s="299">
        <f>Z13+Z14+Z16</f>
        <v>0</v>
      </c>
      <c r="AA28" s="299">
        <f t="shared" si="7"/>
        <v>0</v>
      </c>
      <c r="AB28" s="299">
        <f t="shared" si="7"/>
        <v>0</v>
      </c>
      <c r="AC28" s="299">
        <f t="shared" si="7"/>
        <v>0</v>
      </c>
      <c r="AD28" s="299">
        <f>E28+J28+O28+T28+Y28</f>
        <v>105100.37</v>
      </c>
    </row>
    <row r="29" spans="1:31" ht="23.25">
      <c r="A29" s="338" t="s">
        <v>135</v>
      </c>
      <c r="B29" s="342"/>
      <c r="C29" s="343"/>
      <c r="D29" s="341"/>
      <c r="E29" s="299">
        <f>E15+E17+E18+E19+E20+E21+E22+E23+E26</f>
        <v>16830</v>
      </c>
      <c r="F29" s="299">
        <f>F15+F17+F18+F19+F20+F21+F22+F23+F26</f>
        <v>16830</v>
      </c>
      <c r="G29" s="299">
        <f>G15+G16</f>
        <v>0</v>
      </c>
      <c r="H29" s="299">
        <f>H15+H17+H18+H19+H20+H21+H22+H23+H26</f>
        <v>0</v>
      </c>
      <c r="I29" s="299">
        <f>I15+I17+I17+I18+I19+I20+I21+I22+I23+I26</f>
        <v>0</v>
      </c>
      <c r="J29" s="299">
        <f>J15+J17+J18+J19+J20+J21+J22+J23+J26</f>
        <v>17189</v>
      </c>
      <c r="K29" s="299">
        <f>K15+K17+K18+K19+K20+K21+K22+K23+K26</f>
        <v>17189</v>
      </c>
      <c r="L29" s="299">
        <f>L15+L17+L18+L19+L20+L21+L22+L23+L26</f>
        <v>0</v>
      </c>
      <c r="M29" s="299">
        <f>M24+M25</f>
        <v>0</v>
      </c>
      <c r="N29" s="299">
        <f>N24+N25</f>
        <v>0</v>
      </c>
      <c r="O29" s="299">
        <f>O15+O17+O18+O19+O20+O21+O22+O23+O26</f>
        <v>16367</v>
      </c>
      <c r="P29" s="299">
        <f>P15+P17+P18+P19+P20+P21+P22+P23+P26</f>
        <v>16367</v>
      </c>
      <c r="Q29" s="299">
        <f t="shared" ref="Q29:AC29" si="8">Q15+Q17+Q18+Q19+Q20+Q21+Q22+Q23+Q26</f>
        <v>0</v>
      </c>
      <c r="R29" s="299">
        <f t="shared" si="8"/>
        <v>0</v>
      </c>
      <c r="S29" s="299">
        <f t="shared" si="8"/>
        <v>0</v>
      </c>
      <c r="T29" s="299">
        <f t="shared" si="8"/>
        <v>0</v>
      </c>
      <c r="U29" s="299">
        <f>U15+U17+U18+U19+U20+U21+U22+U23+U26</f>
        <v>0</v>
      </c>
      <c r="V29" s="299">
        <f t="shared" si="8"/>
        <v>0</v>
      </c>
      <c r="W29" s="299">
        <f t="shared" si="8"/>
        <v>0</v>
      </c>
      <c r="X29" s="299">
        <f t="shared" si="8"/>
        <v>0</v>
      </c>
      <c r="Y29" s="299">
        <f t="shared" si="8"/>
        <v>0</v>
      </c>
      <c r="Z29" s="299">
        <f>Z15+Z17+Z18+Z19+Z20+Z21+Z22+Z23+Z26</f>
        <v>0</v>
      </c>
      <c r="AA29" s="299">
        <f t="shared" si="8"/>
        <v>0</v>
      </c>
      <c r="AB29" s="299">
        <f t="shared" si="8"/>
        <v>0</v>
      </c>
      <c r="AC29" s="299">
        <f t="shared" si="8"/>
        <v>0</v>
      </c>
      <c r="AD29" s="299">
        <f>E29+J29+O29+T29+Y29</f>
        <v>50386</v>
      </c>
      <c r="AE29" s="344"/>
    </row>
    <row r="30" spans="1:31" ht="23.25">
      <c r="A30" s="339" t="s">
        <v>73</v>
      </c>
      <c r="B30" s="340"/>
      <c r="C30" s="340"/>
      <c r="D30" s="345"/>
      <c r="E30" s="299">
        <f t="shared" ref="E30:S30" si="9">E24+E25</f>
        <v>23306</v>
      </c>
      <c r="F30" s="299">
        <f t="shared" si="9"/>
        <v>0</v>
      </c>
      <c r="G30" s="299">
        <f t="shared" si="9"/>
        <v>23306</v>
      </c>
      <c r="H30" s="299">
        <f t="shared" si="9"/>
        <v>0</v>
      </c>
      <c r="I30" s="299">
        <f t="shared" si="9"/>
        <v>0</v>
      </c>
      <c r="J30" s="299">
        <f t="shared" si="9"/>
        <v>23068</v>
      </c>
      <c r="K30" s="299">
        <f t="shared" si="9"/>
        <v>0</v>
      </c>
      <c r="L30" s="299">
        <f t="shared" si="9"/>
        <v>23068</v>
      </c>
      <c r="M30" s="299">
        <f t="shared" si="9"/>
        <v>0</v>
      </c>
      <c r="N30" s="299">
        <f t="shared" si="9"/>
        <v>0</v>
      </c>
      <c r="O30" s="334">
        <f t="shared" si="9"/>
        <v>24077</v>
      </c>
      <c r="P30" s="299">
        <f t="shared" si="9"/>
        <v>0</v>
      </c>
      <c r="Q30" s="334">
        <f>Q24+Q25</f>
        <v>24077</v>
      </c>
      <c r="R30" s="299">
        <f t="shared" si="9"/>
        <v>0</v>
      </c>
      <c r="S30" s="299">
        <f t="shared" si="9"/>
        <v>0</v>
      </c>
      <c r="T30" s="334">
        <f>T24+T25</f>
        <v>24077</v>
      </c>
      <c r="U30" s="299">
        <f>U25+U24</f>
        <v>0</v>
      </c>
      <c r="V30" s="334">
        <f>V24+V25</f>
        <v>24077</v>
      </c>
      <c r="W30" s="299">
        <f t="shared" ref="W30:AC30" si="10">W24+W25</f>
        <v>0</v>
      </c>
      <c r="X30" s="299">
        <f t="shared" si="10"/>
        <v>0</v>
      </c>
      <c r="Y30" s="299">
        <f t="shared" si="10"/>
        <v>24077</v>
      </c>
      <c r="Z30" s="299">
        <f t="shared" si="10"/>
        <v>0</v>
      </c>
      <c r="AA30" s="299">
        <f t="shared" si="10"/>
        <v>24077</v>
      </c>
      <c r="AB30" s="299">
        <f t="shared" si="10"/>
        <v>0</v>
      </c>
      <c r="AC30" s="299">
        <f t="shared" si="10"/>
        <v>0</v>
      </c>
      <c r="AD30" s="299">
        <f>E30+J30+O30+T30+Y30</f>
        <v>118605</v>
      </c>
      <c r="AE30" s="344"/>
    </row>
    <row r="31" spans="1:31" ht="23.25" customHeight="1">
      <c r="A31" s="322" t="s">
        <v>222</v>
      </c>
      <c r="B31" s="639" t="s">
        <v>276</v>
      </c>
      <c r="C31" s="640"/>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0"/>
      <c r="AC31" s="640"/>
      <c r="AD31" s="641"/>
    </row>
    <row r="32" spans="1:31" ht="93">
      <c r="A32" s="323" t="s">
        <v>21</v>
      </c>
      <c r="B32" s="346" t="s">
        <v>192</v>
      </c>
      <c r="C32" s="322" t="s">
        <v>94</v>
      </c>
      <c r="D32" s="322" t="s">
        <v>93</v>
      </c>
      <c r="E32" s="299">
        <f>F32+G32+H32+I32</f>
        <v>1892</v>
      </c>
      <c r="F32" s="299">
        <f>2664-772</f>
        <v>1892</v>
      </c>
      <c r="G32" s="299">
        <v>0</v>
      </c>
      <c r="H32" s="299">
        <v>0</v>
      </c>
      <c r="I32" s="299">
        <v>0</v>
      </c>
      <c r="J32" s="299">
        <f>K32+L32+M32+N32</f>
        <v>1072</v>
      </c>
      <c r="K32" s="299">
        <f>1892-286-534</f>
        <v>1072</v>
      </c>
      <c r="L32" s="299">
        <v>0</v>
      </c>
      <c r="M32" s="299">
        <v>0</v>
      </c>
      <c r="N32" s="299">
        <v>0</v>
      </c>
      <c r="O32" s="299">
        <f>P32+Q32+R32+S32</f>
        <v>1633</v>
      </c>
      <c r="P32" s="299">
        <v>1633</v>
      </c>
      <c r="Q32" s="299">
        <v>0</v>
      </c>
      <c r="R32" s="299">
        <v>0</v>
      </c>
      <c r="S32" s="299">
        <v>0</v>
      </c>
      <c r="T32" s="299">
        <f>U32+V32+W32+X32</f>
        <v>0</v>
      </c>
      <c r="U32" s="299">
        <v>0</v>
      </c>
      <c r="V32" s="299">
        <v>0</v>
      </c>
      <c r="W32" s="299">
        <v>0</v>
      </c>
      <c r="X32" s="299">
        <v>0</v>
      </c>
      <c r="Y32" s="299">
        <f>Z32+AA32+AB32+AC32</f>
        <v>0</v>
      </c>
      <c r="Z32" s="299">
        <v>0</v>
      </c>
      <c r="AA32" s="299">
        <v>0</v>
      </c>
      <c r="AB32" s="299">
        <v>0</v>
      </c>
      <c r="AC32" s="299">
        <v>0</v>
      </c>
      <c r="AD32" s="299">
        <f>E32+J32+O32+T32+Y32</f>
        <v>4597</v>
      </c>
    </row>
    <row r="33" spans="1:31" ht="20.25">
      <c r="A33" s="655" t="s">
        <v>22</v>
      </c>
      <c r="B33" s="656"/>
      <c r="C33" s="657"/>
      <c r="D33" s="347"/>
      <c r="E33" s="326">
        <f>E32</f>
        <v>1892</v>
      </c>
      <c r="F33" s="326">
        <f>SUM(F32)</f>
        <v>1892</v>
      </c>
      <c r="G33" s="326">
        <f t="shared" ref="G33:AD33" si="11">SUM(G32:G32)</f>
        <v>0</v>
      </c>
      <c r="H33" s="326">
        <f t="shared" si="11"/>
        <v>0</v>
      </c>
      <c r="I33" s="326">
        <f t="shared" si="11"/>
        <v>0</v>
      </c>
      <c r="J33" s="326">
        <f>J32</f>
        <v>1072</v>
      </c>
      <c r="K33" s="326">
        <f t="shared" si="11"/>
        <v>1072</v>
      </c>
      <c r="L33" s="326">
        <f t="shared" si="11"/>
        <v>0</v>
      </c>
      <c r="M33" s="326">
        <f t="shared" si="11"/>
        <v>0</v>
      </c>
      <c r="N33" s="326">
        <f t="shared" si="11"/>
        <v>0</v>
      </c>
      <c r="O33" s="326">
        <f t="shared" si="11"/>
        <v>1633</v>
      </c>
      <c r="P33" s="326">
        <f t="shared" si="11"/>
        <v>1633</v>
      </c>
      <c r="Q33" s="326">
        <f t="shared" si="11"/>
        <v>0</v>
      </c>
      <c r="R33" s="326">
        <f t="shared" si="11"/>
        <v>0</v>
      </c>
      <c r="S33" s="326">
        <f t="shared" si="11"/>
        <v>0</v>
      </c>
      <c r="T33" s="326">
        <f t="shared" si="11"/>
        <v>0</v>
      </c>
      <c r="U33" s="326">
        <f t="shared" si="11"/>
        <v>0</v>
      </c>
      <c r="V33" s="326">
        <f t="shared" si="11"/>
        <v>0</v>
      </c>
      <c r="W33" s="326">
        <f t="shared" si="11"/>
        <v>0</v>
      </c>
      <c r="X33" s="326">
        <f t="shared" si="11"/>
        <v>0</v>
      </c>
      <c r="Y33" s="326">
        <f t="shared" si="11"/>
        <v>0</v>
      </c>
      <c r="Z33" s="326">
        <f t="shared" si="11"/>
        <v>0</v>
      </c>
      <c r="AA33" s="326">
        <f t="shared" si="11"/>
        <v>0</v>
      </c>
      <c r="AB33" s="326">
        <f t="shared" si="11"/>
        <v>0</v>
      </c>
      <c r="AC33" s="326">
        <f t="shared" si="11"/>
        <v>0</v>
      </c>
      <c r="AD33" s="326">
        <f t="shared" si="11"/>
        <v>4597</v>
      </c>
    </row>
    <row r="34" spans="1:31" ht="20.25">
      <c r="A34" s="322" t="s">
        <v>229</v>
      </c>
      <c r="B34" s="658" t="s">
        <v>277</v>
      </c>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60"/>
    </row>
    <row r="35" spans="1:31" ht="46.5" customHeight="1">
      <c r="A35" s="323" t="s">
        <v>24</v>
      </c>
      <c r="B35" s="346" t="s">
        <v>288</v>
      </c>
      <c r="C35" s="331" t="s">
        <v>94</v>
      </c>
      <c r="D35" s="322" t="s">
        <v>93</v>
      </c>
      <c r="E35" s="299">
        <f>F35+G35+H35+I35</f>
        <v>2949</v>
      </c>
      <c r="F35" s="299">
        <v>2949</v>
      </c>
      <c r="G35" s="299">
        <v>0</v>
      </c>
      <c r="H35" s="299">
        <v>0</v>
      </c>
      <c r="I35" s="299">
        <v>0</v>
      </c>
      <c r="J35" s="299">
        <f>K35+L35+M35+N35</f>
        <v>2313</v>
      </c>
      <c r="K35" s="299">
        <f>1775+587-49</f>
        <v>2313</v>
      </c>
      <c r="L35" s="299">
        <v>0</v>
      </c>
      <c r="M35" s="299">
        <v>0</v>
      </c>
      <c r="N35" s="299">
        <v>0</v>
      </c>
      <c r="O35" s="299">
        <f xml:space="preserve"> SUM(P35:S35)</f>
        <v>2362</v>
      </c>
      <c r="P35" s="299">
        <v>2362</v>
      </c>
      <c r="Q35" s="299">
        <f>SUM(Q36,Q37,Q38,Q39)</f>
        <v>0</v>
      </c>
      <c r="R35" s="299">
        <f>SUM(R36,R37,R38,R39)</f>
        <v>0</v>
      </c>
      <c r="S35" s="299">
        <f>SUM(S36,S37,S38,S39)</f>
        <v>0</v>
      </c>
      <c r="T35" s="299">
        <f xml:space="preserve"> SUM(U35:X35)</f>
        <v>0</v>
      </c>
      <c r="U35" s="299">
        <v>0</v>
      </c>
      <c r="V35" s="299">
        <f>SUM(V36,V37,V38,V39)</f>
        <v>0</v>
      </c>
      <c r="W35" s="299">
        <f>SUM(W36,W37,W38,W39)</f>
        <v>0</v>
      </c>
      <c r="X35" s="299">
        <f>SUM(X36,X37,X38,X39)</f>
        <v>0</v>
      </c>
      <c r="Y35" s="299">
        <f xml:space="preserve"> SUM(Z35:AC35)</f>
        <v>0</v>
      </c>
      <c r="Z35" s="299">
        <v>0</v>
      </c>
      <c r="AA35" s="299">
        <f>SUM(AA36,AA37,AA38,AA39)</f>
        <v>0</v>
      </c>
      <c r="AB35" s="299">
        <f>SUM(AB36,AB37,AB38,AB39)</f>
        <v>0</v>
      </c>
      <c r="AC35" s="299">
        <f>SUM(AC36,AC37,AC38,AC39)</f>
        <v>0</v>
      </c>
      <c r="AD35" s="299">
        <f>E35+J35+O35+T35+Y35</f>
        <v>7624</v>
      </c>
    </row>
    <row r="36" spans="1:31" ht="139.5">
      <c r="A36" s="323" t="s">
        <v>151</v>
      </c>
      <c r="B36" s="330" t="s">
        <v>76</v>
      </c>
      <c r="C36" s="331" t="s">
        <v>94</v>
      </c>
      <c r="D36" s="322" t="s">
        <v>93</v>
      </c>
      <c r="E36" s="299">
        <f t="shared" ref="E36:E46" si="12">F36+G36+H36+I36</f>
        <v>9</v>
      </c>
      <c r="F36" s="299">
        <v>9</v>
      </c>
      <c r="G36" s="299">
        <v>0</v>
      </c>
      <c r="H36" s="299">
        <v>0</v>
      </c>
      <c r="I36" s="299">
        <v>0</v>
      </c>
      <c r="J36" s="299">
        <f t="shared" ref="J36:J46" si="13">K36+L36+M36+N36</f>
        <v>9</v>
      </c>
      <c r="K36" s="299">
        <v>9</v>
      </c>
      <c r="L36" s="299">
        <v>0</v>
      </c>
      <c r="M36" s="299">
        <v>0</v>
      </c>
      <c r="N36" s="299">
        <v>0</v>
      </c>
      <c r="O36" s="299">
        <f t="shared" ref="O36:O46" si="14">P36+Q36+R36+S36</f>
        <v>9</v>
      </c>
      <c r="P36" s="299">
        <v>9</v>
      </c>
      <c r="Q36" s="299">
        <v>0</v>
      </c>
      <c r="R36" s="299">
        <v>0</v>
      </c>
      <c r="S36" s="299">
        <v>0</v>
      </c>
      <c r="T36" s="299">
        <f t="shared" ref="T36:T46" si="15">U36+V36+W36+X36</f>
        <v>0</v>
      </c>
      <c r="U36" s="299">
        <v>0</v>
      </c>
      <c r="V36" s="299">
        <v>0</v>
      </c>
      <c r="W36" s="299">
        <v>0</v>
      </c>
      <c r="X36" s="299">
        <v>0</v>
      </c>
      <c r="Y36" s="299">
        <f t="shared" ref="Y36:Y46" si="16">Z36+AA36+AB36+AC36</f>
        <v>0</v>
      </c>
      <c r="Z36" s="299">
        <v>0</v>
      </c>
      <c r="AA36" s="299">
        <v>0</v>
      </c>
      <c r="AB36" s="299">
        <v>0</v>
      </c>
      <c r="AC36" s="299">
        <v>0</v>
      </c>
      <c r="AD36" s="299">
        <f t="shared" ref="AD36:AD48" si="17">E36+J36+O36+T36+Y36</f>
        <v>27</v>
      </c>
    </row>
    <row r="37" spans="1:31" ht="37.5" customHeight="1">
      <c r="A37" s="323" t="s">
        <v>235</v>
      </c>
      <c r="B37" s="330" t="s">
        <v>71</v>
      </c>
      <c r="C37" s="322" t="s">
        <v>94</v>
      </c>
      <c r="D37" s="322" t="s">
        <v>168</v>
      </c>
      <c r="E37" s="299">
        <f t="shared" si="12"/>
        <v>426</v>
      </c>
      <c r="F37" s="299">
        <v>426</v>
      </c>
      <c r="G37" s="299">
        <v>0</v>
      </c>
      <c r="H37" s="299">
        <v>0</v>
      </c>
      <c r="I37" s="299">
        <v>0</v>
      </c>
      <c r="J37" s="299">
        <f t="shared" si="13"/>
        <v>0</v>
      </c>
      <c r="K37" s="299">
        <v>0</v>
      </c>
      <c r="L37" s="299">
        <v>0</v>
      </c>
      <c r="M37" s="299">
        <v>0</v>
      </c>
      <c r="N37" s="299">
        <v>0</v>
      </c>
      <c r="O37" s="299">
        <f t="shared" si="14"/>
        <v>0</v>
      </c>
      <c r="P37" s="299">
        <v>0</v>
      </c>
      <c r="Q37" s="299">
        <v>0</v>
      </c>
      <c r="R37" s="299">
        <v>0</v>
      </c>
      <c r="S37" s="299">
        <v>0</v>
      </c>
      <c r="T37" s="299">
        <f t="shared" si="15"/>
        <v>0</v>
      </c>
      <c r="U37" s="299">
        <v>0</v>
      </c>
      <c r="V37" s="299">
        <v>0</v>
      </c>
      <c r="W37" s="299">
        <v>0</v>
      </c>
      <c r="X37" s="299">
        <v>0</v>
      </c>
      <c r="Y37" s="299">
        <f t="shared" si="16"/>
        <v>0</v>
      </c>
      <c r="Z37" s="299">
        <v>0</v>
      </c>
      <c r="AA37" s="299">
        <v>0</v>
      </c>
      <c r="AB37" s="299">
        <v>0</v>
      </c>
      <c r="AC37" s="299">
        <v>0</v>
      </c>
      <c r="AD37" s="299">
        <f>E37+J37+O37+T37+Y37</f>
        <v>426</v>
      </c>
    </row>
    <row r="38" spans="1:31" ht="23.25" customHeight="1">
      <c r="A38" s="323" t="s">
        <v>236</v>
      </c>
      <c r="B38" s="330" t="s">
        <v>110</v>
      </c>
      <c r="C38" s="685" t="s">
        <v>105</v>
      </c>
      <c r="D38" s="322" t="s">
        <v>93</v>
      </c>
      <c r="E38" s="299">
        <f t="shared" si="12"/>
        <v>3304</v>
      </c>
      <c r="F38" s="299">
        <v>3304</v>
      </c>
      <c r="G38" s="299">
        <v>0</v>
      </c>
      <c r="H38" s="299">
        <v>0</v>
      </c>
      <c r="I38" s="299">
        <v>0</v>
      </c>
      <c r="J38" s="299">
        <f t="shared" si="13"/>
        <v>3080</v>
      </c>
      <c r="K38" s="299">
        <f>3304-224</f>
        <v>3080</v>
      </c>
      <c r="L38" s="299">
        <v>0</v>
      </c>
      <c r="M38" s="299">
        <v>0</v>
      </c>
      <c r="N38" s="299">
        <v>0</v>
      </c>
      <c r="O38" s="299">
        <f t="shared" si="14"/>
        <v>2968</v>
      </c>
      <c r="P38" s="299">
        <v>2968</v>
      </c>
      <c r="Q38" s="299">
        <v>0</v>
      </c>
      <c r="R38" s="299">
        <v>0</v>
      </c>
      <c r="S38" s="299">
        <v>0</v>
      </c>
      <c r="T38" s="299">
        <f t="shared" si="15"/>
        <v>0</v>
      </c>
      <c r="U38" s="299">
        <v>0</v>
      </c>
      <c r="V38" s="299">
        <v>0</v>
      </c>
      <c r="W38" s="299">
        <v>0</v>
      </c>
      <c r="X38" s="299">
        <v>0</v>
      </c>
      <c r="Y38" s="299">
        <f t="shared" si="16"/>
        <v>0</v>
      </c>
      <c r="Z38" s="299">
        <v>0</v>
      </c>
      <c r="AA38" s="299">
        <v>0</v>
      </c>
      <c r="AB38" s="299">
        <v>0</v>
      </c>
      <c r="AC38" s="299">
        <v>0</v>
      </c>
      <c r="AD38" s="299">
        <f>E38+J38+O38+T38+Y38</f>
        <v>9352</v>
      </c>
    </row>
    <row r="39" spans="1:31" ht="93">
      <c r="A39" s="323" t="s">
        <v>237</v>
      </c>
      <c r="B39" s="330" t="s">
        <v>191</v>
      </c>
      <c r="C39" s="686"/>
      <c r="D39" s="322" t="s">
        <v>283</v>
      </c>
      <c r="E39" s="299">
        <f t="shared" si="12"/>
        <v>378</v>
      </c>
      <c r="F39" s="299">
        <v>378</v>
      </c>
      <c r="G39" s="299">
        <v>0</v>
      </c>
      <c r="H39" s="299">
        <v>0</v>
      </c>
      <c r="I39" s="299">
        <v>0</v>
      </c>
      <c r="J39" s="299">
        <f t="shared" si="13"/>
        <v>419</v>
      </c>
      <c r="K39" s="299">
        <f>324+95</f>
        <v>419</v>
      </c>
      <c r="L39" s="299">
        <v>0</v>
      </c>
      <c r="M39" s="299">
        <v>0</v>
      </c>
      <c r="N39" s="299">
        <v>0</v>
      </c>
      <c r="O39" s="299">
        <f t="shared" si="14"/>
        <v>495</v>
      </c>
      <c r="P39" s="299">
        <v>495</v>
      </c>
      <c r="Q39" s="299">
        <v>0</v>
      </c>
      <c r="R39" s="299">
        <v>0</v>
      </c>
      <c r="S39" s="299">
        <v>0</v>
      </c>
      <c r="T39" s="299">
        <f t="shared" si="15"/>
        <v>0</v>
      </c>
      <c r="U39" s="299">
        <v>0</v>
      </c>
      <c r="V39" s="299">
        <v>0</v>
      </c>
      <c r="W39" s="299">
        <v>0</v>
      </c>
      <c r="X39" s="299">
        <v>0</v>
      </c>
      <c r="Y39" s="299">
        <f t="shared" si="16"/>
        <v>0</v>
      </c>
      <c r="Z39" s="299">
        <v>0</v>
      </c>
      <c r="AA39" s="299">
        <v>0</v>
      </c>
      <c r="AB39" s="299">
        <v>0</v>
      </c>
      <c r="AC39" s="299">
        <v>0</v>
      </c>
      <c r="AD39" s="299">
        <f>E39+J39+O39+T39+Y39</f>
        <v>1292</v>
      </c>
    </row>
    <row r="40" spans="1:31" ht="93">
      <c r="A40" s="323" t="s">
        <v>238</v>
      </c>
      <c r="B40" s="330" t="s">
        <v>77</v>
      </c>
      <c r="C40" s="331" t="s">
        <v>94</v>
      </c>
      <c r="D40" s="322" t="s">
        <v>93</v>
      </c>
      <c r="E40" s="299">
        <f t="shared" si="12"/>
        <v>12</v>
      </c>
      <c r="F40" s="299">
        <v>12</v>
      </c>
      <c r="G40" s="299">
        <v>0</v>
      </c>
      <c r="H40" s="299">
        <v>0</v>
      </c>
      <c r="I40" s="299">
        <v>0</v>
      </c>
      <c r="J40" s="299">
        <f t="shared" si="13"/>
        <v>12</v>
      </c>
      <c r="K40" s="299">
        <v>12</v>
      </c>
      <c r="L40" s="299">
        <v>0</v>
      </c>
      <c r="M40" s="299">
        <v>0</v>
      </c>
      <c r="N40" s="299">
        <v>0</v>
      </c>
      <c r="O40" s="299">
        <f t="shared" si="14"/>
        <v>12</v>
      </c>
      <c r="P40" s="299">
        <v>12</v>
      </c>
      <c r="Q40" s="299">
        <v>0</v>
      </c>
      <c r="R40" s="299">
        <v>0</v>
      </c>
      <c r="S40" s="299">
        <v>0</v>
      </c>
      <c r="T40" s="299">
        <f t="shared" si="15"/>
        <v>0</v>
      </c>
      <c r="U40" s="299">
        <v>0</v>
      </c>
      <c r="V40" s="299">
        <v>0</v>
      </c>
      <c r="W40" s="299">
        <v>0</v>
      </c>
      <c r="X40" s="299">
        <v>0</v>
      </c>
      <c r="Y40" s="299">
        <f t="shared" si="16"/>
        <v>0</v>
      </c>
      <c r="Z40" s="299">
        <v>0</v>
      </c>
      <c r="AA40" s="299">
        <v>0</v>
      </c>
      <c r="AB40" s="299">
        <v>0</v>
      </c>
      <c r="AC40" s="299">
        <v>0</v>
      </c>
      <c r="AD40" s="299">
        <f t="shared" si="17"/>
        <v>36</v>
      </c>
    </row>
    <row r="41" spans="1:31" ht="93" customHeight="1">
      <c r="A41" s="323" t="s">
        <v>239</v>
      </c>
      <c r="B41" s="330" t="s">
        <v>265</v>
      </c>
      <c r="C41" s="661" t="s">
        <v>105</v>
      </c>
      <c r="D41" s="322" t="s">
        <v>168</v>
      </c>
      <c r="E41" s="299">
        <f t="shared" si="12"/>
        <v>50</v>
      </c>
      <c r="F41" s="299">
        <v>50</v>
      </c>
      <c r="G41" s="299">
        <v>0</v>
      </c>
      <c r="H41" s="299">
        <v>0</v>
      </c>
      <c r="I41" s="299">
        <v>0</v>
      </c>
      <c r="J41" s="299">
        <f t="shared" si="13"/>
        <v>0</v>
      </c>
      <c r="K41" s="299">
        <v>0</v>
      </c>
      <c r="L41" s="299">
        <v>0</v>
      </c>
      <c r="M41" s="299">
        <v>0</v>
      </c>
      <c r="N41" s="299">
        <v>0</v>
      </c>
      <c r="O41" s="299">
        <f t="shared" si="14"/>
        <v>0</v>
      </c>
      <c r="P41" s="299">
        <v>0</v>
      </c>
      <c r="Q41" s="299">
        <v>0</v>
      </c>
      <c r="R41" s="299">
        <v>0</v>
      </c>
      <c r="S41" s="299">
        <v>0</v>
      </c>
      <c r="T41" s="299">
        <f t="shared" si="15"/>
        <v>0</v>
      </c>
      <c r="U41" s="299">
        <v>0</v>
      </c>
      <c r="V41" s="299">
        <v>0</v>
      </c>
      <c r="W41" s="299">
        <v>0</v>
      </c>
      <c r="X41" s="299">
        <v>0</v>
      </c>
      <c r="Y41" s="299">
        <f t="shared" si="16"/>
        <v>0</v>
      </c>
      <c r="Z41" s="299">
        <v>0</v>
      </c>
      <c r="AA41" s="299">
        <v>0</v>
      </c>
      <c r="AB41" s="299">
        <v>0</v>
      </c>
      <c r="AC41" s="299">
        <v>0</v>
      </c>
      <c r="AD41" s="299">
        <f t="shared" si="17"/>
        <v>50</v>
      </c>
    </row>
    <row r="42" spans="1:31" ht="69.75">
      <c r="A42" s="323" t="s">
        <v>240</v>
      </c>
      <c r="B42" s="330" t="s">
        <v>111</v>
      </c>
      <c r="C42" s="662"/>
      <c r="D42" s="322" t="s">
        <v>168</v>
      </c>
      <c r="E42" s="299">
        <f t="shared" si="12"/>
        <v>50</v>
      </c>
      <c r="F42" s="299">
        <v>50</v>
      </c>
      <c r="G42" s="299">
        <v>0</v>
      </c>
      <c r="H42" s="299">
        <v>0</v>
      </c>
      <c r="I42" s="299">
        <v>0</v>
      </c>
      <c r="J42" s="299">
        <f t="shared" si="13"/>
        <v>50</v>
      </c>
      <c r="K42" s="299">
        <v>50</v>
      </c>
      <c r="L42" s="299">
        <v>0</v>
      </c>
      <c r="M42" s="299">
        <v>0</v>
      </c>
      <c r="N42" s="299">
        <v>0</v>
      </c>
      <c r="O42" s="299">
        <f t="shared" si="14"/>
        <v>50</v>
      </c>
      <c r="P42" s="299">
        <v>50</v>
      </c>
      <c r="Q42" s="299">
        <v>0</v>
      </c>
      <c r="R42" s="299">
        <v>0</v>
      </c>
      <c r="S42" s="299">
        <v>0</v>
      </c>
      <c r="T42" s="299">
        <f t="shared" si="15"/>
        <v>0</v>
      </c>
      <c r="U42" s="299">
        <v>0</v>
      </c>
      <c r="V42" s="299">
        <v>0</v>
      </c>
      <c r="W42" s="299">
        <v>0</v>
      </c>
      <c r="X42" s="299">
        <v>0</v>
      </c>
      <c r="Y42" s="299">
        <f t="shared" si="16"/>
        <v>0</v>
      </c>
      <c r="Z42" s="299">
        <v>0</v>
      </c>
      <c r="AA42" s="299">
        <v>0</v>
      </c>
      <c r="AB42" s="299">
        <v>0</v>
      </c>
      <c r="AC42" s="299">
        <v>0</v>
      </c>
      <c r="AD42" s="299">
        <f t="shared" si="17"/>
        <v>150</v>
      </c>
    </row>
    <row r="43" spans="1:31" ht="93">
      <c r="A43" s="323" t="s">
        <v>241</v>
      </c>
      <c r="B43" s="330" t="s">
        <v>112</v>
      </c>
      <c r="C43" s="662"/>
      <c r="D43" s="322" t="s">
        <v>93</v>
      </c>
      <c r="E43" s="299">
        <f t="shared" si="12"/>
        <v>810</v>
      </c>
      <c r="F43" s="299">
        <f>480+330</f>
        <v>810</v>
      </c>
      <c r="G43" s="299">
        <v>0</v>
      </c>
      <c r="H43" s="299">
        <v>0</v>
      </c>
      <c r="I43" s="299">
        <v>0</v>
      </c>
      <c r="J43" s="299">
        <f>K43+L43+M43+N43</f>
        <v>770</v>
      </c>
      <c r="K43" s="299">
        <f>720+50</f>
        <v>770</v>
      </c>
      <c r="L43" s="299">
        <v>0</v>
      </c>
      <c r="M43" s="299">
        <v>0</v>
      </c>
      <c r="N43" s="299">
        <v>0</v>
      </c>
      <c r="O43" s="299">
        <f t="shared" si="14"/>
        <v>720</v>
      </c>
      <c r="P43" s="299">
        <v>720</v>
      </c>
      <c r="Q43" s="299">
        <v>0</v>
      </c>
      <c r="R43" s="299">
        <v>0</v>
      </c>
      <c r="S43" s="299">
        <v>0</v>
      </c>
      <c r="T43" s="299">
        <f t="shared" si="15"/>
        <v>0</v>
      </c>
      <c r="U43" s="299">
        <v>0</v>
      </c>
      <c r="V43" s="299">
        <v>0</v>
      </c>
      <c r="W43" s="299">
        <v>0</v>
      </c>
      <c r="X43" s="299">
        <v>0</v>
      </c>
      <c r="Y43" s="299">
        <f t="shared" si="16"/>
        <v>0</v>
      </c>
      <c r="Z43" s="299">
        <v>0</v>
      </c>
      <c r="AA43" s="299">
        <v>0</v>
      </c>
      <c r="AB43" s="299">
        <v>0</v>
      </c>
      <c r="AC43" s="299">
        <v>0</v>
      </c>
      <c r="AD43" s="299">
        <f>E43+J43+O43+T43+Y43</f>
        <v>2300</v>
      </c>
    </row>
    <row r="44" spans="1:31" ht="116.25">
      <c r="A44" s="348" t="s">
        <v>242</v>
      </c>
      <c r="B44" s="330" t="s">
        <v>113</v>
      </c>
      <c r="C44" s="662"/>
      <c r="D44" s="322" t="s">
        <v>168</v>
      </c>
      <c r="E44" s="299">
        <f t="shared" si="12"/>
        <v>30</v>
      </c>
      <c r="F44" s="299">
        <v>30</v>
      </c>
      <c r="G44" s="299">
        <v>0</v>
      </c>
      <c r="H44" s="299">
        <v>0</v>
      </c>
      <c r="I44" s="299">
        <v>0</v>
      </c>
      <c r="J44" s="299">
        <f t="shared" si="13"/>
        <v>10</v>
      </c>
      <c r="K44" s="299">
        <v>10</v>
      </c>
      <c r="L44" s="299">
        <v>0</v>
      </c>
      <c r="M44" s="299">
        <v>0</v>
      </c>
      <c r="N44" s="299">
        <v>0</v>
      </c>
      <c r="O44" s="299">
        <f t="shared" si="14"/>
        <v>10</v>
      </c>
      <c r="P44" s="299">
        <v>10</v>
      </c>
      <c r="Q44" s="299">
        <v>0</v>
      </c>
      <c r="R44" s="299">
        <v>0</v>
      </c>
      <c r="S44" s="299">
        <v>0</v>
      </c>
      <c r="T44" s="299">
        <f t="shared" si="15"/>
        <v>0</v>
      </c>
      <c r="U44" s="299">
        <v>0</v>
      </c>
      <c r="V44" s="299">
        <v>0</v>
      </c>
      <c r="W44" s="299">
        <v>0</v>
      </c>
      <c r="X44" s="299">
        <v>0</v>
      </c>
      <c r="Y44" s="299">
        <f t="shared" si="16"/>
        <v>0</v>
      </c>
      <c r="Z44" s="299">
        <v>0</v>
      </c>
      <c r="AA44" s="299">
        <v>0</v>
      </c>
      <c r="AB44" s="299">
        <v>0</v>
      </c>
      <c r="AC44" s="299">
        <v>0</v>
      </c>
      <c r="AD44" s="299">
        <f t="shared" si="17"/>
        <v>50</v>
      </c>
    </row>
    <row r="45" spans="1:31" ht="69.75">
      <c r="A45" s="323" t="s">
        <v>243</v>
      </c>
      <c r="B45" s="330" t="s">
        <v>114</v>
      </c>
      <c r="C45" s="663"/>
      <c r="D45" s="322" t="s">
        <v>168</v>
      </c>
      <c r="E45" s="299">
        <f t="shared" si="12"/>
        <v>50</v>
      </c>
      <c r="F45" s="299">
        <v>50</v>
      </c>
      <c r="G45" s="299">
        <v>0</v>
      </c>
      <c r="H45" s="299">
        <v>0</v>
      </c>
      <c r="I45" s="299">
        <v>0</v>
      </c>
      <c r="J45" s="299">
        <f t="shared" si="13"/>
        <v>50</v>
      </c>
      <c r="K45" s="299">
        <v>50</v>
      </c>
      <c r="L45" s="299">
        <v>0</v>
      </c>
      <c r="M45" s="299">
        <v>0</v>
      </c>
      <c r="N45" s="299">
        <v>0</v>
      </c>
      <c r="O45" s="299">
        <f t="shared" si="14"/>
        <v>100</v>
      </c>
      <c r="P45" s="299">
        <v>100</v>
      </c>
      <c r="Q45" s="299">
        <v>0</v>
      </c>
      <c r="R45" s="299">
        <v>0</v>
      </c>
      <c r="S45" s="299">
        <v>0</v>
      </c>
      <c r="T45" s="299">
        <f t="shared" si="15"/>
        <v>0</v>
      </c>
      <c r="U45" s="299">
        <v>0</v>
      </c>
      <c r="V45" s="299">
        <v>0</v>
      </c>
      <c r="W45" s="299">
        <v>0</v>
      </c>
      <c r="X45" s="299">
        <v>0</v>
      </c>
      <c r="Y45" s="299">
        <f t="shared" si="16"/>
        <v>0</v>
      </c>
      <c r="Z45" s="299">
        <v>0</v>
      </c>
      <c r="AA45" s="299">
        <v>0</v>
      </c>
      <c r="AB45" s="299">
        <v>0</v>
      </c>
      <c r="AC45" s="299">
        <v>0</v>
      </c>
      <c r="AD45" s="299">
        <f t="shared" si="17"/>
        <v>200</v>
      </c>
    </row>
    <row r="46" spans="1:31" ht="69.75">
      <c r="A46" s="323" t="s">
        <v>244</v>
      </c>
      <c r="B46" s="330" t="s">
        <v>78</v>
      </c>
      <c r="C46" s="322" t="s">
        <v>18</v>
      </c>
      <c r="D46" s="322" t="s">
        <v>93</v>
      </c>
      <c r="E46" s="299">
        <f t="shared" si="12"/>
        <v>96</v>
      </c>
      <c r="F46" s="299">
        <f>96</f>
        <v>96</v>
      </c>
      <c r="G46" s="299">
        <v>0</v>
      </c>
      <c r="H46" s="299">
        <v>0</v>
      </c>
      <c r="I46" s="299">
        <v>0</v>
      </c>
      <c r="J46" s="299">
        <f t="shared" si="13"/>
        <v>43</v>
      </c>
      <c r="K46" s="299">
        <f>68-25</f>
        <v>43</v>
      </c>
      <c r="L46" s="299">
        <v>0</v>
      </c>
      <c r="M46" s="299">
        <v>0</v>
      </c>
      <c r="N46" s="299">
        <v>0</v>
      </c>
      <c r="O46" s="299">
        <f t="shared" si="14"/>
        <v>53</v>
      </c>
      <c r="P46" s="299">
        <v>53</v>
      </c>
      <c r="Q46" s="299">
        <v>0</v>
      </c>
      <c r="R46" s="299">
        <v>0</v>
      </c>
      <c r="S46" s="299">
        <v>0</v>
      </c>
      <c r="T46" s="299">
        <f t="shared" si="15"/>
        <v>0</v>
      </c>
      <c r="U46" s="299">
        <v>0</v>
      </c>
      <c r="V46" s="299">
        <v>0</v>
      </c>
      <c r="W46" s="299">
        <v>0</v>
      </c>
      <c r="X46" s="299">
        <v>0</v>
      </c>
      <c r="Y46" s="299">
        <f t="shared" si="16"/>
        <v>0</v>
      </c>
      <c r="Z46" s="299">
        <v>0</v>
      </c>
      <c r="AA46" s="299">
        <v>0</v>
      </c>
      <c r="AB46" s="299">
        <v>0</v>
      </c>
      <c r="AC46" s="299">
        <v>0</v>
      </c>
      <c r="AD46" s="299">
        <f t="shared" si="17"/>
        <v>192</v>
      </c>
    </row>
    <row r="47" spans="1:31" ht="93">
      <c r="A47" s="323" t="s">
        <v>245</v>
      </c>
      <c r="B47" s="330" t="s">
        <v>145</v>
      </c>
      <c r="C47" s="322" t="s">
        <v>94</v>
      </c>
      <c r="D47" s="322" t="s">
        <v>93</v>
      </c>
      <c r="E47" s="299">
        <f>F47+G47+H47+I47</f>
        <v>28325</v>
      </c>
      <c r="F47" s="299">
        <f>6567-902</f>
        <v>5665</v>
      </c>
      <c r="G47" s="299">
        <f>26268-3608</f>
        <v>22660</v>
      </c>
      <c r="H47" s="299">
        <v>0</v>
      </c>
      <c r="I47" s="299">
        <v>0</v>
      </c>
      <c r="J47" s="299">
        <f>K47+L47+M47+N47</f>
        <v>4455</v>
      </c>
      <c r="K47" s="299">
        <f>550+341</f>
        <v>891</v>
      </c>
      <c r="L47" s="299">
        <v>3564</v>
      </c>
      <c r="M47" s="299">
        <v>0</v>
      </c>
      <c r="N47" s="299">
        <v>0</v>
      </c>
      <c r="O47" s="299">
        <f>P47+Q47+R47+S47</f>
        <v>550</v>
      </c>
      <c r="P47" s="299">
        <v>550</v>
      </c>
      <c r="Q47" s="299">
        <v>0</v>
      </c>
      <c r="R47" s="299">
        <v>0</v>
      </c>
      <c r="S47" s="299">
        <v>0</v>
      </c>
      <c r="T47" s="299">
        <f>U47+V47+W47+X47</f>
        <v>0</v>
      </c>
      <c r="U47" s="299">
        <v>0</v>
      </c>
      <c r="V47" s="299">
        <v>0</v>
      </c>
      <c r="W47" s="299">
        <v>0</v>
      </c>
      <c r="X47" s="299">
        <v>0</v>
      </c>
      <c r="Y47" s="299">
        <f>Z47+AA47+AB47+AC47</f>
        <v>0</v>
      </c>
      <c r="Z47" s="299">
        <v>0</v>
      </c>
      <c r="AA47" s="299">
        <v>0</v>
      </c>
      <c r="AB47" s="299">
        <v>0</v>
      </c>
      <c r="AC47" s="299">
        <v>0</v>
      </c>
      <c r="AD47" s="299">
        <f>E47+J47+O47+T47+Y47</f>
        <v>33330</v>
      </c>
      <c r="AE47" s="349"/>
    </row>
    <row r="48" spans="1:31" ht="46.5">
      <c r="A48" s="350" t="s">
        <v>246</v>
      </c>
      <c r="B48" s="351" t="s">
        <v>87</v>
      </c>
      <c r="C48" s="352" t="s">
        <v>52</v>
      </c>
      <c r="D48" s="322" t="s">
        <v>93</v>
      </c>
      <c r="E48" s="299">
        <f>F48+G48+H48+I48</f>
        <v>384.8</v>
      </c>
      <c r="F48" s="299">
        <f>387-2.2</f>
        <v>384.8</v>
      </c>
      <c r="G48" s="299">
        <v>0</v>
      </c>
      <c r="H48" s="299">
        <v>0</v>
      </c>
      <c r="I48" s="299">
        <v>0</v>
      </c>
      <c r="J48" s="299">
        <f>K48+L48+M48+N48</f>
        <v>362.1</v>
      </c>
      <c r="K48" s="299">
        <f>387-24.9</f>
        <v>362.1</v>
      </c>
      <c r="L48" s="299">
        <v>0</v>
      </c>
      <c r="M48" s="299">
        <v>0</v>
      </c>
      <c r="N48" s="299">
        <v>0</v>
      </c>
      <c r="O48" s="299">
        <v>387</v>
      </c>
      <c r="P48" s="299">
        <v>387</v>
      </c>
      <c r="Q48" s="299">
        <v>0</v>
      </c>
      <c r="R48" s="299">
        <v>0</v>
      </c>
      <c r="S48" s="299">
        <v>0</v>
      </c>
      <c r="T48" s="299">
        <f>U48+V48+W48+X48</f>
        <v>387</v>
      </c>
      <c r="U48" s="299">
        <v>387</v>
      </c>
      <c r="V48" s="299">
        <v>0</v>
      </c>
      <c r="W48" s="299">
        <v>0</v>
      </c>
      <c r="X48" s="299">
        <v>0</v>
      </c>
      <c r="Y48" s="299">
        <f>Z48+AA48+AB48+AC48</f>
        <v>387</v>
      </c>
      <c r="Z48" s="299">
        <v>387</v>
      </c>
      <c r="AA48" s="299">
        <v>0</v>
      </c>
      <c r="AB48" s="299">
        <v>0</v>
      </c>
      <c r="AC48" s="299">
        <v>0</v>
      </c>
      <c r="AD48" s="299">
        <f t="shared" si="17"/>
        <v>1907.9</v>
      </c>
    </row>
    <row r="49" spans="1:32" ht="75">
      <c r="A49" s="350" t="s">
        <v>247</v>
      </c>
      <c r="B49" s="351" t="s">
        <v>132</v>
      </c>
      <c r="C49" s="352" t="s">
        <v>147</v>
      </c>
      <c r="D49" s="325">
        <v>2020</v>
      </c>
      <c r="E49" s="299">
        <f>F49+G49+H49+I49</f>
        <v>1248</v>
      </c>
      <c r="F49" s="299">
        <f>1248</f>
        <v>1248</v>
      </c>
      <c r="G49" s="299">
        <v>0</v>
      </c>
      <c r="H49" s="299">
        <v>0</v>
      </c>
      <c r="I49" s="299">
        <v>0</v>
      </c>
      <c r="J49" s="299">
        <f>K49+L49+M49+N49</f>
        <v>0</v>
      </c>
      <c r="K49" s="299">
        <v>0</v>
      </c>
      <c r="L49" s="299">
        <v>0</v>
      </c>
      <c r="M49" s="299">
        <v>0</v>
      </c>
      <c r="N49" s="299">
        <v>0</v>
      </c>
      <c r="O49" s="299">
        <f>P49+Q49+R49+S49</f>
        <v>0</v>
      </c>
      <c r="P49" s="299">
        <v>0</v>
      </c>
      <c r="Q49" s="299">
        <v>0</v>
      </c>
      <c r="R49" s="299">
        <v>0</v>
      </c>
      <c r="S49" s="299">
        <v>0</v>
      </c>
      <c r="T49" s="299">
        <f>U49+V49+W49+X49</f>
        <v>0</v>
      </c>
      <c r="U49" s="299">
        <v>0</v>
      </c>
      <c r="V49" s="299">
        <v>0</v>
      </c>
      <c r="W49" s="299">
        <v>0</v>
      </c>
      <c r="X49" s="299">
        <v>0</v>
      </c>
      <c r="Y49" s="299">
        <f>Z49+AA49+AB49+AC49</f>
        <v>0</v>
      </c>
      <c r="Z49" s="299">
        <v>0</v>
      </c>
      <c r="AA49" s="299">
        <v>0</v>
      </c>
      <c r="AB49" s="299">
        <v>0</v>
      </c>
      <c r="AC49" s="299">
        <v>0</v>
      </c>
      <c r="AD49" s="299">
        <f>E49+J49+O49+T49+Y49</f>
        <v>1248</v>
      </c>
    </row>
    <row r="50" spans="1:32" ht="23.25">
      <c r="A50" s="642" t="s">
        <v>25</v>
      </c>
      <c r="B50" s="643"/>
      <c r="C50" s="644"/>
      <c r="D50" s="347"/>
      <c r="E50" s="326">
        <f t="shared" ref="E50:K50" si="18">E51+E52</f>
        <v>38121.800000000003</v>
      </c>
      <c r="F50" s="326">
        <f t="shared" si="18"/>
        <v>15461.8</v>
      </c>
      <c r="G50" s="326">
        <f t="shared" si="18"/>
        <v>22660</v>
      </c>
      <c r="H50" s="326">
        <f t="shared" si="18"/>
        <v>0</v>
      </c>
      <c r="I50" s="326">
        <f t="shared" si="18"/>
        <v>0</v>
      </c>
      <c r="J50" s="326">
        <f>J52+J51</f>
        <v>11573.1</v>
      </c>
      <c r="K50" s="326">
        <f t="shared" si="18"/>
        <v>8009.1</v>
      </c>
      <c r="L50" s="326">
        <f>SUM(L35,L36:L48)</f>
        <v>3564</v>
      </c>
      <c r="M50" s="326">
        <f>SUM(M35,M36:M48)</f>
        <v>0</v>
      </c>
      <c r="N50" s="326">
        <f>SUM(N35,N36:N48)</f>
        <v>0</v>
      </c>
      <c r="O50" s="326">
        <f>O51+O52</f>
        <v>7716</v>
      </c>
      <c r="P50" s="326">
        <f>P51+P52</f>
        <v>7716</v>
      </c>
      <c r="Q50" s="326">
        <f>SUM(Q35,Q36:Q48)</f>
        <v>0</v>
      </c>
      <c r="R50" s="326">
        <f>SUM(R35,R36:R48)</f>
        <v>0</v>
      </c>
      <c r="S50" s="326">
        <f>SUM(S35,S36:S48)</f>
        <v>0</v>
      </c>
      <c r="T50" s="326">
        <f>T51+T52</f>
        <v>387</v>
      </c>
      <c r="U50" s="326">
        <f>U51+U52</f>
        <v>387</v>
      </c>
      <c r="V50" s="326">
        <f>SUM(V35,V36:V48)</f>
        <v>0</v>
      </c>
      <c r="W50" s="326">
        <f>SUM(W35,W36:W48)</f>
        <v>0</v>
      </c>
      <c r="X50" s="326">
        <f>SUM(X35,X36:X48)</f>
        <v>0</v>
      </c>
      <c r="Y50" s="326">
        <f>Y51+Y52</f>
        <v>387</v>
      </c>
      <c r="Z50" s="326">
        <f>Z51+Z52</f>
        <v>387</v>
      </c>
      <c r="AA50" s="326">
        <f>SUM(AA35,AA36:AA48)</f>
        <v>0</v>
      </c>
      <c r="AB50" s="326">
        <f>SUM(AB35,AB36:AB48)</f>
        <v>0</v>
      </c>
      <c r="AC50" s="326">
        <f>SUM(AC35,AC36:AC48)</f>
        <v>0</v>
      </c>
      <c r="AD50" s="326">
        <f>E50+J50+O50+T50+Y50</f>
        <v>58184.9</v>
      </c>
    </row>
    <row r="51" spans="1:32" ht="23.25">
      <c r="A51" s="338" t="s">
        <v>73</v>
      </c>
      <c r="B51" s="338"/>
      <c r="C51" s="340"/>
      <c r="D51" s="341"/>
      <c r="E51" s="353">
        <f t="shared" ref="E51:AC51" si="19">E48</f>
        <v>384.8</v>
      </c>
      <c r="F51" s="353">
        <f t="shared" si="19"/>
        <v>384.8</v>
      </c>
      <c r="G51" s="353">
        <v>0</v>
      </c>
      <c r="H51" s="353">
        <f t="shared" si="19"/>
        <v>0</v>
      </c>
      <c r="I51" s="353">
        <f t="shared" si="19"/>
        <v>0</v>
      </c>
      <c r="J51" s="353">
        <f t="shared" si="19"/>
        <v>362.1</v>
      </c>
      <c r="K51" s="353">
        <f t="shared" si="19"/>
        <v>362.1</v>
      </c>
      <c r="L51" s="353">
        <f t="shared" si="19"/>
        <v>0</v>
      </c>
      <c r="M51" s="353">
        <f t="shared" si="19"/>
        <v>0</v>
      </c>
      <c r="N51" s="353">
        <f t="shared" si="19"/>
        <v>0</v>
      </c>
      <c r="O51" s="353">
        <f t="shared" si="19"/>
        <v>387</v>
      </c>
      <c r="P51" s="353">
        <f t="shared" si="19"/>
        <v>387</v>
      </c>
      <c r="Q51" s="353">
        <f t="shared" si="19"/>
        <v>0</v>
      </c>
      <c r="R51" s="353">
        <f t="shared" si="19"/>
        <v>0</v>
      </c>
      <c r="S51" s="353">
        <f t="shared" si="19"/>
        <v>0</v>
      </c>
      <c r="T51" s="353">
        <f t="shared" si="19"/>
        <v>387</v>
      </c>
      <c r="U51" s="353">
        <f t="shared" si="19"/>
        <v>387</v>
      </c>
      <c r="V51" s="353">
        <f t="shared" si="19"/>
        <v>0</v>
      </c>
      <c r="W51" s="353">
        <f t="shared" si="19"/>
        <v>0</v>
      </c>
      <c r="X51" s="353">
        <f t="shared" si="19"/>
        <v>0</v>
      </c>
      <c r="Y51" s="353">
        <f t="shared" si="19"/>
        <v>387</v>
      </c>
      <c r="Z51" s="353">
        <f t="shared" si="19"/>
        <v>387</v>
      </c>
      <c r="AA51" s="353">
        <f t="shared" si="19"/>
        <v>0</v>
      </c>
      <c r="AB51" s="353">
        <f t="shared" si="19"/>
        <v>0</v>
      </c>
      <c r="AC51" s="353">
        <f t="shared" si="19"/>
        <v>0</v>
      </c>
      <c r="AD51" s="354">
        <f>E51+J51+O51+T51+Y51</f>
        <v>1907.9</v>
      </c>
    </row>
    <row r="52" spans="1:32" ht="23.25">
      <c r="A52" s="338" t="s">
        <v>135</v>
      </c>
      <c r="B52" s="338"/>
      <c r="C52" s="340"/>
      <c r="D52" s="341"/>
      <c r="E52" s="299">
        <f>E35+E36+E37+E38+E39+E40+E41+E42+E43+E44+E45+E46+E47+E49</f>
        <v>37737</v>
      </c>
      <c r="F52" s="299">
        <f>F35+F36+F37+F38+F39+F40+F41+F42+F43+F44+F45+F46+F47+F49</f>
        <v>15077</v>
      </c>
      <c r="G52" s="299">
        <v>22660</v>
      </c>
      <c r="H52" s="299">
        <f>0</f>
        <v>0</v>
      </c>
      <c r="I52" s="299">
        <v>0</v>
      </c>
      <c r="J52" s="299">
        <f>J35+J36+J37+J38+J39+J40+J41+J42+J43+J44+J45+J46+J47+J49</f>
        <v>11211</v>
      </c>
      <c r="K52" s="299">
        <f>K35+K36+K37+K38+K39+K40+K41+K42+K43+K44+K45+K46+K47+K49</f>
        <v>7647</v>
      </c>
      <c r="L52" s="299">
        <v>0</v>
      </c>
      <c r="M52" s="299">
        <v>0</v>
      </c>
      <c r="N52" s="299">
        <v>0</v>
      </c>
      <c r="O52" s="299">
        <f>O35+O36+O37+O38+O39+O40+O42+O41+O43+O44+O45+O46+O47+O49</f>
        <v>7329</v>
      </c>
      <c r="P52" s="299">
        <f>P35+P36+P37+P38+P39+P40+P41+P42+P43+P44+P45+P46+P47+P49</f>
        <v>7329</v>
      </c>
      <c r="Q52" s="299">
        <v>0</v>
      </c>
      <c r="R52" s="299">
        <v>0</v>
      </c>
      <c r="S52" s="299">
        <v>0</v>
      </c>
      <c r="T52" s="299">
        <f>T35+T36+T37+T38+T39+T40+T41+T42+T43+T44+T45+T46+T47+T49</f>
        <v>0</v>
      </c>
      <c r="U52" s="299">
        <f>U35+U36+U37+U38+U39+U40+U41+U42+U43+U44+U45+U46+U47+U49</f>
        <v>0</v>
      </c>
      <c r="V52" s="299">
        <v>0</v>
      </c>
      <c r="W52" s="299">
        <v>0</v>
      </c>
      <c r="X52" s="299">
        <v>0</v>
      </c>
      <c r="Y52" s="299">
        <f>Y35+Y36+Y37+Y38+Y39+Y40+Y41+Y42+Y43+Y44+Y45+Y46+Y47+Y49</f>
        <v>0</v>
      </c>
      <c r="Z52" s="299">
        <f>Z35+Z36+Z37+Z38+Z39+Z40+Z41+Z42+Z43+Z44+Z45+Z46+Z47+Z49</f>
        <v>0</v>
      </c>
      <c r="AA52" s="299">
        <v>0</v>
      </c>
      <c r="AB52" s="299">
        <v>0</v>
      </c>
      <c r="AC52" s="299">
        <v>0</v>
      </c>
      <c r="AD52" s="299">
        <f>E52+J52+O52+T52+Y52</f>
        <v>56277</v>
      </c>
    </row>
    <row r="53" spans="1:32" ht="23.25" customHeight="1">
      <c r="A53" s="322" t="s">
        <v>223</v>
      </c>
      <c r="B53" s="639" t="s">
        <v>248</v>
      </c>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1"/>
    </row>
    <row r="54" spans="1:32" ht="63" customHeight="1">
      <c r="A54" s="323" t="s">
        <v>27</v>
      </c>
      <c r="B54" s="330" t="s">
        <v>120</v>
      </c>
      <c r="C54" s="322" t="s">
        <v>94</v>
      </c>
      <c r="D54" s="322" t="s">
        <v>93</v>
      </c>
      <c r="E54" s="299">
        <f>F54+G54+H54+I54</f>
        <v>700</v>
      </c>
      <c r="F54" s="299">
        <f>700</f>
        <v>700</v>
      </c>
      <c r="G54" s="299">
        <v>0</v>
      </c>
      <c r="H54" s="299">
        <v>0</v>
      </c>
      <c r="I54" s="299">
        <v>0</v>
      </c>
      <c r="J54" s="299">
        <f>K54+L54+M54+N54</f>
        <v>498</v>
      </c>
      <c r="K54" s="299">
        <f>600-102</f>
        <v>498</v>
      </c>
      <c r="L54" s="299">
        <v>0</v>
      </c>
      <c r="M54" s="299">
        <v>0</v>
      </c>
      <c r="N54" s="299">
        <v>0</v>
      </c>
      <c r="O54" s="299">
        <f>P54+Q54+R54+S54</f>
        <v>600</v>
      </c>
      <c r="P54" s="299">
        <v>600</v>
      </c>
      <c r="Q54" s="299">
        <v>0</v>
      </c>
      <c r="R54" s="299">
        <v>0</v>
      </c>
      <c r="S54" s="299">
        <v>0</v>
      </c>
      <c r="T54" s="299">
        <f>U54+V54+W54+X54</f>
        <v>0</v>
      </c>
      <c r="U54" s="299">
        <v>0</v>
      </c>
      <c r="V54" s="299">
        <v>0</v>
      </c>
      <c r="W54" s="299">
        <v>0</v>
      </c>
      <c r="X54" s="299">
        <v>0</v>
      </c>
      <c r="Y54" s="299">
        <f>Z54+AA54+AB54+AC54</f>
        <v>0</v>
      </c>
      <c r="Z54" s="299">
        <v>0</v>
      </c>
      <c r="AA54" s="299">
        <v>0</v>
      </c>
      <c r="AB54" s="299">
        <v>0</v>
      </c>
      <c r="AC54" s="299">
        <v>0</v>
      </c>
      <c r="AD54" s="299">
        <f>E54+J54+O54+T54+Y54</f>
        <v>1798</v>
      </c>
    </row>
    <row r="55" spans="1:32" ht="23.25">
      <c r="A55" s="642" t="s">
        <v>44</v>
      </c>
      <c r="B55" s="643"/>
      <c r="C55" s="644"/>
      <c r="D55" s="347"/>
      <c r="E55" s="326">
        <f t="shared" ref="E55:AD55" si="20">SUM(E54:E54)</f>
        <v>700</v>
      </c>
      <c r="F55" s="326">
        <f>SUM(F54)</f>
        <v>700</v>
      </c>
      <c r="G55" s="326">
        <f t="shared" si="20"/>
        <v>0</v>
      </c>
      <c r="H55" s="326">
        <f t="shared" si="20"/>
        <v>0</v>
      </c>
      <c r="I55" s="326">
        <f t="shared" si="20"/>
        <v>0</v>
      </c>
      <c r="J55" s="326">
        <f>J54</f>
        <v>498</v>
      </c>
      <c r="K55" s="326">
        <f t="shared" si="20"/>
        <v>498</v>
      </c>
      <c r="L55" s="326">
        <f t="shared" si="20"/>
        <v>0</v>
      </c>
      <c r="M55" s="326">
        <f t="shared" si="20"/>
        <v>0</v>
      </c>
      <c r="N55" s="326">
        <f t="shared" si="20"/>
        <v>0</v>
      </c>
      <c r="O55" s="326">
        <f t="shared" si="20"/>
        <v>600</v>
      </c>
      <c r="P55" s="326">
        <f t="shared" si="20"/>
        <v>600</v>
      </c>
      <c r="Q55" s="326">
        <f t="shared" si="20"/>
        <v>0</v>
      </c>
      <c r="R55" s="326">
        <f t="shared" si="20"/>
        <v>0</v>
      </c>
      <c r="S55" s="326">
        <f t="shared" si="20"/>
        <v>0</v>
      </c>
      <c r="T55" s="326">
        <f t="shared" si="20"/>
        <v>0</v>
      </c>
      <c r="U55" s="326">
        <f t="shared" si="20"/>
        <v>0</v>
      </c>
      <c r="V55" s="326">
        <f t="shared" si="20"/>
        <v>0</v>
      </c>
      <c r="W55" s="326">
        <f t="shared" si="20"/>
        <v>0</v>
      </c>
      <c r="X55" s="326">
        <f t="shared" si="20"/>
        <v>0</v>
      </c>
      <c r="Y55" s="326">
        <f t="shared" si="20"/>
        <v>0</v>
      </c>
      <c r="Z55" s="326">
        <f t="shared" si="20"/>
        <v>0</v>
      </c>
      <c r="AA55" s="326">
        <f t="shared" si="20"/>
        <v>0</v>
      </c>
      <c r="AB55" s="326">
        <f t="shared" si="20"/>
        <v>0</v>
      </c>
      <c r="AC55" s="326">
        <f t="shared" si="20"/>
        <v>0</v>
      </c>
      <c r="AD55" s="326">
        <f t="shared" si="20"/>
        <v>1798</v>
      </c>
    </row>
    <row r="56" spans="1:32" ht="23.25" customHeight="1">
      <c r="A56" s="322" t="s">
        <v>249</v>
      </c>
      <c r="B56" s="639" t="s">
        <v>250</v>
      </c>
      <c r="C56" s="640"/>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1"/>
    </row>
    <row r="57" spans="1:32" ht="111" customHeight="1">
      <c r="A57" s="648" t="s">
        <v>46</v>
      </c>
      <c r="B57" s="650" t="s">
        <v>291</v>
      </c>
      <c r="C57" s="322" t="s">
        <v>285</v>
      </c>
      <c r="D57" s="355">
        <v>2020</v>
      </c>
      <c r="E57" s="299">
        <f>F57+G57+H57+I57</f>
        <v>1449</v>
      </c>
      <c r="F57" s="299">
        <f>1656-207</f>
        <v>1449</v>
      </c>
      <c r="G57" s="299">
        <v>0</v>
      </c>
      <c r="H57" s="299">
        <v>0</v>
      </c>
      <c r="I57" s="299">
        <v>0</v>
      </c>
      <c r="J57" s="299">
        <f>K57+L57+M57+N57</f>
        <v>0</v>
      </c>
      <c r="K57" s="299">
        <v>0</v>
      </c>
      <c r="L57" s="299">
        <v>0</v>
      </c>
      <c r="M57" s="299">
        <v>0</v>
      </c>
      <c r="N57" s="299">
        <v>0</v>
      </c>
      <c r="O57" s="299">
        <f>P57+Q57+R57+S57</f>
        <v>0</v>
      </c>
      <c r="P57" s="299">
        <v>0</v>
      </c>
      <c r="Q57" s="299">
        <v>0</v>
      </c>
      <c r="R57" s="299">
        <v>0</v>
      </c>
      <c r="S57" s="299">
        <v>0</v>
      </c>
      <c r="T57" s="299">
        <f t="shared" ref="T57:T59" si="21">U57+V57+W57+X57</f>
        <v>0</v>
      </c>
      <c r="U57" s="299">
        <v>0</v>
      </c>
      <c r="V57" s="299">
        <v>0</v>
      </c>
      <c r="W57" s="299">
        <v>0</v>
      </c>
      <c r="X57" s="299">
        <v>0</v>
      </c>
      <c r="Y57" s="299">
        <f>Z57+AA57+AB57+AC57</f>
        <v>0</v>
      </c>
      <c r="Z57" s="299">
        <v>0</v>
      </c>
      <c r="AA57" s="299">
        <v>0</v>
      </c>
      <c r="AB57" s="299">
        <v>0</v>
      </c>
      <c r="AC57" s="299">
        <v>0</v>
      </c>
      <c r="AD57" s="299">
        <f>E57+I57+O57+T57+0</f>
        <v>1449</v>
      </c>
    </row>
    <row r="58" spans="1:32" ht="76.5" customHeight="1">
      <c r="A58" s="649"/>
      <c r="B58" s="651"/>
      <c r="C58" s="322" t="s">
        <v>286</v>
      </c>
      <c r="D58" s="355" t="s">
        <v>284</v>
      </c>
      <c r="E58" s="299">
        <f>F58+G58+H58+I58</f>
        <v>0</v>
      </c>
      <c r="F58" s="299">
        <v>0</v>
      </c>
      <c r="G58" s="299">
        <v>0</v>
      </c>
      <c r="H58" s="299">
        <v>0</v>
      </c>
      <c r="I58" s="299">
        <v>0</v>
      </c>
      <c r="J58" s="299">
        <f>K58+L58+M58+N58</f>
        <v>850</v>
      </c>
      <c r="K58" s="299">
        <f>1437-237-350</f>
        <v>850</v>
      </c>
      <c r="L58" s="299">
        <v>0</v>
      </c>
      <c r="M58" s="299">
        <v>0</v>
      </c>
      <c r="N58" s="299">
        <v>0</v>
      </c>
      <c r="O58" s="299">
        <f>P58+Q58+R58+S58</f>
        <v>1437</v>
      </c>
      <c r="P58" s="299">
        <v>1437</v>
      </c>
      <c r="Q58" s="299">
        <v>0</v>
      </c>
      <c r="R58" s="299">
        <v>0</v>
      </c>
      <c r="S58" s="299">
        <v>0</v>
      </c>
      <c r="T58" s="299">
        <f t="shared" si="21"/>
        <v>1437</v>
      </c>
      <c r="U58" s="299">
        <v>1437</v>
      </c>
      <c r="V58" s="299">
        <v>0</v>
      </c>
      <c r="W58" s="299">
        <v>0</v>
      </c>
      <c r="X58" s="299">
        <v>0</v>
      </c>
      <c r="Y58" s="299">
        <f>Z58+AA58+AB58+AC58</f>
        <v>1437</v>
      </c>
      <c r="Z58" s="299">
        <v>1437</v>
      </c>
      <c r="AA58" s="299">
        <v>0</v>
      </c>
      <c r="AB58" s="299">
        <v>0</v>
      </c>
      <c r="AC58" s="299">
        <v>0</v>
      </c>
      <c r="AD58" s="299">
        <f>E58+J58+O58+T58+Y58</f>
        <v>5161</v>
      </c>
    </row>
    <row r="59" spans="1:32" ht="69.75">
      <c r="A59" s="323" t="s">
        <v>251</v>
      </c>
      <c r="B59" s="330" t="s">
        <v>292</v>
      </c>
      <c r="C59" s="322" t="s">
        <v>52</v>
      </c>
      <c r="D59" s="322" t="s">
        <v>93</v>
      </c>
      <c r="E59" s="299">
        <f>F59+G59+H59+I59</f>
        <v>55</v>
      </c>
      <c r="F59" s="299">
        <f>86-31</f>
        <v>55</v>
      </c>
      <c r="G59" s="299">
        <v>0</v>
      </c>
      <c r="H59" s="299">
        <v>0</v>
      </c>
      <c r="I59" s="299">
        <v>0</v>
      </c>
      <c r="J59" s="299">
        <f>K59+L59+M59+N59</f>
        <v>60.5</v>
      </c>
      <c r="K59" s="299">
        <f>70-9.5</f>
        <v>60.5</v>
      </c>
      <c r="L59" s="299">
        <v>0</v>
      </c>
      <c r="M59" s="299">
        <v>0</v>
      </c>
      <c r="N59" s="299">
        <v>0</v>
      </c>
      <c r="O59" s="299">
        <v>153</v>
      </c>
      <c r="P59" s="299">
        <v>153</v>
      </c>
      <c r="Q59" s="299">
        <v>0</v>
      </c>
      <c r="R59" s="299">
        <v>0</v>
      </c>
      <c r="S59" s="299">
        <v>0</v>
      </c>
      <c r="T59" s="299">
        <f t="shared" si="21"/>
        <v>153</v>
      </c>
      <c r="U59" s="299">
        <v>153</v>
      </c>
      <c r="V59" s="299">
        <v>0</v>
      </c>
      <c r="W59" s="299">
        <v>0</v>
      </c>
      <c r="X59" s="299">
        <v>0</v>
      </c>
      <c r="Y59" s="299">
        <f>Z59+AA59+AB59+AC59</f>
        <v>153</v>
      </c>
      <c r="Z59" s="299">
        <v>153</v>
      </c>
      <c r="AA59" s="299">
        <v>0</v>
      </c>
      <c r="AB59" s="299">
        <v>0</v>
      </c>
      <c r="AC59" s="299">
        <v>0</v>
      </c>
      <c r="AD59" s="299">
        <f>E59+J59+O59+T59+Y59</f>
        <v>574.5</v>
      </c>
    </row>
    <row r="60" spans="1:32" ht="23.25">
      <c r="A60" s="338" t="s">
        <v>73</v>
      </c>
      <c r="B60" s="338"/>
      <c r="C60" s="340"/>
      <c r="D60" s="347"/>
      <c r="E60" s="299">
        <f>E59</f>
        <v>55</v>
      </c>
      <c r="F60" s="299">
        <f>F59</f>
        <v>55</v>
      </c>
      <c r="G60" s="299">
        <v>0</v>
      </c>
      <c r="H60" s="299">
        <v>0</v>
      </c>
      <c r="I60" s="299">
        <v>0</v>
      </c>
      <c r="J60" s="299">
        <f>K60+L60+M60+N60</f>
        <v>910.5</v>
      </c>
      <c r="K60" s="299">
        <f>K58+K59</f>
        <v>910.5</v>
      </c>
      <c r="L60" s="299">
        <v>0</v>
      </c>
      <c r="M60" s="299">
        <v>0</v>
      </c>
      <c r="N60" s="299">
        <v>0</v>
      </c>
      <c r="O60" s="299">
        <f>P60+Q60+R60+S60</f>
        <v>1590</v>
      </c>
      <c r="P60" s="299">
        <f>P58+P59</f>
        <v>1590</v>
      </c>
      <c r="Q60" s="299">
        <v>0</v>
      </c>
      <c r="R60" s="299">
        <v>0</v>
      </c>
      <c r="S60" s="299">
        <v>0</v>
      </c>
      <c r="T60" s="299">
        <f>T58+T59</f>
        <v>1590</v>
      </c>
      <c r="U60" s="299">
        <f>U58+U59</f>
        <v>1590</v>
      </c>
      <c r="V60" s="299">
        <v>0</v>
      </c>
      <c r="W60" s="299">
        <v>0</v>
      </c>
      <c r="X60" s="299">
        <v>0</v>
      </c>
      <c r="Y60" s="299">
        <f>Y58+Y59</f>
        <v>1590</v>
      </c>
      <c r="Z60" s="299">
        <f>Z58+Z59</f>
        <v>1590</v>
      </c>
      <c r="AA60" s="299">
        <v>0</v>
      </c>
      <c r="AB60" s="299">
        <v>0</v>
      </c>
      <c r="AC60" s="299">
        <v>0</v>
      </c>
      <c r="AD60" s="299">
        <f>AD58+AD59</f>
        <v>5735.5</v>
      </c>
    </row>
    <row r="61" spans="1:32" ht="23.25">
      <c r="A61" s="338" t="s">
        <v>135</v>
      </c>
      <c r="B61" s="338"/>
      <c r="C61" s="340"/>
      <c r="D61" s="347"/>
      <c r="E61" s="299">
        <f>F61+G61+H61+I61</f>
        <v>1449</v>
      </c>
      <c r="F61" s="299">
        <f>F57</f>
        <v>1449</v>
      </c>
      <c r="G61" s="299">
        <v>0</v>
      </c>
      <c r="H61" s="299">
        <v>0</v>
      </c>
      <c r="I61" s="299">
        <v>0</v>
      </c>
      <c r="J61" s="299">
        <v>0</v>
      </c>
      <c r="K61" s="299">
        <v>0</v>
      </c>
      <c r="L61" s="299">
        <v>0</v>
      </c>
      <c r="M61" s="299">
        <v>0</v>
      </c>
      <c r="N61" s="299">
        <v>0</v>
      </c>
      <c r="O61" s="299">
        <v>0</v>
      </c>
      <c r="P61" s="299">
        <v>0</v>
      </c>
      <c r="Q61" s="299">
        <v>0</v>
      </c>
      <c r="R61" s="299">
        <v>0</v>
      </c>
      <c r="S61" s="299">
        <v>0</v>
      </c>
      <c r="T61" s="299">
        <v>0</v>
      </c>
      <c r="U61" s="299">
        <v>0</v>
      </c>
      <c r="V61" s="299">
        <v>0</v>
      </c>
      <c r="W61" s="299">
        <v>0</v>
      </c>
      <c r="X61" s="299">
        <v>0</v>
      </c>
      <c r="Y61" s="299">
        <v>0</v>
      </c>
      <c r="Z61" s="299">
        <v>0</v>
      </c>
      <c r="AA61" s="299">
        <v>0</v>
      </c>
      <c r="AB61" s="299">
        <v>0</v>
      </c>
      <c r="AC61" s="299">
        <v>0</v>
      </c>
      <c r="AD61" s="299">
        <f>AD57</f>
        <v>1449</v>
      </c>
    </row>
    <row r="62" spans="1:32" s="349" customFormat="1" ht="22.5">
      <c r="A62" s="356"/>
      <c r="B62" s="356" t="s">
        <v>303</v>
      </c>
      <c r="C62" s="357"/>
      <c r="D62" s="358"/>
      <c r="E62" s="326">
        <f>F62+G62+H62+I62</f>
        <v>1504</v>
      </c>
      <c r="F62" s="326">
        <f>F60+F61</f>
        <v>1504</v>
      </c>
      <c r="G62" s="326">
        <v>0</v>
      </c>
      <c r="H62" s="326">
        <v>0</v>
      </c>
      <c r="I62" s="326">
        <v>0</v>
      </c>
      <c r="J62" s="326">
        <f>K62+L62+M62+N62</f>
        <v>910.5</v>
      </c>
      <c r="K62" s="326">
        <f>K60+K61</f>
        <v>910.5</v>
      </c>
      <c r="L62" s="326">
        <v>0</v>
      </c>
      <c r="M62" s="326">
        <v>0</v>
      </c>
      <c r="N62" s="326">
        <v>0</v>
      </c>
      <c r="O62" s="326">
        <f>P62+Q62+R62+S62</f>
        <v>1590</v>
      </c>
      <c r="P62" s="326">
        <f>P60+P61</f>
        <v>1590</v>
      </c>
      <c r="Q62" s="326">
        <v>0</v>
      </c>
      <c r="R62" s="326">
        <v>0</v>
      </c>
      <c r="S62" s="326">
        <v>0</v>
      </c>
      <c r="T62" s="326">
        <f>U62+V62+W62+X62</f>
        <v>1590</v>
      </c>
      <c r="U62" s="326">
        <f>U60+U61</f>
        <v>1590</v>
      </c>
      <c r="V62" s="326">
        <v>0</v>
      </c>
      <c r="W62" s="326">
        <v>0</v>
      </c>
      <c r="X62" s="326">
        <v>0</v>
      </c>
      <c r="Y62" s="326">
        <f>Z62+AA62+AB62+AC62</f>
        <v>1590</v>
      </c>
      <c r="Z62" s="326">
        <f>Z60+Z61</f>
        <v>1590</v>
      </c>
      <c r="AA62" s="326">
        <v>0</v>
      </c>
      <c r="AB62" s="326">
        <v>0</v>
      </c>
      <c r="AC62" s="326">
        <v>0</v>
      </c>
      <c r="AD62" s="326">
        <f>E62+J62+O62+T62+Y62</f>
        <v>7184.5</v>
      </c>
    </row>
    <row r="63" spans="1:32" ht="23.25">
      <c r="A63" s="322" t="s">
        <v>224</v>
      </c>
      <c r="B63" s="639" t="s">
        <v>278</v>
      </c>
      <c r="C63" s="640"/>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1"/>
    </row>
    <row r="64" spans="1:32" ht="87.75" customHeight="1">
      <c r="A64" s="323" t="s">
        <v>48</v>
      </c>
      <c r="B64" s="333" t="s">
        <v>108</v>
      </c>
      <c r="C64" s="322" t="s">
        <v>94</v>
      </c>
      <c r="D64" s="322" t="s">
        <v>93</v>
      </c>
      <c r="E64" s="299">
        <f>F64+G64+H64+I64</f>
        <v>766</v>
      </c>
      <c r="F64" s="299">
        <f>409+357</f>
        <v>766</v>
      </c>
      <c r="G64" s="299">
        <v>0</v>
      </c>
      <c r="H64" s="299">
        <v>0</v>
      </c>
      <c r="I64" s="299">
        <v>0</v>
      </c>
      <c r="J64" s="299">
        <f>K64+L64+M64+N64</f>
        <v>628</v>
      </c>
      <c r="K64" s="299">
        <f>655-27</f>
        <v>628</v>
      </c>
      <c r="L64" s="299">
        <v>0</v>
      </c>
      <c r="M64" s="299">
        <v>0</v>
      </c>
      <c r="N64" s="299">
        <v>0</v>
      </c>
      <c r="O64" s="299">
        <f>P64+Q64+R64+S64</f>
        <v>533</v>
      </c>
      <c r="P64" s="299">
        <v>533</v>
      </c>
      <c r="Q64" s="299">
        <v>0</v>
      </c>
      <c r="R64" s="299">
        <v>0</v>
      </c>
      <c r="S64" s="299">
        <v>0</v>
      </c>
      <c r="T64" s="299">
        <v>0</v>
      </c>
      <c r="U64" s="299">
        <v>0</v>
      </c>
      <c r="V64" s="299">
        <v>0</v>
      </c>
      <c r="W64" s="299">
        <v>0</v>
      </c>
      <c r="X64" s="299">
        <v>0</v>
      </c>
      <c r="Y64" s="299">
        <f>Z64+AA64+AB64+AC64</f>
        <v>0</v>
      </c>
      <c r="Z64" s="299">
        <v>0</v>
      </c>
      <c r="AA64" s="299">
        <v>0</v>
      </c>
      <c r="AB64" s="299">
        <v>0</v>
      </c>
      <c r="AC64" s="299">
        <v>0</v>
      </c>
      <c r="AD64" s="299">
        <f>E64+J64+O64+T64+Y64</f>
        <v>1927</v>
      </c>
      <c r="AF64" s="316" t="s">
        <v>131</v>
      </c>
    </row>
    <row r="65" spans="1:30">
      <c r="A65" s="652" t="s">
        <v>49</v>
      </c>
      <c r="B65" s="653"/>
      <c r="C65" s="654"/>
      <c r="D65" s="347"/>
      <c r="E65" s="326">
        <f t="shared" ref="E65:AD65" si="22">SUM(E64:E64)</f>
        <v>766</v>
      </c>
      <c r="F65" s="326">
        <f>SUM(F64)</f>
        <v>766</v>
      </c>
      <c r="G65" s="326">
        <f t="shared" si="22"/>
        <v>0</v>
      </c>
      <c r="H65" s="326">
        <f t="shared" si="22"/>
        <v>0</v>
      </c>
      <c r="I65" s="326">
        <f t="shared" si="22"/>
        <v>0</v>
      </c>
      <c r="J65" s="326">
        <f>J64</f>
        <v>628</v>
      </c>
      <c r="K65" s="326">
        <f t="shared" si="22"/>
        <v>628</v>
      </c>
      <c r="L65" s="326">
        <f t="shared" si="22"/>
        <v>0</v>
      </c>
      <c r="M65" s="326">
        <f t="shared" si="22"/>
        <v>0</v>
      </c>
      <c r="N65" s="326">
        <f t="shared" si="22"/>
        <v>0</v>
      </c>
      <c r="O65" s="326">
        <f t="shared" si="22"/>
        <v>533</v>
      </c>
      <c r="P65" s="326">
        <f t="shared" si="22"/>
        <v>533</v>
      </c>
      <c r="Q65" s="326">
        <f t="shared" si="22"/>
        <v>0</v>
      </c>
      <c r="R65" s="326">
        <f t="shared" si="22"/>
        <v>0</v>
      </c>
      <c r="S65" s="326">
        <f t="shared" si="22"/>
        <v>0</v>
      </c>
      <c r="T65" s="326">
        <f t="shared" si="22"/>
        <v>0</v>
      </c>
      <c r="U65" s="326">
        <f t="shared" si="22"/>
        <v>0</v>
      </c>
      <c r="V65" s="326">
        <f t="shared" si="22"/>
        <v>0</v>
      </c>
      <c r="W65" s="326">
        <f t="shared" si="22"/>
        <v>0</v>
      </c>
      <c r="X65" s="326">
        <f t="shared" si="22"/>
        <v>0</v>
      </c>
      <c r="Y65" s="326">
        <f t="shared" si="22"/>
        <v>0</v>
      </c>
      <c r="Z65" s="326">
        <f t="shared" si="22"/>
        <v>0</v>
      </c>
      <c r="AA65" s="326">
        <f t="shared" si="22"/>
        <v>0</v>
      </c>
      <c r="AB65" s="326">
        <f t="shared" si="22"/>
        <v>0</v>
      </c>
      <c r="AC65" s="326">
        <f t="shared" si="22"/>
        <v>0</v>
      </c>
      <c r="AD65" s="326">
        <f t="shared" si="22"/>
        <v>1927</v>
      </c>
    </row>
    <row r="66" spans="1:30" ht="23.25" customHeight="1">
      <c r="A66" s="347" t="s">
        <v>252</v>
      </c>
      <c r="B66" s="639" t="s">
        <v>279</v>
      </c>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1"/>
    </row>
    <row r="67" spans="1:30" ht="93.75">
      <c r="A67" s="347" t="s">
        <v>50</v>
      </c>
      <c r="B67" s="333" t="s">
        <v>115</v>
      </c>
      <c r="C67" s="322" t="s">
        <v>106</v>
      </c>
      <c r="D67" s="322" t="s">
        <v>93</v>
      </c>
      <c r="E67" s="299">
        <f>F67+G67+H67+I67</f>
        <v>25286</v>
      </c>
      <c r="F67" s="299">
        <f>27786-2500</f>
        <v>25286</v>
      </c>
      <c r="G67" s="299">
        <v>0</v>
      </c>
      <c r="H67" s="299">
        <v>0</v>
      </c>
      <c r="I67" s="299">
        <v>0</v>
      </c>
      <c r="J67" s="299">
        <f>K67+L67+M67+N67</f>
        <v>29781</v>
      </c>
      <c r="K67" s="299">
        <f>40120-110-10229</f>
        <v>29781</v>
      </c>
      <c r="L67" s="299">
        <v>0</v>
      </c>
      <c r="M67" s="299">
        <v>0</v>
      </c>
      <c r="N67" s="299">
        <v>0</v>
      </c>
      <c r="O67" s="299">
        <f>P67+Q67+R67+S67</f>
        <v>29104</v>
      </c>
      <c r="P67" s="299">
        <v>29104</v>
      </c>
      <c r="Q67" s="299">
        <v>0</v>
      </c>
      <c r="R67" s="299">
        <v>0</v>
      </c>
      <c r="S67" s="299">
        <v>0</v>
      </c>
      <c r="T67" s="299">
        <f>U67+V67+W67+X67</f>
        <v>0</v>
      </c>
      <c r="U67" s="299">
        <v>0</v>
      </c>
      <c r="V67" s="299">
        <v>0</v>
      </c>
      <c r="W67" s="299">
        <v>0</v>
      </c>
      <c r="X67" s="299">
        <v>0</v>
      </c>
      <c r="Y67" s="299">
        <f>Z67+AA67+AB67+AC67</f>
        <v>0</v>
      </c>
      <c r="Z67" s="299">
        <v>0</v>
      </c>
      <c r="AA67" s="299">
        <v>0</v>
      </c>
      <c r="AB67" s="299">
        <v>0</v>
      </c>
      <c r="AC67" s="299">
        <v>0</v>
      </c>
      <c r="AD67" s="299">
        <f>E67+J67+O67+T67+Y67</f>
        <v>84171</v>
      </c>
    </row>
    <row r="68" spans="1:30" ht="23.25">
      <c r="A68" s="642" t="s">
        <v>53</v>
      </c>
      <c r="B68" s="643"/>
      <c r="C68" s="644"/>
      <c r="D68" s="347"/>
      <c r="E68" s="326">
        <f t="shared" ref="E68:AD68" si="23">SUM(E67:E67)</f>
        <v>25286</v>
      </c>
      <c r="F68" s="326">
        <f>SUM(F67)</f>
        <v>25286</v>
      </c>
      <c r="G68" s="326">
        <f t="shared" si="23"/>
        <v>0</v>
      </c>
      <c r="H68" s="326">
        <f t="shared" si="23"/>
        <v>0</v>
      </c>
      <c r="I68" s="326">
        <f t="shared" si="23"/>
        <v>0</v>
      </c>
      <c r="J68" s="326">
        <f>J67</f>
        <v>29781</v>
      </c>
      <c r="K68" s="326">
        <f t="shared" si="23"/>
        <v>29781</v>
      </c>
      <c r="L68" s="326">
        <f t="shared" si="23"/>
        <v>0</v>
      </c>
      <c r="M68" s="326">
        <f t="shared" si="23"/>
        <v>0</v>
      </c>
      <c r="N68" s="326">
        <f t="shared" si="23"/>
        <v>0</v>
      </c>
      <c r="O68" s="326">
        <f t="shared" si="23"/>
        <v>29104</v>
      </c>
      <c r="P68" s="326">
        <f t="shared" si="23"/>
        <v>29104</v>
      </c>
      <c r="Q68" s="326">
        <f t="shared" si="23"/>
        <v>0</v>
      </c>
      <c r="R68" s="326">
        <f t="shared" si="23"/>
        <v>0</v>
      </c>
      <c r="S68" s="326">
        <f t="shared" si="23"/>
        <v>0</v>
      </c>
      <c r="T68" s="326">
        <f t="shared" si="23"/>
        <v>0</v>
      </c>
      <c r="U68" s="326">
        <f t="shared" si="23"/>
        <v>0</v>
      </c>
      <c r="V68" s="326">
        <f t="shared" si="23"/>
        <v>0</v>
      </c>
      <c r="W68" s="326">
        <f t="shared" si="23"/>
        <v>0</v>
      </c>
      <c r="X68" s="326">
        <f t="shared" si="23"/>
        <v>0</v>
      </c>
      <c r="Y68" s="326">
        <f t="shared" si="23"/>
        <v>0</v>
      </c>
      <c r="Z68" s="326">
        <f t="shared" si="23"/>
        <v>0</v>
      </c>
      <c r="AA68" s="326">
        <f t="shared" si="23"/>
        <v>0</v>
      </c>
      <c r="AB68" s="326">
        <f t="shared" si="23"/>
        <v>0</v>
      </c>
      <c r="AC68" s="326">
        <f t="shared" si="23"/>
        <v>0</v>
      </c>
      <c r="AD68" s="326">
        <f t="shared" si="23"/>
        <v>84171</v>
      </c>
    </row>
    <row r="69" spans="1:30" ht="23.25" customHeight="1">
      <c r="A69" s="347" t="s">
        <v>254</v>
      </c>
      <c r="B69" s="639" t="s">
        <v>280</v>
      </c>
      <c r="C69" s="640"/>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1"/>
    </row>
    <row r="70" spans="1:30" ht="37.5">
      <c r="A70" s="347" t="s">
        <v>55</v>
      </c>
      <c r="B70" s="328" t="s">
        <v>96</v>
      </c>
      <c r="C70" s="322" t="s">
        <v>94</v>
      </c>
      <c r="D70" s="322" t="s">
        <v>93</v>
      </c>
      <c r="E70" s="299">
        <f>F70+G70+H70+I70</f>
        <v>7420</v>
      </c>
      <c r="F70" s="299">
        <f>6486+934</f>
        <v>7420</v>
      </c>
      <c r="G70" s="299">
        <v>0</v>
      </c>
      <c r="H70" s="299">
        <v>0</v>
      </c>
      <c r="I70" s="299">
        <v>0</v>
      </c>
      <c r="J70" s="299">
        <f>K70+L70+M70+N70</f>
        <v>6270</v>
      </c>
      <c r="K70" s="299">
        <f>7350-300-780</f>
        <v>6270</v>
      </c>
      <c r="L70" s="299">
        <v>0</v>
      </c>
      <c r="M70" s="299">
        <v>0</v>
      </c>
      <c r="N70" s="299">
        <v>0</v>
      </c>
      <c r="O70" s="299">
        <f>P70+Q70+R70+S70</f>
        <v>7050</v>
      </c>
      <c r="P70" s="299">
        <v>7050</v>
      </c>
      <c r="Q70" s="299">
        <v>0</v>
      </c>
      <c r="R70" s="299">
        <v>0</v>
      </c>
      <c r="S70" s="299">
        <v>0</v>
      </c>
      <c r="T70" s="299">
        <f>U70+V70+W70+X70</f>
        <v>0</v>
      </c>
      <c r="U70" s="299">
        <v>0</v>
      </c>
      <c r="V70" s="299">
        <v>0</v>
      </c>
      <c r="W70" s="299">
        <v>0</v>
      </c>
      <c r="X70" s="299">
        <v>0</v>
      </c>
      <c r="Y70" s="299">
        <f>Z70+AA70+AB70+AC70</f>
        <v>0</v>
      </c>
      <c r="Z70" s="299">
        <v>0</v>
      </c>
      <c r="AA70" s="299">
        <v>0</v>
      </c>
      <c r="AB70" s="299">
        <v>0</v>
      </c>
      <c r="AC70" s="299">
        <v>0</v>
      </c>
      <c r="AD70" s="299">
        <f>E70+J70+O70+T70+Y70</f>
        <v>20740</v>
      </c>
    </row>
    <row r="71" spans="1:30" ht="69.75">
      <c r="A71" s="347" t="s">
        <v>256</v>
      </c>
      <c r="B71" s="333" t="s">
        <v>209</v>
      </c>
      <c r="C71" s="322" t="s">
        <v>94</v>
      </c>
      <c r="D71" s="322" t="s">
        <v>93</v>
      </c>
      <c r="E71" s="299">
        <f>SUM(F71:I71)</f>
        <v>681</v>
      </c>
      <c r="F71" s="299">
        <v>681</v>
      </c>
      <c r="G71" s="299">
        <v>0</v>
      </c>
      <c r="H71" s="299">
        <v>0</v>
      </c>
      <c r="I71" s="299">
        <v>0</v>
      </c>
      <c r="J71" s="299">
        <f>K71+L71+M71+N71</f>
        <v>558</v>
      </c>
      <c r="K71" s="299">
        <f>684-126</f>
        <v>558</v>
      </c>
      <c r="L71" s="299">
        <v>0</v>
      </c>
      <c r="M71" s="299">
        <v>0</v>
      </c>
      <c r="N71" s="299">
        <v>0</v>
      </c>
      <c r="O71" s="299">
        <f>P71+Q71+R71+S71</f>
        <v>612</v>
      </c>
      <c r="P71" s="299">
        <v>612</v>
      </c>
      <c r="Q71" s="299">
        <v>0</v>
      </c>
      <c r="R71" s="299">
        <v>0</v>
      </c>
      <c r="S71" s="299">
        <v>0</v>
      </c>
      <c r="T71" s="299">
        <f>U71+V71+W71+X71</f>
        <v>0</v>
      </c>
      <c r="U71" s="299">
        <v>0</v>
      </c>
      <c r="V71" s="299">
        <v>0</v>
      </c>
      <c r="W71" s="299">
        <v>0</v>
      </c>
      <c r="X71" s="299">
        <v>0</v>
      </c>
      <c r="Y71" s="299">
        <f>Z71+AA71+AB71+AC71</f>
        <v>0</v>
      </c>
      <c r="Z71" s="299">
        <v>0</v>
      </c>
      <c r="AA71" s="299">
        <v>0</v>
      </c>
      <c r="AB71" s="299">
        <v>0</v>
      </c>
      <c r="AC71" s="299">
        <v>0</v>
      </c>
      <c r="AD71" s="299">
        <f>E71+J71+O71+T71+Y71</f>
        <v>1851</v>
      </c>
    </row>
    <row r="72" spans="1:30" ht="86.25" customHeight="1">
      <c r="A72" s="347" t="s">
        <v>257</v>
      </c>
      <c r="B72" s="333" t="s">
        <v>271</v>
      </c>
      <c r="C72" s="322" t="s">
        <v>266</v>
      </c>
      <c r="D72" s="322">
        <v>2020</v>
      </c>
      <c r="E72" s="299">
        <f>F72+G72+H72+I72</f>
        <v>774</v>
      </c>
      <c r="F72" s="299">
        <v>774</v>
      </c>
      <c r="G72" s="299">
        <v>0</v>
      </c>
      <c r="H72" s="299">
        <v>0</v>
      </c>
      <c r="I72" s="299">
        <v>0</v>
      </c>
      <c r="J72" s="299">
        <f>K72+L72+M72+N72</f>
        <v>350</v>
      </c>
      <c r="K72" s="299">
        <v>350</v>
      </c>
      <c r="L72" s="299">
        <v>0</v>
      </c>
      <c r="M72" s="299">
        <v>0</v>
      </c>
      <c r="N72" s="299">
        <v>0</v>
      </c>
      <c r="O72" s="299">
        <f>P72+Q72+R72+S72</f>
        <v>360</v>
      </c>
      <c r="P72" s="299">
        <v>360</v>
      </c>
      <c r="Q72" s="299">
        <v>0</v>
      </c>
      <c r="R72" s="299">
        <v>0</v>
      </c>
      <c r="S72" s="299">
        <v>0</v>
      </c>
      <c r="T72" s="299">
        <f>U72+V72+W72+X72</f>
        <v>0</v>
      </c>
      <c r="U72" s="299">
        <v>0</v>
      </c>
      <c r="V72" s="299">
        <v>0</v>
      </c>
      <c r="W72" s="299">
        <v>0</v>
      </c>
      <c r="X72" s="299">
        <v>0</v>
      </c>
      <c r="Y72" s="299">
        <f>Z72+AA72+AB72+AC72</f>
        <v>0</v>
      </c>
      <c r="Z72" s="299">
        <v>0</v>
      </c>
      <c r="AA72" s="299">
        <v>0</v>
      </c>
      <c r="AB72" s="299">
        <v>0</v>
      </c>
      <c r="AC72" s="299">
        <v>0</v>
      </c>
      <c r="AD72" s="299">
        <f>E72+J72+O72+T72+Y72</f>
        <v>1484</v>
      </c>
    </row>
    <row r="73" spans="1:30" ht="23.25">
      <c r="A73" s="642" t="s">
        <v>56</v>
      </c>
      <c r="B73" s="643"/>
      <c r="C73" s="644"/>
      <c r="D73" s="347"/>
      <c r="E73" s="326">
        <f>E70+E71+E72</f>
        <v>8875</v>
      </c>
      <c r="F73" s="326">
        <f>F70+F71+F72</f>
        <v>8875</v>
      </c>
      <c r="G73" s="326">
        <f>SUM(G70:G70)</f>
        <v>0</v>
      </c>
      <c r="H73" s="326">
        <f>SUM(H70:H70)</f>
        <v>0</v>
      </c>
      <c r="I73" s="326">
        <f>SUM(I70:I70)</f>
        <v>0</v>
      </c>
      <c r="J73" s="326">
        <f>J70+J71+J72</f>
        <v>7178</v>
      </c>
      <c r="K73" s="326">
        <f>K70+K71+K72</f>
        <v>7178</v>
      </c>
      <c r="L73" s="326">
        <f>SUM(L70:L70)</f>
        <v>0</v>
      </c>
      <c r="M73" s="326">
        <f>SUM(M70:M70)</f>
        <v>0</v>
      </c>
      <c r="N73" s="326">
        <f>SUM(N70:N70)</f>
        <v>0</v>
      </c>
      <c r="O73" s="326">
        <f>O70+O71+O72</f>
        <v>8022</v>
      </c>
      <c r="P73" s="326">
        <f>P70+P71+P72</f>
        <v>8022</v>
      </c>
      <c r="Q73" s="326">
        <f>SUM(Q70:Q70)</f>
        <v>0</v>
      </c>
      <c r="R73" s="326">
        <f>SUM(R70:R70)</f>
        <v>0</v>
      </c>
      <c r="S73" s="326">
        <f>SUM(S70:S70)</f>
        <v>0</v>
      </c>
      <c r="T73" s="326">
        <f>T70+T71+T72</f>
        <v>0</v>
      </c>
      <c r="U73" s="326">
        <f>U70+U71+U72</f>
        <v>0</v>
      </c>
      <c r="V73" s="326">
        <f>SUM(V70:V70)</f>
        <v>0</v>
      </c>
      <c r="W73" s="326">
        <f>SUM(W70:W70)</f>
        <v>0</v>
      </c>
      <c r="X73" s="326">
        <f>SUM(X70:X70)</f>
        <v>0</v>
      </c>
      <c r="Y73" s="326">
        <f>Y70+Y71+Y72</f>
        <v>0</v>
      </c>
      <c r="Z73" s="326">
        <f>Z70+Z71+Z72</f>
        <v>0</v>
      </c>
      <c r="AA73" s="326">
        <f>SUM(AA70:AA70)</f>
        <v>0</v>
      </c>
      <c r="AB73" s="326">
        <f>SUM(AB70:AB70)</f>
        <v>0</v>
      </c>
      <c r="AC73" s="326">
        <f>SUM(AC70:AC70)</f>
        <v>0</v>
      </c>
      <c r="AD73" s="326">
        <f>SUM(AD70:AD72)</f>
        <v>24075</v>
      </c>
    </row>
    <row r="74" spans="1:30" ht="23.25">
      <c r="A74" s="338" t="s">
        <v>135</v>
      </c>
      <c r="B74" s="338"/>
      <c r="C74" s="340"/>
      <c r="D74" s="341"/>
      <c r="E74" s="353">
        <f>E70+E71+E72</f>
        <v>8875</v>
      </c>
      <c r="F74" s="353">
        <f>F70+F71+F72</f>
        <v>8875</v>
      </c>
      <c r="G74" s="353">
        <v>0</v>
      </c>
      <c r="H74" s="353">
        <v>0</v>
      </c>
      <c r="I74" s="353">
        <v>0</v>
      </c>
      <c r="J74" s="353">
        <f>J70+J71+J72</f>
        <v>7178</v>
      </c>
      <c r="K74" s="353">
        <f>K70+K71+K72</f>
        <v>7178</v>
      </c>
      <c r="L74" s="353">
        <v>0</v>
      </c>
      <c r="M74" s="353">
        <v>0</v>
      </c>
      <c r="N74" s="353">
        <v>0</v>
      </c>
      <c r="O74" s="353">
        <f>O73</f>
        <v>8022</v>
      </c>
      <c r="P74" s="353">
        <f>P70+P71+P72</f>
        <v>8022</v>
      </c>
      <c r="Q74" s="353">
        <v>0</v>
      </c>
      <c r="R74" s="353">
        <v>0</v>
      </c>
      <c r="S74" s="353">
        <v>0</v>
      </c>
      <c r="T74" s="353">
        <f>T70+T71+T72</f>
        <v>0</v>
      </c>
      <c r="U74" s="353">
        <f>U70+U71+U72</f>
        <v>0</v>
      </c>
      <c r="V74" s="353">
        <v>0</v>
      </c>
      <c r="W74" s="353">
        <v>0</v>
      </c>
      <c r="X74" s="353">
        <v>0</v>
      </c>
      <c r="Y74" s="353">
        <f>Y70+Y71+Y72</f>
        <v>0</v>
      </c>
      <c r="Z74" s="353">
        <f>Z70+Z71+Z72</f>
        <v>0</v>
      </c>
      <c r="AA74" s="353">
        <v>0</v>
      </c>
      <c r="AB74" s="353">
        <v>0</v>
      </c>
      <c r="AC74" s="353">
        <v>0</v>
      </c>
      <c r="AD74" s="354">
        <f>AD70+AD71</f>
        <v>22591</v>
      </c>
    </row>
    <row r="75" spans="1:30" ht="23.25">
      <c r="A75" s="347" t="s">
        <v>97</v>
      </c>
      <c r="B75" s="639" t="s">
        <v>281</v>
      </c>
      <c r="C75" s="640"/>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1"/>
    </row>
    <row r="76" spans="1:30" ht="129.75" customHeight="1">
      <c r="A76" s="359" t="s">
        <v>57</v>
      </c>
      <c r="B76" s="328" t="s">
        <v>290</v>
      </c>
      <c r="C76" s="322" t="s">
        <v>73</v>
      </c>
      <c r="D76" s="322" t="s">
        <v>93</v>
      </c>
      <c r="E76" s="299">
        <f xml:space="preserve"> SUM(F76:I76)</f>
        <v>136.19999999999999</v>
      </c>
      <c r="F76" s="299">
        <f>74.6+61.6</f>
        <v>136.19999999999999</v>
      </c>
      <c r="G76" s="299">
        <v>0</v>
      </c>
      <c r="H76" s="299">
        <v>0</v>
      </c>
      <c r="I76" s="299">
        <v>0</v>
      </c>
      <c r="J76" s="299">
        <f xml:space="preserve"> SUM(K76:N76)</f>
        <v>137.5</v>
      </c>
      <c r="K76" s="299">
        <f>142-4.5</f>
        <v>137.5</v>
      </c>
      <c r="L76" s="299">
        <v>0</v>
      </c>
      <c r="M76" s="299">
        <v>0</v>
      </c>
      <c r="N76" s="299">
        <v>0</v>
      </c>
      <c r="O76" s="299">
        <f xml:space="preserve"> SUM(P76:S76)</f>
        <v>142</v>
      </c>
      <c r="P76" s="299">
        <v>142</v>
      </c>
      <c r="Q76" s="299">
        <v>0</v>
      </c>
      <c r="R76" s="299">
        <v>0</v>
      </c>
      <c r="S76" s="299">
        <v>0</v>
      </c>
      <c r="T76" s="299">
        <f xml:space="preserve"> SUM(U76:X76)</f>
        <v>142</v>
      </c>
      <c r="U76" s="299">
        <v>142</v>
      </c>
      <c r="V76" s="299">
        <v>0</v>
      </c>
      <c r="W76" s="299">
        <v>0</v>
      </c>
      <c r="X76" s="299">
        <v>0</v>
      </c>
      <c r="Y76" s="299">
        <f xml:space="preserve"> SUM(Z76:AC76)</f>
        <v>142</v>
      </c>
      <c r="Z76" s="299">
        <v>142</v>
      </c>
      <c r="AA76" s="299">
        <v>0</v>
      </c>
      <c r="AB76" s="299">
        <v>0</v>
      </c>
      <c r="AC76" s="299">
        <v>0</v>
      </c>
      <c r="AD76" s="299">
        <f>E76+J76+O76+T76+Y76</f>
        <v>699.7</v>
      </c>
    </row>
    <row r="77" spans="1:30" ht="23.25">
      <c r="A77" s="642" t="s">
        <v>58</v>
      </c>
      <c r="B77" s="643"/>
      <c r="C77" s="644"/>
      <c r="D77" s="347"/>
      <c r="E77" s="326">
        <f>E76</f>
        <v>136.19999999999999</v>
      </c>
      <c r="F77" s="326">
        <f>F76</f>
        <v>136.19999999999999</v>
      </c>
      <c r="G77" s="326">
        <v>0</v>
      </c>
      <c r="H77" s="326">
        <v>0</v>
      </c>
      <c r="I77" s="326">
        <v>0</v>
      </c>
      <c r="J77" s="326">
        <f t="shared" ref="J77:AC77" si="24">J76</f>
        <v>137.5</v>
      </c>
      <c r="K77" s="326">
        <f t="shared" si="24"/>
        <v>137.5</v>
      </c>
      <c r="L77" s="326">
        <f t="shared" si="24"/>
        <v>0</v>
      </c>
      <c r="M77" s="326">
        <f t="shared" si="24"/>
        <v>0</v>
      </c>
      <c r="N77" s="326">
        <f t="shared" si="24"/>
        <v>0</v>
      </c>
      <c r="O77" s="326">
        <f t="shared" si="24"/>
        <v>142</v>
      </c>
      <c r="P77" s="326">
        <f t="shared" si="24"/>
        <v>142</v>
      </c>
      <c r="Q77" s="326">
        <f t="shared" si="24"/>
        <v>0</v>
      </c>
      <c r="R77" s="326">
        <f t="shared" si="24"/>
        <v>0</v>
      </c>
      <c r="S77" s="326">
        <f t="shared" si="24"/>
        <v>0</v>
      </c>
      <c r="T77" s="326">
        <f t="shared" si="24"/>
        <v>142</v>
      </c>
      <c r="U77" s="326">
        <f t="shared" si="24"/>
        <v>142</v>
      </c>
      <c r="V77" s="326">
        <f t="shared" si="24"/>
        <v>0</v>
      </c>
      <c r="W77" s="326">
        <f t="shared" si="24"/>
        <v>0</v>
      </c>
      <c r="X77" s="326">
        <f t="shared" si="24"/>
        <v>0</v>
      </c>
      <c r="Y77" s="326">
        <f t="shared" si="24"/>
        <v>142</v>
      </c>
      <c r="Z77" s="326">
        <f t="shared" si="24"/>
        <v>142</v>
      </c>
      <c r="AA77" s="326">
        <f t="shared" si="24"/>
        <v>0</v>
      </c>
      <c r="AB77" s="326">
        <f t="shared" si="24"/>
        <v>0</v>
      </c>
      <c r="AC77" s="326">
        <f t="shared" si="24"/>
        <v>0</v>
      </c>
      <c r="AD77" s="326">
        <f>E77+J77+O77+T77+Y77</f>
        <v>699.7</v>
      </c>
    </row>
    <row r="78" spans="1:30" ht="23.25" customHeight="1">
      <c r="A78" s="336">
        <v>10</v>
      </c>
      <c r="B78" s="645" t="s">
        <v>259</v>
      </c>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7"/>
    </row>
    <row r="79" spans="1:30" ht="109.5" customHeight="1">
      <c r="A79" s="360" t="s">
        <v>59</v>
      </c>
      <c r="B79" s="328" t="s">
        <v>186</v>
      </c>
      <c r="C79" s="361" t="s">
        <v>107</v>
      </c>
      <c r="D79" s="322" t="s">
        <v>93</v>
      </c>
      <c r="E79" s="300">
        <v>500</v>
      </c>
      <c r="F79" s="300">
        <v>500</v>
      </c>
      <c r="G79" s="300">
        <v>0</v>
      </c>
      <c r="H79" s="300">
        <v>0</v>
      </c>
      <c r="I79" s="300">
        <v>0</v>
      </c>
      <c r="J79" s="300">
        <f>K79+L79+M79+N79</f>
        <v>12</v>
      </c>
      <c r="K79" s="300">
        <f>24-12</f>
        <v>12</v>
      </c>
      <c r="L79" s="300">
        <v>0</v>
      </c>
      <c r="M79" s="300">
        <v>0</v>
      </c>
      <c r="N79" s="300">
        <v>0</v>
      </c>
      <c r="O79" s="300">
        <f t="shared" ref="O79:O81" si="25">P79+Q79+R79+S79</f>
        <v>24</v>
      </c>
      <c r="P79" s="300">
        <v>24</v>
      </c>
      <c r="Q79" s="300">
        <v>0</v>
      </c>
      <c r="R79" s="300">
        <v>0</v>
      </c>
      <c r="S79" s="300">
        <v>0</v>
      </c>
      <c r="T79" s="300">
        <f t="shared" ref="T79:T81" si="26">U79+V79+W79+X79</f>
        <v>0</v>
      </c>
      <c r="U79" s="300">
        <v>0</v>
      </c>
      <c r="V79" s="300">
        <v>0</v>
      </c>
      <c r="W79" s="300">
        <v>0</v>
      </c>
      <c r="X79" s="300">
        <v>0</v>
      </c>
      <c r="Y79" s="300">
        <f>Z79+AA79+AB79+AC79</f>
        <v>0</v>
      </c>
      <c r="Z79" s="300">
        <v>0</v>
      </c>
      <c r="AA79" s="300">
        <v>0</v>
      </c>
      <c r="AB79" s="300">
        <v>0</v>
      </c>
      <c r="AC79" s="300">
        <v>0</v>
      </c>
      <c r="AD79" s="300">
        <f>E79+J79+O79+T79+Y79</f>
        <v>536</v>
      </c>
    </row>
    <row r="80" spans="1:30" ht="75">
      <c r="A80" s="360" t="s">
        <v>98</v>
      </c>
      <c r="B80" s="333" t="s">
        <v>159</v>
      </c>
      <c r="C80" s="362" t="s">
        <v>107</v>
      </c>
      <c r="D80" s="322" t="s">
        <v>93</v>
      </c>
      <c r="E80" s="300">
        <v>2880</v>
      </c>
      <c r="F80" s="300">
        <v>2880</v>
      </c>
      <c r="G80" s="300">
        <v>0</v>
      </c>
      <c r="H80" s="300">
        <v>0</v>
      </c>
      <c r="I80" s="300">
        <v>0</v>
      </c>
      <c r="J80" s="300">
        <f>K80+L80+M80+N80</f>
        <v>2730</v>
      </c>
      <c r="K80" s="300">
        <f>2880-150</f>
        <v>2730</v>
      </c>
      <c r="L80" s="300">
        <v>0</v>
      </c>
      <c r="M80" s="300">
        <v>0</v>
      </c>
      <c r="N80" s="300">
        <v>0</v>
      </c>
      <c r="O80" s="300">
        <f t="shared" si="25"/>
        <v>2880</v>
      </c>
      <c r="P80" s="300">
        <v>2880</v>
      </c>
      <c r="Q80" s="300">
        <v>0</v>
      </c>
      <c r="R80" s="300">
        <v>0</v>
      </c>
      <c r="S80" s="300">
        <v>0</v>
      </c>
      <c r="T80" s="300">
        <f t="shared" si="26"/>
        <v>0</v>
      </c>
      <c r="U80" s="300">
        <v>0</v>
      </c>
      <c r="V80" s="300">
        <v>0</v>
      </c>
      <c r="W80" s="300">
        <v>0</v>
      </c>
      <c r="X80" s="300">
        <v>0</v>
      </c>
      <c r="Y80" s="300">
        <f>Z80+AA80+AB80+AC80</f>
        <v>0</v>
      </c>
      <c r="Z80" s="300">
        <v>0</v>
      </c>
      <c r="AA80" s="300">
        <v>0</v>
      </c>
      <c r="AB80" s="300">
        <v>0</v>
      </c>
      <c r="AC80" s="300">
        <v>0</v>
      </c>
      <c r="AD80" s="300">
        <f>E80+J80+O80+T80+Y80</f>
        <v>8490</v>
      </c>
    </row>
    <row r="81" spans="1:30" ht="23.25" customHeight="1">
      <c r="A81" s="642" t="s">
        <v>60</v>
      </c>
      <c r="B81" s="643"/>
      <c r="C81" s="644"/>
      <c r="D81" s="360"/>
      <c r="E81" s="363">
        <f>E79+E80</f>
        <v>3380</v>
      </c>
      <c r="F81" s="363">
        <f>SUM(F79:F80)</f>
        <v>3380</v>
      </c>
      <c r="G81" s="363">
        <f>G79</f>
        <v>0</v>
      </c>
      <c r="H81" s="363">
        <f>I79</f>
        <v>0</v>
      </c>
      <c r="I81" s="363">
        <f t="shared" ref="I81:V81" si="27">I79</f>
        <v>0</v>
      </c>
      <c r="J81" s="363">
        <f>K81+L81+M81+N81</f>
        <v>2742</v>
      </c>
      <c r="K81" s="363">
        <f>K79+K80</f>
        <v>2742</v>
      </c>
      <c r="L81" s="363">
        <f t="shared" si="27"/>
        <v>0</v>
      </c>
      <c r="M81" s="363">
        <f t="shared" si="27"/>
        <v>0</v>
      </c>
      <c r="N81" s="363">
        <f t="shared" si="27"/>
        <v>0</v>
      </c>
      <c r="O81" s="363">
        <f t="shared" si="25"/>
        <v>2904</v>
      </c>
      <c r="P81" s="363">
        <f>P79+P80</f>
        <v>2904</v>
      </c>
      <c r="Q81" s="363">
        <f t="shared" si="27"/>
        <v>0</v>
      </c>
      <c r="R81" s="363">
        <f t="shared" si="27"/>
        <v>0</v>
      </c>
      <c r="S81" s="363">
        <f t="shared" si="27"/>
        <v>0</v>
      </c>
      <c r="T81" s="363">
        <f t="shared" si="26"/>
        <v>0</v>
      </c>
      <c r="U81" s="363">
        <f>T79+T80</f>
        <v>0</v>
      </c>
      <c r="V81" s="363">
        <f t="shared" si="27"/>
        <v>0</v>
      </c>
      <c r="W81" s="363">
        <f>V79</f>
        <v>0</v>
      </c>
      <c r="X81" s="363">
        <f t="shared" ref="X81:AC81" si="28">X79</f>
        <v>0</v>
      </c>
      <c r="Y81" s="363">
        <f>Z81+AA81+AB81+AC81</f>
        <v>0</v>
      </c>
      <c r="Z81" s="363">
        <f>Z79+Z80</f>
        <v>0</v>
      </c>
      <c r="AA81" s="363">
        <f t="shared" si="28"/>
        <v>0</v>
      </c>
      <c r="AB81" s="363">
        <f t="shared" si="28"/>
        <v>0</v>
      </c>
      <c r="AC81" s="363">
        <f t="shared" si="28"/>
        <v>0</v>
      </c>
      <c r="AD81" s="363">
        <f>E81+J81+O81+T81+Y81</f>
        <v>9026</v>
      </c>
    </row>
    <row r="82" spans="1:30" ht="93" customHeight="1">
      <c r="A82" s="672" t="s">
        <v>304</v>
      </c>
      <c r="B82" s="673"/>
      <c r="C82" s="674"/>
      <c r="D82" s="360"/>
      <c r="E82" s="363">
        <f>F82+G82+H82+I82</f>
        <v>157092.37000000002</v>
      </c>
      <c r="F82" s="363">
        <f>F27+F33+F50+F55+F62+F65+F68+F73+F77+F81</f>
        <v>108956.7</v>
      </c>
      <c r="G82" s="363">
        <f>G27+G33+G50+G55+G62+G65+G68+G73+G77+G81</f>
        <v>45966</v>
      </c>
      <c r="H82" s="363">
        <f>H27+H33+H50+H55+H62+H65+H68+H73+H77+H81</f>
        <v>0</v>
      </c>
      <c r="I82" s="363">
        <f>I27+I33+I50+I55+I62+I65+I68+I73+I77+I81</f>
        <v>2169.67</v>
      </c>
      <c r="J82" s="363">
        <f>K82+L82+M82+N82</f>
        <v>121069.1</v>
      </c>
      <c r="K82" s="363">
        <f>K27+K33+K50+K55+K62+K65+K68+K73+K77+K81</f>
        <v>94437.1</v>
      </c>
      <c r="L82" s="363">
        <f>L27+L33+L50+L55+L62+L65+L68+L73+L77+L81</f>
        <v>26632</v>
      </c>
      <c r="M82" s="363">
        <f>M27+M33+M50+M55+M62+M65+M68+M73+M77+M81</f>
        <v>0</v>
      </c>
      <c r="N82" s="363">
        <f>N27+N33+N50+N55+N62+N65+N68+N73+N77+N81</f>
        <v>0</v>
      </c>
      <c r="O82" s="363">
        <f>P82+Q82+R82+S82</f>
        <v>135201</v>
      </c>
      <c r="P82" s="363">
        <f>P27+P33+P50+P55+P62+P65+P68+P73+P77+P81</f>
        <v>111124</v>
      </c>
      <c r="Q82" s="363">
        <f>Q27+Q33+Q50+Q55+Q62+Q65+Q68+Q73+Q77+Q81</f>
        <v>24077</v>
      </c>
      <c r="R82" s="363">
        <f>R27+R33+R50+R55+R62+R65+R68+R73+R77+R81</f>
        <v>0</v>
      </c>
      <c r="S82" s="363">
        <f>S27+S33+S50+S55+S62+S65+S68+S73+S77+S81</f>
        <v>0</v>
      </c>
      <c r="T82" s="363">
        <f>U82+V82+W82+X82</f>
        <v>26196</v>
      </c>
      <c r="U82" s="363">
        <f>U27+U33+U50+U55+U62+U65+U68+U73+U77+U81</f>
        <v>2119</v>
      </c>
      <c r="V82" s="363">
        <f>V27+V33+V50+V55+V62+V65+V68+V73+V77+V81</f>
        <v>24077</v>
      </c>
      <c r="W82" s="363">
        <f>W27+W33+W50+W55+W62+W65+W68+W73+W77+W81</f>
        <v>0</v>
      </c>
      <c r="X82" s="363">
        <f>X27+X33+X50+X55+X62+X65+X68+X73+X77+X81</f>
        <v>0</v>
      </c>
      <c r="Y82" s="363">
        <f>Z82+AA82+AB82+AC82</f>
        <v>26196</v>
      </c>
      <c r="Z82" s="363">
        <f>Z27+Z33+Z50+Z55+Z62+Z65+Z68+Z73+Z77+Z81</f>
        <v>2119</v>
      </c>
      <c r="AA82" s="363">
        <f>AA27+AA33+AA50+AA55+AA62+AA65+AA68+AA73+AA77+AA81</f>
        <v>24077</v>
      </c>
      <c r="AB82" s="363">
        <f>AB27+AB33+AB50+AB55+AB62+AB65+AB68+AB73+AB77+AB81</f>
        <v>0</v>
      </c>
      <c r="AC82" s="363">
        <f>AC27+AC33+AC50+AC55+AC62+AC65+AC68+AC73+AC77+AC81</f>
        <v>0</v>
      </c>
      <c r="AD82" s="363">
        <f>E82+J82+O82+T82+Y82</f>
        <v>465754.47000000003</v>
      </c>
    </row>
    <row r="83" spans="1:30">
      <c r="C83" s="315">
        <v>2020</v>
      </c>
      <c r="E83" s="364"/>
    </row>
    <row r="84" spans="1:30" ht="225">
      <c r="A84" s="365" t="s">
        <v>201</v>
      </c>
      <c r="B84" s="366" t="s">
        <v>134</v>
      </c>
      <c r="C84" s="364">
        <f>E29+E33+E52+E55+E61+E65+E68+E74+E81</f>
        <v>96915</v>
      </c>
      <c r="F84" s="364"/>
      <c r="J84" s="364"/>
      <c r="O84" s="364"/>
      <c r="T84" s="364"/>
      <c r="Y84" s="364"/>
      <c r="AC84" s="364"/>
    </row>
    <row r="85" spans="1:30" ht="23.25" customHeight="1">
      <c r="B85" s="366" t="s">
        <v>137</v>
      </c>
      <c r="C85" s="364">
        <f>E30+E51+E60+E77</f>
        <v>23882</v>
      </c>
      <c r="J85" s="364"/>
      <c r="O85" s="364"/>
      <c r="T85" s="364"/>
      <c r="Y85" s="364"/>
      <c r="AC85" s="364"/>
    </row>
    <row r="86" spans="1:30" ht="37.5" customHeight="1">
      <c r="B86" s="366" t="s">
        <v>138</v>
      </c>
      <c r="C86" s="364">
        <f>E28</f>
        <v>36295.369999999995</v>
      </c>
      <c r="J86" s="364"/>
      <c r="O86" s="364"/>
      <c r="T86" s="364"/>
      <c r="Y86" s="364"/>
      <c r="AC86" s="364"/>
    </row>
    <row r="87" spans="1:30" ht="23.25" customHeight="1">
      <c r="C87" s="364"/>
      <c r="J87" s="364"/>
      <c r="O87" s="364"/>
      <c r="T87" s="364"/>
      <c r="Y87" s="364"/>
      <c r="AC87" s="364"/>
    </row>
    <row r="88" spans="1:30">
      <c r="B88" s="366"/>
      <c r="C88" s="364">
        <f>C84+C85+C86</f>
        <v>157092.37</v>
      </c>
      <c r="D88" s="315" t="s">
        <v>305</v>
      </c>
      <c r="J88" s="364"/>
      <c r="K88" s="364"/>
      <c r="O88" s="364"/>
      <c r="T88" s="364"/>
      <c r="Y88" s="364"/>
      <c r="AC88" s="364"/>
    </row>
    <row r="89" spans="1:30">
      <c r="J89" s="364"/>
      <c r="O89" s="364"/>
      <c r="T89" s="364"/>
      <c r="Y89" s="364"/>
      <c r="AC89" s="364"/>
    </row>
    <row r="90" spans="1:30">
      <c r="C90" s="364"/>
      <c r="J90" s="364"/>
      <c r="O90" s="364"/>
      <c r="T90" s="364"/>
      <c r="Y90" s="364"/>
    </row>
    <row r="92" spans="1:30">
      <c r="B92" s="366" t="s">
        <v>195</v>
      </c>
      <c r="C92" s="364" t="e">
        <f>#REF!+#REF!+#REF!+#REF!+#REF!</f>
        <v>#REF!</v>
      </c>
    </row>
    <row r="93" spans="1:30">
      <c r="B93" s="367" t="s">
        <v>196</v>
      </c>
      <c r="C93" s="364" t="e">
        <f>#REF!+#REF!+#REF!+#REF!+#REF!</f>
        <v>#REF!</v>
      </c>
      <c r="D93" s="315" t="s">
        <v>301</v>
      </c>
      <c r="E93" s="364">
        <f>F82+K82+P82+U82+Z82</f>
        <v>318755.8</v>
      </c>
      <c r="F93" s="315" t="s">
        <v>306</v>
      </c>
      <c r="H93" s="364"/>
      <c r="R93" s="315" t="s">
        <v>302</v>
      </c>
      <c r="T93" s="364" t="e">
        <f>C93-3</f>
        <v>#REF!</v>
      </c>
    </row>
    <row r="94" spans="1:30">
      <c r="B94" s="367" t="s">
        <v>197</v>
      </c>
      <c r="C94" s="364">
        <f>G82+L82+Q82+V82+AA82</f>
        <v>144829</v>
      </c>
    </row>
    <row r="95" spans="1:30">
      <c r="C95" s="364" t="e">
        <f>C92+C93+C94</f>
        <v>#REF!</v>
      </c>
      <c r="D95" s="315" t="s">
        <v>301</v>
      </c>
      <c r="AC95" s="364"/>
    </row>
    <row r="96" spans="1:30">
      <c r="C96" s="364">
        <f>E82+J82+O82+T82+Y82</f>
        <v>465754.47000000003</v>
      </c>
      <c r="D96" s="315" t="s">
        <v>307</v>
      </c>
    </row>
    <row r="97" spans="2:25">
      <c r="B97" s="364" t="e">
        <f>127165-#REF!</f>
        <v>#REF!</v>
      </c>
    </row>
    <row r="99" spans="2:25">
      <c r="Y99" s="368"/>
    </row>
    <row r="102" spans="2:25">
      <c r="D102" s="368"/>
      <c r="E102" s="368"/>
    </row>
    <row r="103" spans="2:25">
      <c r="D103" s="368"/>
      <c r="E103" s="368"/>
    </row>
    <row r="108" spans="2:25">
      <c r="D108" s="364" t="e">
        <f>#REF!+#REF!+#REF!+#REF!+#REF!</f>
        <v>#REF!</v>
      </c>
    </row>
  </sheetData>
  <mergeCells count="40">
    <mergeCell ref="A81:C81"/>
    <mergeCell ref="A82:C82"/>
    <mergeCell ref="Z3:AD3"/>
    <mergeCell ref="V4:AD4"/>
    <mergeCell ref="A5:AD5"/>
    <mergeCell ref="A7:A9"/>
    <mergeCell ref="B7:B9"/>
    <mergeCell ref="C7:C9"/>
    <mergeCell ref="D7:D9"/>
    <mergeCell ref="E7:AD7"/>
    <mergeCell ref="E8:I8"/>
    <mergeCell ref="J8:N8"/>
    <mergeCell ref="C38:C39"/>
    <mergeCell ref="O8:S8"/>
    <mergeCell ref="T8:X8"/>
    <mergeCell ref="Y8:AC8"/>
    <mergeCell ref="AD8:AD9"/>
    <mergeCell ref="A11:AD11"/>
    <mergeCell ref="B12:AD12"/>
    <mergeCell ref="C13:C14"/>
    <mergeCell ref="A27:C27"/>
    <mergeCell ref="B31:AD31"/>
    <mergeCell ref="A33:C33"/>
    <mergeCell ref="B34:AD34"/>
    <mergeCell ref="C41:C45"/>
    <mergeCell ref="A50:C50"/>
    <mergeCell ref="B53:AD53"/>
    <mergeCell ref="A55:C55"/>
    <mergeCell ref="B56:AD56"/>
    <mergeCell ref="A73:C73"/>
    <mergeCell ref="B78:AD78"/>
    <mergeCell ref="A57:A58"/>
    <mergeCell ref="B57:B58"/>
    <mergeCell ref="B66:AD66"/>
    <mergeCell ref="A68:C68"/>
    <mergeCell ref="B69:AD69"/>
    <mergeCell ref="B63:AD63"/>
    <mergeCell ref="A65:C65"/>
    <mergeCell ref="B75:AD75"/>
    <mergeCell ref="A77:C77"/>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dimension ref="A1:AF108"/>
  <sheetViews>
    <sheetView zoomScale="50" zoomScaleNormal="50" workbookViewId="0">
      <pane xSplit="3" ySplit="14" topLeftCell="N75" activePane="bottomRight" state="frozen"/>
      <selection pane="topRight" activeCell="D1" sqref="D1"/>
      <selection pane="bottomLeft" activeCell="A15" sqref="A15"/>
      <selection pane="bottomRight" activeCell="O82" sqref="O82"/>
    </sheetView>
  </sheetViews>
  <sheetFormatPr defaultRowHeight="18.75"/>
  <cols>
    <col min="1" max="1" width="6.140625" style="390" customWidth="1"/>
    <col min="2" max="2" width="188" style="315" customWidth="1"/>
    <col min="3" max="3" width="42.42578125" style="315" customWidth="1"/>
    <col min="4" max="4" width="23.5703125" style="315" customWidth="1"/>
    <col min="5" max="5" width="21.28515625" style="315" customWidth="1"/>
    <col min="6" max="6" width="22.42578125" style="315" customWidth="1"/>
    <col min="7" max="7" width="16.140625" style="315" customWidth="1"/>
    <col min="8" max="9" width="16.85546875" style="315" customWidth="1"/>
    <col min="10" max="10" width="21.140625" style="315" customWidth="1"/>
    <col min="11" max="11" width="18.140625" style="315" customWidth="1"/>
    <col min="12" max="12" width="15" style="315" customWidth="1"/>
    <col min="13" max="13" width="14.7109375" style="315" customWidth="1"/>
    <col min="14" max="14" width="14.28515625" style="315" customWidth="1"/>
    <col min="15" max="15" width="17.140625" style="315" customWidth="1"/>
    <col min="16" max="16" width="18.7109375" style="315" customWidth="1"/>
    <col min="17" max="17" width="17.28515625" style="315" customWidth="1"/>
    <col min="18" max="18" width="19" style="315" customWidth="1"/>
    <col min="19" max="19" width="13" style="315" customWidth="1"/>
    <col min="20" max="20" width="16.42578125" style="315" customWidth="1"/>
    <col min="21" max="21" width="12.7109375" style="315" customWidth="1"/>
    <col min="22" max="22" width="11.85546875" style="315" customWidth="1"/>
    <col min="23" max="23" width="11.7109375" style="315" customWidth="1"/>
    <col min="24" max="24" width="10.28515625" style="315" customWidth="1"/>
    <col min="25" max="25" width="18" style="315" customWidth="1"/>
    <col min="26" max="26" width="14.5703125" style="315" customWidth="1"/>
    <col min="27" max="27" width="13" style="315" customWidth="1"/>
    <col min="28" max="28" width="12.7109375" style="315" customWidth="1"/>
    <col min="29" max="29" width="14.28515625" style="315" customWidth="1"/>
    <col min="30" max="30" width="17.7109375" style="315" customWidth="1"/>
    <col min="31" max="16384" width="9.140625" style="316"/>
  </cols>
  <sheetData>
    <row r="1" spans="1:30">
      <c r="Z1" s="315" t="s">
        <v>260</v>
      </c>
    </row>
    <row r="2" spans="1:30">
      <c r="Z2" s="315" t="s">
        <v>261</v>
      </c>
    </row>
    <row r="3" spans="1:30" ht="18.75" customHeight="1">
      <c r="L3" s="388"/>
      <c r="M3" s="388"/>
      <c r="N3" s="388"/>
      <c r="O3" s="388"/>
      <c r="P3" s="388"/>
      <c r="Q3" s="388"/>
      <c r="R3" s="388"/>
      <c r="S3" s="388"/>
      <c r="T3" s="388"/>
      <c r="U3" s="388"/>
      <c r="V3" s="388"/>
      <c r="W3" s="388"/>
      <c r="X3" s="388"/>
      <c r="Y3" s="388"/>
      <c r="Z3" s="675" t="s">
        <v>262</v>
      </c>
      <c r="AA3" s="675"/>
      <c r="AB3" s="675"/>
      <c r="AC3" s="675"/>
      <c r="AD3" s="675"/>
    </row>
    <row r="4" spans="1:30" ht="18.75" customHeight="1">
      <c r="V4" s="676" t="s">
        <v>272</v>
      </c>
      <c r="W4" s="676"/>
      <c r="X4" s="676"/>
      <c r="Y4" s="676"/>
      <c r="Z4" s="676"/>
      <c r="AA4" s="676"/>
      <c r="AB4" s="676"/>
      <c r="AC4" s="676"/>
      <c r="AD4" s="676"/>
    </row>
    <row r="5" spans="1:30">
      <c r="A5" s="677" t="s">
        <v>0</v>
      </c>
      <c r="B5" s="677"/>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row>
    <row r="7" spans="1:30" ht="19.5" customHeight="1">
      <c r="A7" s="664" t="s">
        <v>1</v>
      </c>
      <c r="B7" s="664" t="s">
        <v>219</v>
      </c>
      <c r="C7" s="664" t="s">
        <v>2</v>
      </c>
      <c r="D7" s="664" t="s">
        <v>3</v>
      </c>
      <c r="E7" s="679" t="s">
        <v>273</v>
      </c>
      <c r="F7" s="680"/>
      <c r="G7" s="680"/>
      <c r="H7" s="680"/>
      <c r="I7" s="680"/>
      <c r="J7" s="680"/>
      <c r="K7" s="680"/>
      <c r="L7" s="680"/>
      <c r="M7" s="680"/>
      <c r="N7" s="680"/>
      <c r="O7" s="680"/>
      <c r="P7" s="680"/>
      <c r="Q7" s="680"/>
      <c r="R7" s="680"/>
      <c r="S7" s="680"/>
      <c r="T7" s="680"/>
      <c r="U7" s="680"/>
      <c r="V7" s="680"/>
      <c r="W7" s="680"/>
      <c r="X7" s="680"/>
      <c r="Y7" s="680"/>
      <c r="Z7" s="680"/>
      <c r="AA7" s="680"/>
      <c r="AB7" s="680"/>
      <c r="AC7" s="680"/>
      <c r="AD7" s="681"/>
    </row>
    <row r="8" spans="1:30" ht="18.75" customHeight="1">
      <c r="A8" s="678"/>
      <c r="B8" s="678"/>
      <c r="C8" s="678"/>
      <c r="D8" s="678"/>
      <c r="E8" s="682" t="s">
        <v>88</v>
      </c>
      <c r="F8" s="683"/>
      <c r="G8" s="683"/>
      <c r="H8" s="683"/>
      <c r="I8" s="684"/>
      <c r="J8" s="682" t="s">
        <v>89</v>
      </c>
      <c r="K8" s="683"/>
      <c r="L8" s="683"/>
      <c r="M8" s="683"/>
      <c r="N8" s="684"/>
      <c r="O8" s="682" t="s">
        <v>90</v>
      </c>
      <c r="P8" s="683"/>
      <c r="Q8" s="683"/>
      <c r="R8" s="683"/>
      <c r="S8" s="684"/>
      <c r="T8" s="682" t="s">
        <v>91</v>
      </c>
      <c r="U8" s="683"/>
      <c r="V8" s="683"/>
      <c r="W8" s="683"/>
      <c r="X8" s="684"/>
      <c r="Y8" s="682" t="s">
        <v>92</v>
      </c>
      <c r="Z8" s="683"/>
      <c r="AA8" s="683"/>
      <c r="AB8" s="683"/>
      <c r="AC8" s="684"/>
      <c r="AD8" s="664" t="s">
        <v>5</v>
      </c>
    </row>
    <row r="9" spans="1:30" ht="87.75" customHeight="1">
      <c r="A9" s="665"/>
      <c r="B9" s="665"/>
      <c r="C9" s="665"/>
      <c r="D9" s="665"/>
      <c r="E9" s="391" t="s">
        <v>6</v>
      </c>
      <c r="F9" s="319" t="s">
        <v>7</v>
      </c>
      <c r="G9" s="319" t="s">
        <v>8</v>
      </c>
      <c r="H9" s="319" t="s">
        <v>9</v>
      </c>
      <c r="I9" s="320" t="s">
        <v>10</v>
      </c>
      <c r="J9" s="391" t="s">
        <v>6</v>
      </c>
      <c r="K9" s="319" t="s">
        <v>7</v>
      </c>
      <c r="L9" s="319" t="s">
        <v>8</v>
      </c>
      <c r="M9" s="319" t="s">
        <v>9</v>
      </c>
      <c r="N9" s="320" t="s">
        <v>10</v>
      </c>
      <c r="O9" s="391" t="s">
        <v>6</v>
      </c>
      <c r="P9" s="319" t="s">
        <v>7</v>
      </c>
      <c r="Q9" s="319" t="s">
        <v>8</v>
      </c>
      <c r="R9" s="319" t="s">
        <v>9</v>
      </c>
      <c r="S9" s="320" t="s">
        <v>10</v>
      </c>
      <c r="T9" s="391" t="s">
        <v>6</v>
      </c>
      <c r="U9" s="319" t="s">
        <v>7</v>
      </c>
      <c r="V9" s="319" t="s">
        <v>8</v>
      </c>
      <c r="W9" s="319" t="s">
        <v>9</v>
      </c>
      <c r="X9" s="320" t="s">
        <v>10</v>
      </c>
      <c r="Y9" s="391" t="s">
        <v>6</v>
      </c>
      <c r="Z9" s="319" t="s">
        <v>7</v>
      </c>
      <c r="AA9" s="319" t="s">
        <v>8</v>
      </c>
      <c r="AB9" s="319" t="s">
        <v>9</v>
      </c>
      <c r="AC9" s="320" t="s">
        <v>10</v>
      </c>
      <c r="AD9" s="665"/>
    </row>
    <row r="10" spans="1:30">
      <c r="A10" s="321">
        <v>1</v>
      </c>
      <c r="B10" s="321">
        <v>2</v>
      </c>
      <c r="C10" s="321">
        <v>3</v>
      </c>
      <c r="D10" s="321">
        <v>4</v>
      </c>
      <c r="E10" s="321">
        <v>5</v>
      </c>
      <c r="F10" s="321">
        <v>6</v>
      </c>
      <c r="G10" s="321">
        <v>7</v>
      </c>
      <c r="H10" s="321">
        <v>8</v>
      </c>
      <c r="I10" s="321">
        <v>9</v>
      </c>
      <c r="J10" s="321">
        <v>10</v>
      </c>
      <c r="K10" s="321">
        <v>11</v>
      </c>
      <c r="L10" s="321">
        <v>12</v>
      </c>
      <c r="M10" s="321">
        <v>13</v>
      </c>
      <c r="N10" s="321">
        <v>14</v>
      </c>
      <c r="O10" s="321">
        <v>15</v>
      </c>
      <c r="P10" s="321">
        <v>16</v>
      </c>
      <c r="Q10" s="321">
        <v>17</v>
      </c>
      <c r="R10" s="321">
        <v>18</v>
      </c>
      <c r="S10" s="321">
        <v>19</v>
      </c>
      <c r="T10" s="321">
        <v>20</v>
      </c>
      <c r="U10" s="321">
        <v>21</v>
      </c>
      <c r="V10" s="321">
        <v>22</v>
      </c>
      <c r="W10" s="321">
        <v>23</v>
      </c>
      <c r="X10" s="321">
        <v>24</v>
      </c>
      <c r="Y10" s="321">
        <v>25</v>
      </c>
      <c r="Z10" s="321">
        <v>26</v>
      </c>
      <c r="AA10" s="321">
        <v>27</v>
      </c>
      <c r="AB10" s="321">
        <v>28</v>
      </c>
      <c r="AC10" s="321">
        <v>29</v>
      </c>
      <c r="AD10" s="321">
        <v>30</v>
      </c>
    </row>
    <row r="11" spans="1:30" ht="18.75" customHeight="1">
      <c r="A11" s="666" t="s">
        <v>274</v>
      </c>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8"/>
    </row>
    <row r="12" spans="1:30" ht="23.25">
      <c r="A12" s="322" t="s">
        <v>221</v>
      </c>
      <c r="B12" s="669" t="s">
        <v>275</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1"/>
    </row>
    <row r="13" spans="1:30" ht="93">
      <c r="A13" s="323" t="s">
        <v>12</v>
      </c>
      <c r="B13" s="324" t="s">
        <v>81</v>
      </c>
      <c r="C13" s="661" t="s">
        <v>14</v>
      </c>
      <c r="D13" s="325" t="s">
        <v>93</v>
      </c>
      <c r="E13" s="298">
        <f>SUM(F13:I13)</f>
        <v>28350</v>
      </c>
      <c r="F13" s="298">
        <f>43350-15000</f>
        <v>28350</v>
      </c>
      <c r="G13" s="298">
        <v>0</v>
      </c>
      <c r="H13" s="298">
        <v>0</v>
      </c>
      <c r="I13" s="298">
        <v>0</v>
      </c>
      <c r="J13" s="298">
        <f>K13+L13+M13+N13</f>
        <v>26292</v>
      </c>
      <c r="K13" s="298">
        <f>19722+15778-9208</f>
        <v>26292</v>
      </c>
      <c r="L13" s="298">
        <v>0</v>
      </c>
      <c r="M13" s="299">
        <v>0</v>
      </c>
      <c r="N13" s="299">
        <v>0</v>
      </c>
      <c r="O13" s="299">
        <f>P13+Q13+R13+S13</f>
        <v>42513</v>
      </c>
      <c r="P13" s="299">
        <v>42513</v>
      </c>
      <c r="Q13" s="299">
        <v>0</v>
      </c>
      <c r="R13" s="299">
        <v>0</v>
      </c>
      <c r="S13" s="299">
        <v>0</v>
      </c>
      <c r="T13" s="299">
        <f>U13+V13+W13+X13</f>
        <v>0</v>
      </c>
      <c r="U13" s="299">
        <v>0</v>
      </c>
      <c r="V13" s="299">
        <v>0</v>
      </c>
      <c r="W13" s="299">
        <v>0</v>
      </c>
      <c r="X13" s="299">
        <v>0</v>
      </c>
      <c r="Y13" s="299">
        <f>Z13+AA13+AB13+AC13</f>
        <v>0</v>
      </c>
      <c r="Z13" s="299">
        <v>0</v>
      </c>
      <c r="AA13" s="299">
        <v>0</v>
      </c>
      <c r="AB13" s="299">
        <v>0</v>
      </c>
      <c r="AC13" s="299">
        <v>0</v>
      </c>
      <c r="AD13" s="326">
        <f t="shared" ref="AD13:AD18" si="0">E13+J13+O13+T13+Y13</f>
        <v>97155</v>
      </c>
    </row>
    <row r="14" spans="1:30" ht="116.25">
      <c r="A14" s="323" t="s">
        <v>13</v>
      </c>
      <c r="B14" s="327" t="s">
        <v>268</v>
      </c>
      <c r="C14" s="663"/>
      <c r="D14" s="325" t="s">
        <v>93</v>
      </c>
      <c r="E14" s="298">
        <f>SUM(F14:I14)</f>
        <v>7359</v>
      </c>
      <c r="F14" s="298">
        <f>12748-5387-2060</f>
        <v>5301</v>
      </c>
      <c r="G14" s="298">
        <v>0</v>
      </c>
      <c r="H14" s="298">
        <v>0</v>
      </c>
      <c r="I14" s="298">
        <f>4602-2544</f>
        <v>2058</v>
      </c>
      <c r="J14" s="298">
        <v>0</v>
      </c>
      <c r="K14" s="298">
        <v>0</v>
      </c>
      <c r="L14" s="298">
        <v>0</v>
      </c>
      <c r="M14" s="299">
        <v>0</v>
      </c>
      <c r="N14" s="299">
        <v>0</v>
      </c>
      <c r="O14" s="299">
        <v>0</v>
      </c>
      <c r="P14" s="299">
        <v>0</v>
      </c>
      <c r="Q14" s="299">
        <v>0</v>
      </c>
      <c r="R14" s="299">
        <v>0</v>
      </c>
      <c r="S14" s="299">
        <v>0</v>
      </c>
      <c r="T14" s="299">
        <f>U14+V14+W14+X14</f>
        <v>0</v>
      </c>
      <c r="U14" s="299">
        <v>0</v>
      </c>
      <c r="V14" s="299">
        <v>0</v>
      </c>
      <c r="W14" s="299">
        <v>0</v>
      </c>
      <c r="X14" s="299">
        <v>0</v>
      </c>
      <c r="Y14" s="299">
        <f>Z14+AA14+AB14+AC14</f>
        <v>0</v>
      </c>
      <c r="Z14" s="299">
        <v>0</v>
      </c>
      <c r="AA14" s="299">
        <v>0</v>
      </c>
      <c r="AB14" s="299">
        <v>0</v>
      </c>
      <c r="AC14" s="299">
        <v>0</v>
      </c>
      <c r="AD14" s="326">
        <f t="shared" si="0"/>
        <v>7359</v>
      </c>
    </row>
    <row r="15" spans="1:30" ht="93">
      <c r="A15" s="323" t="s">
        <v>15</v>
      </c>
      <c r="B15" s="328" t="s">
        <v>117</v>
      </c>
      <c r="C15" s="393" t="s">
        <v>218</v>
      </c>
      <c r="D15" s="322" t="s">
        <v>93</v>
      </c>
      <c r="E15" s="298">
        <f>F15+G15+H15+I15</f>
        <v>8260</v>
      </c>
      <c r="F15" s="298">
        <f>8260</f>
        <v>8260</v>
      </c>
      <c r="G15" s="298">
        <v>0</v>
      </c>
      <c r="H15" s="298">
        <v>0</v>
      </c>
      <c r="I15" s="298">
        <v>0</v>
      </c>
      <c r="J15" s="298">
        <f>K15+L15+M15+N15</f>
        <v>11513</v>
      </c>
      <c r="K15" s="298">
        <v>11513</v>
      </c>
      <c r="L15" s="298">
        <v>0</v>
      </c>
      <c r="M15" s="299">
        <v>0</v>
      </c>
      <c r="N15" s="299">
        <v>0</v>
      </c>
      <c r="O15" s="299">
        <f>P15+Q15+R15+S15</f>
        <v>10547</v>
      </c>
      <c r="P15" s="299">
        <v>10547</v>
      </c>
      <c r="Q15" s="299">
        <v>0</v>
      </c>
      <c r="R15" s="299">
        <v>0</v>
      </c>
      <c r="S15" s="299">
        <v>0</v>
      </c>
      <c r="T15" s="299">
        <f>U15+V15+W15+X15</f>
        <v>0</v>
      </c>
      <c r="U15" s="299">
        <v>0</v>
      </c>
      <c r="V15" s="299">
        <v>0</v>
      </c>
      <c r="W15" s="299">
        <v>0</v>
      </c>
      <c r="X15" s="299">
        <v>0</v>
      </c>
      <c r="Y15" s="299">
        <f>Z15+AA15+AB15+AC15</f>
        <v>0</v>
      </c>
      <c r="Z15" s="299">
        <v>0</v>
      </c>
      <c r="AA15" s="299">
        <v>0</v>
      </c>
      <c r="AB15" s="299">
        <v>0</v>
      </c>
      <c r="AC15" s="299">
        <v>0</v>
      </c>
      <c r="AD15" s="326">
        <f t="shared" si="0"/>
        <v>30320</v>
      </c>
    </row>
    <row r="16" spans="1:30" ht="93">
      <c r="A16" s="323" t="s">
        <v>16</v>
      </c>
      <c r="B16" s="330" t="s">
        <v>270</v>
      </c>
      <c r="C16" s="331" t="s">
        <v>14</v>
      </c>
      <c r="D16" s="322" t="s">
        <v>93</v>
      </c>
      <c r="E16" s="298">
        <f>F16+G16+H16+I16</f>
        <v>586.36999999999978</v>
      </c>
      <c r="F16" s="298">
        <f>3300-2825.3</f>
        <v>474.69999999999982</v>
      </c>
      <c r="G16" s="298">
        <v>0</v>
      </c>
      <c r="H16" s="298">
        <v>0</v>
      </c>
      <c r="I16" s="298">
        <f>775-663.33</f>
        <v>111.66999999999996</v>
      </c>
      <c r="J16" s="298">
        <v>0</v>
      </c>
      <c r="K16" s="298">
        <v>0</v>
      </c>
      <c r="L16" s="298">
        <v>0</v>
      </c>
      <c r="M16" s="299">
        <v>0</v>
      </c>
      <c r="N16" s="299">
        <v>0</v>
      </c>
      <c r="O16" s="299">
        <v>0</v>
      </c>
      <c r="P16" s="299">
        <v>0</v>
      </c>
      <c r="Q16" s="299">
        <v>0</v>
      </c>
      <c r="R16" s="299">
        <v>0</v>
      </c>
      <c r="S16" s="299">
        <v>0</v>
      </c>
      <c r="T16" s="299">
        <v>0</v>
      </c>
      <c r="U16" s="299">
        <v>0</v>
      </c>
      <c r="V16" s="299">
        <v>0</v>
      </c>
      <c r="W16" s="299">
        <v>0</v>
      </c>
      <c r="X16" s="299">
        <v>0</v>
      </c>
      <c r="Y16" s="299">
        <v>0</v>
      </c>
      <c r="Z16" s="299">
        <v>0</v>
      </c>
      <c r="AA16" s="299">
        <v>0</v>
      </c>
      <c r="AB16" s="299">
        <v>0</v>
      </c>
      <c r="AC16" s="299">
        <v>0</v>
      </c>
      <c r="AD16" s="326">
        <f t="shared" si="0"/>
        <v>586.36999999999978</v>
      </c>
    </row>
    <row r="17" spans="1:31" ht="37.5">
      <c r="A17" s="323" t="s">
        <v>17</v>
      </c>
      <c r="B17" s="330" t="s">
        <v>210</v>
      </c>
      <c r="C17" s="393" t="s">
        <v>94</v>
      </c>
      <c r="D17" s="332">
        <v>2020</v>
      </c>
      <c r="E17" s="298">
        <f t="shared" ref="E17:E22" si="1">F17+G17+H17+I17</f>
        <v>1192</v>
      </c>
      <c r="F17" s="298">
        <v>1192</v>
      </c>
      <c r="G17" s="298">
        <v>0</v>
      </c>
      <c r="H17" s="298">
        <v>0</v>
      </c>
      <c r="I17" s="298">
        <v>0</v>
      </c>
      <c r="J17" s="298">
        <f t="shared" ref="J17:J22" si="2">K17+L17+M17+N17</f>
        <v>0</v>
      </c>
      <c r="K17" s="298">
        <v>0</v>
      </c>
      <c r="L17" s="298">
        <v>0</v>
      </c>
      <c r="M17" s="299">
        <v>0</v>
      </c>
      <c r="N17" s="299">
        <v>0</v>
      </c>
      <c r="O17" s="299">
        <f>P17+Q17+R17+S17</f>
        <v>0</v>
      </c>
      <c r="P17" s="299">
        <v>0</v>
      </c>
      <c r="Q17" s="299">
        <v>0</v>
      </c>
      <c r="R17" s="299">
        <v>0</v>
      </c>
      <c r="S17" s="299">
        <v>0</v>
      </c>
      <c r="T17" s="299">
        <f>U17+V17+W17+X17</f>
        <v>0</v>
      </c>
      <c r="U17" s="299">
        <v>0</v>
      </c>
      <c r="V17" s="299">
        <v>0</v>
      </c>
      <c r="W17" s="299">
        <v>0</v>
      </c>
      <c r="X17" s="299">
        <v>0</v>
      </c>
      <c r="Y17" s="299">
        <f>Z17+AA17+AB17+AC17</f>
        <v>0</v>
      </c>
      <c r="Z17" s="299">
        <v>0</v>
      </c>
      <c r="AA17" s="299">
        <v>0</v>
      </c>
      <c r="AB17" s="299">
        <v>0</v>
      </c>
      <c r="AC17" s="299">
        <v>0</v>
      </c>
      <c r="AD17" s="299">
        <f t="shared" si="0"/>
        <v>1192</v>
      </c>
    </row>
    <row r="18" spans="1:31" ht="46.5">
      <c r="A18" s="323" t="s">
        <v>163</v>
      </c>
      <c r="B18" s="330" t="s">
        <v>121</v>
      </c>
      <c r="C18" s="393" t="s">
        <v>94</v>
      </c>
      <c r="D18" s="332" t="s">
        <v>164</v>
      </c>
      <c r="E18" s="298">
        <f t="shared" si="1"/>
        <v>6060</v>
      </c>
      <c r="F18" s="298">
        <f>6183-123</f>
        <v>6060</v>
      </c>
      <c r="G18" s="298">
        <v>0</v>
      </c>
      <c r="H18" s="298">
        <v>0</v>
      </c>
      <c r="I18" s="298">
        <v>0</v>
      </c>
      <c r="J18" s="298">
        <f t="shared" si="2"/>
        <v>5586</v>
      </c>
      <c r="K18" s="298">
        <f>5832-126-120</f>
        <v>5586</v>
      </c>
      <c r="L18" s="298">
        <v>0</v>
      </c>
      <c r="M18" s="299">
        <v>0</v>
      </c>
      <c r="N18" s="299">
        <v>0</v>
      </c>
      <c r="O18" s="299">
        <f>P18+Q18+R18+S18</f>
        <v>5760</v>
      </c>
      <c r="P18" s="299">
        <v>5760</v>
      </c>
      <c r="Q18" s="299">
        <v>0</v>
      </c>
      <c r="R18" s="299">
        <v>0</v>
      </c>
      <c r="S18" s="299">
        <v>0</v>
      </c>
      <c r="T18" s="299">
        <f>U18+V18+W18+X18</f>
        <v>0</v>
      </c>
      <c r="U18" s="299">
        <v>0</v>
      </c>
      <c r="V18" s="299">
        <v>0</v>
      </c>
      <c r="W18" s="299">
        <v>0</v>
      </c>
      <c r="X18" s="299">
        <v>0</v>
      </c>
      <c r="Y18" s="299">
        <f>Z18+AA18+AB18+AC18</f>
        <v>0</v>
      </c>
      <c r="Z18" s="299">
        <v>0</v>
      </c>
      <c r="AA18" s="299">
        <v>0</v>
      </c>
      <c r="AB18" s="299">
        <v>0</v>
      </c>
      <c r="AC18" s="299">
        <v>0</v>
      </c>
      <c r="AD18" s="299">
        <f t="shared" si="0"/>
        <v>17406</v>
      </c>
    </row>
    <row r="19" spans="1:31" ht="37.5">
      <c r="A19" s="323" t="s">
        <v>182</v>
      </c>
      <c r="B19" s="333" t="s">
        <v>124</v>
      </c>
      <c r="C19" s="393" t="s">
        <v>94</v>
      </c>
      <c r="D19" s="332" t="s">
        <v>282</v>
      </c>
      <c r="E19" s="298">
        <f t="shared" si="1"/>
        <v>785</v>
      </c>
      <c r="F19" s="298">
        <v>785</v>
      </c>
      <c r="G19" s="298">
        <v>0</v>
      </c>
      <c r="H19" s="298">
        <v>0</v>
      </c>
      <c r="I19" s="298">
        <v>0</v>
      </c>
      <c r="J19" s="298">
        <f t="shared" si="2"/>
        <v>90</v>
      </c>
      <c r="K19" s="298">
        <v>90</v>
      </c>
      <c r="L19" s="298">
        <v>0</v>
      </c>
      <c r="M19" s="299">
        <v>0</v>
      </c>
      <c r="N19" s="299">
        <v>0</v>
      </c>
      <c r="O19" s="299">
        <v>0</v>
      </c>
      <c r="P19" s="299">
        <v>0</v>
      </c>
      <c r="Q19" s="299">
        <v>0</v>
      </c>
      <c r="R19" s="299">
        <v>0</v>
      </c>
      <c r="S19" s="299">
        <v>0</v>
      </c>
      <c r="T19" s="299">
        <v>0</v>
      </c>
      <c r="U19" s="299">
        <v>0</v>
      </c>
      <c r="V19" s="299">
        <v>0</v>
      </c>
      <c r="W19" s="299">
        <v>0</v>
      </c>
      <c r="X19" s="299">
        <v>0</v>
      </c>
      <c r="Y19" s="299">
        <v>0</v>
      </c>
      <c r="Z19" s="299">
        <v>0</v>
      </c>
      <c r="AA19" s="299">
        <v>0</v>
      </c>
      <c r="AB19" s="299">
        <v>0</v>
      </c>
      <c r="AC19" s="299">
        <v>0</v>
      </c>
      <c r="AD19" s="299">
        <f>E19+J19+O19+T19+Y19</f>
        <v>875</v>
      </c>
    </row>
    <row r="20" spans="1:31" ht="46.5">
      <c r="A20" s="323" t="s">
        <v>208</v>
      </c>
      <c r="B20" s="333" t="s">
        <v>126</v>
      </c>
      <c r="C20" s="393" t="s">
        <v>94</v>
      </c>
      <c r="D20" s="332">
        <v>2020</v>
      </c>
      <c r="E20" s="298">
        <f t="shared" si="1"/>
        <v>110</v>
      </c>
      <c r="F20" s="298">
        <v>110</v>
      </c>
      <c r="G20" s="298">
        <v>0</v>
      </c>
      <c r="H20" s="298">
        <v>0</v>
      </c>
      <c r="I20" s="298">
        <v>0</v>
      </c>
      <c r="J20" s="298">
        <f t="shared" si="2"/>
        <v>0</v>
      </c>
      <c r="K20" s="298">
        <v>0</v>
      </c>
      <c r="L20" s="298">
        <v>0</v>
      </c>
      <c r="M20" s="299">
        <v>0</v>
      </c>
      <c r="N20" s="299">
        <v>0</v>
      </c>
      <c r="O20" s="299">
        <f t="shared" ref="O20:O26" si="3">P20+Q20+R20+S20</f>
        <v>0</v>
      </c>
      <c r="P20" s="299">
        <v>0</v>
      </c>
      <c r="Q20" s="299">
        <v>0</v>
      </c>
      <c r="R20" s="299">
        <v>0</v>
      </c>
      <c r="S20" s="299">
        <v>0</v>
      </c>
      <c r="T20" s="299">
        <f t="shared" ref="T20:T26" si="4">U20+V20+W20+X20</f>
        <v>0</v>
      </c>
      <c r="U20" s="299">
        <v>0</v>
      </c>
      <c r="V20" s="299">
        <v>0</v>
      </c>
      <c r="W20" s="299">
        <v>0</v>
      </c>
      <c r="X20" s="299">
        <v>0</v>
      </c>
      <c r="Y20" s="299">
        <f>Z20+AA20+AB20+AC20</f>
        <v>0</v>
      </c>
      <c r="Z20" s="299">
        <v>0</v>
      </c>
      <c r="AA20" s="299">
        <v>0</v>
      </c>
      <c r="AB20" s="299">
        <v>0</v>
      </c>
      <c r="AC20" s="299">
        <v>0</v>
      </c>
      <c r="AD20" s="299">
        <f t="shared" ref="AD20:AD26" si="5">E20+J20+O20+T20+Y20</f>
        <v>110</v>
      </c>
    </row>
    <row r="21" spans="1:31" ht="69.75">
      <c r="A21" s="323" t="s">
        <v>211</v>
      </c>
      <c r="B21" s="333" t="s">
        <v>122</v>
      </c>
      <c r="C21" s="393" t="s">
        <v>94</v>
      </c>
      <c r="D21" s="332">
        <v>2020</v>
      </c>
      <c r="E21" s="298">
        <f t="shared" si="1"/>
        <v>53</v>
      </c>
      <c r="F21" s="298">
        <v>53</v>
      </c>
      <c r="G21" s="298">
        <v>0</v>
      </c>
      <c r="H21" s="298">
        <v>0</v>
      </c>
      <c r="I21" s="298">
        <v>0</v>
      </c>
      <c r="J21" s="298">
        <f t="shared" si="2"/>
        <v>0</v>
      </c>
      <c r="K21" s="298">
        <v>0</v>
      </c>
      <c r="L21" s="298">
        <v>0</v>
      </c>
      <c r="M21" s="299">
        <v>0</v>
      </c>
      <c r="N21" s="299">
        <v>0</v>
      </c>
      <c r="O21" s="299">
        <f t="shared" si="3"/>
        <v>0</v>
      </c>
      <c r="P21" s="299">
        <v>0</v>
      </c>
      <c r="Q21" s="299">
        <v>0</v>
      </c>
      <c r="R21" s="299">
        <v>0</v>
      </c>
      <c r="S21" s="299">
        <v>0</v>
      </c>
      <c r="T21" s="299">
        <f t="shared" si="4"/>
        <v>0</v>
      </c>
      <c r="U21" s="299">
        <v>0</v>
      </c>
      <c r="V21" s="299">
        <v>0</v>
      </c>
      <c r="W21" s="299">
        <v>0</v>
      </c>
      <c r="X21" s="299">
        <v>0</v>
      </c>
      <c r="Y21" s="299">
        <f>Z21+AA21+AB21+AC21</f>
        <v>0</v>
      </c>
      <c r="Z21" s="299">
        <v>0</v>
      </c>
      <c r="AA21" s="299">
        <v>0</v>
      </c>
      <c r="AB21" s="299">
        <v>0</v>
      </c>
      <c r="AC21" s="299">
        <v>0</v>
      </c>
      <c r="AD21" s="299">
        <f t="shared" si="5"/>
        <v>53</v>
      </c>
    </row>
    <row r="22" spans="1:31" ht="46.5">
      <c r="A22" s="323" t="s">
        <v>212</v>
      </c>
      <c r="B22" s="333" t="s">
        <v>123</v>
      </c>
      <c r="C22" s="393" t="s">
        <v>94</v>
      </c>
      <c r="D22" s="332">
        <v>2020</v>
      </c>
      <c r="E22" s="298">
        <f t="shared" si="1"/>
        <v>130</v>
      </c>
      <c r="F22" s="298">
        <f>112+18</f>
        <v>130</v>
      </c>
      <c r="G22" s="298">
        <v>0</v>
      </c>
      <c r="H22" s="298">
        <v>0</v>
      </c>
      <c r="I22" s="298">
        <v>0</v>
      </c>
      <c r="J22" s="298">
        <f t="shared" si="2"/>
        <v>0</v>
      </c>
      <c r="K22" s="298">
        <v>0</v>
      </c>
      <c r="L22" s="298">
        <v>0</v>
      </c>
      <c r="M22" s="299">
        <v>0</v>
      </c>
      <c r="N22" s="299">
        <v>0</v>
      </c>
      <c r="O22" s="299">
        <f t="shared" si="3"/>
        <v>0</v>
      </c>
      <c r="P22" s="299">
        <v>0</v>
      </c>
      <c r="Q22" s="299">
        <v>0</v>
      </c>
      <c r="R22" s="299">
        <v>0</v>
      </c>
      <c r="S22" s="299">
        <v>0</v>
      </c>
      <c r="T22" s="299">
        <f t="shared" si="4"/>
        <v>0</v>
      </c>
      <c r="U22" s="299">
        <v>0</v>
      </c>
      <c r="V22" s="299">
        <v>0</v>
      </c>
      <c r="W22" s="299">
        <v>0</v>
      </c>
      <c r="X22" s="299">
        <v>0</v>
      </c>
      <c r="Y22" s="299">
        <f>Z22+AA22+AB22+AC22</f>
        <v>0</v>
      </c>
      <c r="Z22" s="299">
        <v>0</v>
      </c>
      <c r="AA22" s="299">
        <v>0</v>
      </c>
      <c r="AB22" s="299">
        <v>0</v>
      </c>
      <c r="AC22" s="299">
        <v>0</v>
      </c>
      <c r="AD22" s="299">
        <f t="shared" si="5"/>
        <v>130</v>
      </c>
    </row>
    <row r="23" spans="1:31" ht="46.5">
      <c r="A23" s="323" t="s">
        <v>213</v>
      </c>
      <c r="B23" s="333" t="s">
        <v>125</v>
      </c>
      <c r="C23" s="393" t="s">
        <v>94</v>
      </c>
      <c r="D23" s="332" t="s">
        <v>164</v>
      </c>
      <c r="E23" s="298">
        <v>120</v>
      </c>
      <c r="F23" s="298">
        <v>120</v>
      </c>
      <c r="G23" s="298">
        <v>0</v>
      </c>
      <c r="H23" s="298">
        <v>0</v>
      </c>
      <c r="I23" s="298">
        <v>0</v>
      </c>
      <c r="J23" s="298">
        <f>K23+L23+M23+N23</f>
        <v>0</v>
      </c>
      <c r="K23" s="298">
        <f>60-60</f>
        <v>0</v>
      </c>
      <c r="L23" s="298">
        <v>0</v>
      </c>
      <c r="M23" s="299">
        <v>0</v>
      </c>
      <c r="N23" s="299">
        <v>0</v>
      </c>
      <c r="O23" s="299">
        <f t="shared" si="3"/>
        <v>60</v>
      </c>
      <c r="P23" s="299">
        <v>60</v>
      </c>
      <c r="Q23" s="299">
        <v>0</v>
      </c>
      <c r="R23" s="299">
        <v>0</v>
      </c>
      <c r="S23" s="299">
        <v>0</v>
      </c>
      <c r="T23" s="299">
        <f t="shared" si="4"/>
        <v>0</v>
      </c>
      <c r="U23" s="299">
        <v>0</v>
      </c>
      <c r="V23" s="299">
        <v>0</v>
      </c>
      <c r="W23" s="299">
        <v>0</v>
      </c>
      <c r="X23" s="299">
        <v>0</v>
      </c>
      <c r="Y23" s="299">
        <f>Z23+AA23+AB23+AC23</f>
        <v>0</v>
      </c>
      <c r="Z23" s="299">
        <v>0</v>
      </c>
      <c r="AA23" s="299">
        <v>0</v>
      </c>
      <c r="AB23" s="299">
        <v>0</v>
      </c>
      <c r="AC23" s="299">
        <v>0</v>
      </c>
      <c r="AD23" s="299">
        <f t="shared" si="5"/>
        <v>180</v>
      </c>
    </row>
    <row r="24" spans="1:31" ht="37.5" customHeight="1">
      <c r="A24" s="369" t="s">
        <v>214</v>
      </c>
      <c r="B24" s="370" t="s">
        <v>205</v>
      </c>
      <c r="C24" s="371" t="s">
        <v>52</v>
      </c>
      <c r="D24" s="372" t="s">
        <v>287</v>
      </c>
      <c r="E24" s="373">
        <v>23068</v>
      </c>
      <c r="F24" s="373">
        <v>0</v>
      </c>
      <c r="G24" s="373">
        <v>23068</v>
      </c>
      <c r="H24" s="373">
        <v>0</v>
      </c>
      <c r="I24" s="373">
        <v>0</v>
      </c>
      <c r="J24" s="373">
        <f>K24+L24+M24+N24</f>
        <v>22592</v>
      </c>
      <c r="K24" s="373">
        <v>0</v>
      </c>
      <c r="L24" s="373">
        <f>23742-1150</f>
        <v>22592</v>
      </c>
      <c r="M24" s="374">
        <v>0</v>
      </c>
      <c r="N24" s="374">
        <v>0</v>
      </c>
      <c r="O24" s="374">
        <f t="shared" si="3"/>
        <v>24077</v>
      </c>
      <c r="P24" s="374">
        <v>0</v>
      </c>
      <c r="Q24" s="374">
        <f>24077</f>
        <v>24077</v>
      </c>
      <c r="R24" s="374">
        <v>0</v>
      </c>
      <c r="S24" s="374">
        <v>0</v>
      </c>
      <c r="T24" s="374">
        <f t="shared" si="4"/>
        <v>24077</v>
      </c>
      <c r="U24" s="374">
        <v>0</v>
      </c>
      <c r="V24" s="374">
        <v>24077</v>
      </c>
      <c r="W24" s="374">
        <v>0</v>
      </c>
      <c r="X24" s="374">
        <v>0</v>
      </c>
      <c r="Y24" s="374">
        <f>Z24+AA24+AB24+AC24</f>
        <v>24077</v>
      </c>
      <c r="Z24" s="374">
        <v>0</v>
      </c>
      <c r="AA24" s="374">
        <v>24077</v>
      </c>
      <c r="AB24" s="374">
        <v>0</v>
      </c>
      <c r="AC24" s="374">
        <v>0</v>
      </c>
      <c r="AD24" s="374">
        <f>E24+J24+O24+T24+Y24</f>
        <v>117891</v>
      </c>
    </row>
    <row r="25" spans="1:31" ht="46.5">
      <c r="A25" s="369" t="s">
        <v>215</v>
      </c>
      <c r="B25" s="370" t="s">
        <v>198</v>
      </c>
      <c r="C25" s="371" t="s">
        <v>52</v>
      </c>
      <c r="D25" s="372" t="s">
        <v>287</v>
      </c>
      <c r="E25" s="373">
        <v>238</v>
      </c>
      <c r="F25" s="375">
        <v>0</v>
      </c>
      <c r="G25" s="373">
        <v>238</v>
      </c>
      <c r="H25" s="373">
        <v>0</v>
      </c>
      <c r="I25" s="373">
        <v>0</v>
      </c>
      <c r="J25" s="373">
        <f>K25+L25+M25+N25</f>
        <v>476</v>
      </c>
      <c r="K25" s="373">
        <v>0</v>
      </c>
      <c r="L25" s="373">
        <v>476</v>
      </c>
      <c r="M25" s="374">
        <v>0</v>
      </c>
      <c r="N25" s="374">
        <v>0</v>
      </c>
      <c r="O25" s="374">
        <f t="shared" si="3"/>
        <v>0</v>
      </c>
      <c r="P25" s="374">
        <v>0</v>
      </c>
      <c r="Q25" s="374">
        <v>0</v>
      </c>
      <c r="R25" s="374">
        <v>0</v>
      </c>
      <c r="S25" s="374">
        <v>0</v>
      </c>
      <c r="T25" s="374">
        <f t="shared" si="4"/>
        <v>0</v>
      </c>
      <c r="U25" s="374">
        <v>0</v>
      </c>
      <c r="V25" s="374">
        <v>0</v>
      </c>
      <c r="W25" s="374">
        <v>0</v>
      </c>
      <c r="X25" s="374">
        <v>0</v>
      </c>
      <c r="Y25" s="374">
        <v>0</v>
      </c>
      <c r="Z25" s="374">
        <v>0</v>
      </c>
      <c r="AA25" s="374">
        <v>0</v>
      </c>
      <c r="AB25" s="374">
        <v>0</v>
      </c>
      <c r="AC25" s="374">
        <v>0</v>
      </c>
      <c r="AD25" s="374">
        <f>E25+J25+O25+T25+Y25</f>
        <v>714</v>
      </c>
    </row>
    <row r="26" spans="1:31" ht="46.5">
      <c r="A26" s="369" t="s">
        <v>216</v>
      </c>
      <c r="B26" s="376" t="s">
        <v>217</v>
      </c>
      <c r="C26" s="371" t="s">
        <v>94</v>
      </c>
      <c r="D26" s="372">
        <v>2020</v>
      </c>
      <c r="E26" s="373">
        <f>F26+G26+H26+I26</f>
        <v>120</v>
      </c>
      <c r="F26" s="373">
        <f>300-180</f>
        <v>120</v>
      </c>
      <c r="G26" s="373">
        <v>0</v>
      </c>
      <c r="H26" s="373">
        <v>0</v>
      </c>
      <c r="I26" s="373">
        <v>0</v>
      </c>
      <c r="J26" s="373">
        <f>K26+L26+M26+N26</f>
        <v>0</v>
      </c>
      <c r="K26" s="373">
        <v>0</v>
      </c>
      <c r="L26" s="373">
        <v>0</v>
      </c>
      <c r="M26" s="374">
        <v>0</v>
      </c>
      <c r="N26" s="374">
        <v>0</v>
      </c>
      <c r="O26" s="374">
        <f t="shared" si="3"/>
        <v>0</v>
      </c>
      <c r="P26" s="374">
        <v>0</v>
      </c>
      <c r="Q26" s="374">
        <v>0</v>
      </c>
      <c r="R26" s="374">
        <v>0</v>
      </c>
      <c r="S26" s="374">
        <v>0</v>
      </c>
      <c r="T26" s="374">
        <f t="shared" si="4"/>
        <v>0</v>
      </c>
      <c r="U26" s="374">
        <v>0</v>
      </c>
      <c r="V26" s="374">
        <v>0</v>
      </c>
      <c r="W26" s="374">
        <v>0</v>
      </c>
      <c r="X26" s="374">
        <v>0</v>
      </c>
      <c r="Y26" s="374">
        <f>Z26+AA26+AB26+AC26</f>
        <v>0</v>
      </c>
      <c r="Z26" s="374">
        <v>0</v>
      </c>
      <c r="AA26" s="374">
        <v>0</v>
      </c>
      <c r="AB26" s="374">
        <v>0</v>
      </c>
      <c r="AC26" s="374">
        <v>0</v>
      </c>
      <c r="AD26" s="374">
        <f t="shared" si="5"/>
        <v>120</v>
      </c>
    </row>
    <row r="27" spans="1:31" ht="23.25">
      <c r="A27" s="687" t="s">
        <v>19</v>
      </c>
      <c r="B27" s="688"/>
      <c r="C27" s="689"/>
      <c r="D27" s="377"/>
      <c r="E27" s="378">
        <f>E28+E29+E30</f>
        <v>76431.37</v>
      </c>
      <c r="F27" s="378">
        <f>SUM(F13:F26)</f>
        <v>50955.7</v>
      </c>
      <c r="G27" s="378">
        <f>G28+G29+G30</f>
        <v>23306</v>
      </c>
      <c r="H27" s="378">
        <f>SUM(H13:H17)</f>
        <v>0</v>
      </c>
      <c r="I27" s="378">
        <f>SUM(I13:I17)</f>
        <v>2169.67</v>
      </c>
      <c r="J27" s="378">
        <f>J28+J29+J30</f>
        <v>66549</v>
      </c>
      <c r="K27" s="378">
        <f>K28+K29</f>
        <v>43481</v>
      </c>
      <c r="L27" s="378">
        <f>L13+L14+L15+L16+L17+L18+L19+L20+L21+L22+L23+L24+L25+L26</f>
        <v>23068</v>
      </c>
      <c r="M27" s="378">
        <f>SUM(M13:M17)</f>
        <v>0</v>
      </c>
      <c r="N27" s="378">
        <f>SUM(N13:N17)</f>
        <v>0</v>
      </c>
      <c r="O27" s="378">
        <f>P27+Q27+R27+S27</f>
        <v>82957</v>
      </c>
      <c r="P27" s="378">
        <f>P28+P29</f>
        <v>58880</v>
      </c>
      <c r="Q27" s="378">
        <f>Q28+Q29+Q30</f>
        <v>24077</v>
      </c>
      <c r="R27" s="378">
        <f>SUM(R13:R17)</f>
        <v>0</v>
      </c>
      <c r="S27" s="378">
        <f>SUM(S13:S17)</f>
        <v>0</v>
      </c>
      <c r="T27" s="378">
        <f>SUM(T13:T26)</f>
        <v>24077</v>
      </c>
      <c r="U27" s="378">
        <f>SUM(U13:U26)</f>
        <v>0</v>
      </c>
      <c r="V27" s="378">
        <f>V28+V29+V30</f>
        <v>24077</v>
      </c>
      <c r="W27" s="378">
        <f>SUM(W13:W16)</f>
        <v>0</v>
      </c>
      <c r="X27" s="378">
        <f>SUM(X13:X16)</f>
        <v>0</v>
      </c>
      <c r="Y27" s="378">
        <f>Y28+Y29</f>
        <v>0</v>
      </c>
      <c r="Z27" s="378">
        <f>Z28+Z29+Z30</f>
        <v>0</v>
      </c>
      <c r="AA27" s="378">
        <f>AA28+AA29+AA30</f>
        <v>24077</v>
      </c>
      <c r="AB27" s="378">
        <f>SUM(AB13:AB17)</f>
        <v>0</v>
      </c>
      <c r="AC27" s="378">
        <f>SUM(AC13:AC17)</f>
        <v>0</v>
      </c>
      <c r="AD27" s="378">
        <f>AD28+AD29+AD30</f>
        <v>274091.37</v>
      </c>
    </row>
    <row r="28" spans="1:31" ht="23.25">
      <c r="A28" s="379" t="s">
        <v>14</v>
      </c>
      <c r="B28" s="396"/>
      <c r="C28" s="397"/>
      <c r="D28" s="380"/>
      <c r="E28" s="374">
        <f>F28+G28+H28+I28</f>
        <v>36295.369999999995</v>
      </c>
      <c r="F28" s="374">
        <f>F13+F14+F16</f>
        <v>34125.699999999997</v>
      </c>
      <c r="G28" s="374">
        <f>G13+G14+G16</f>
        <v>0</v>
      </c>
      <c r="H28" s="374">
        <f>G13+G14+G16</f>
        <v>0</v>
      </c>
      <c r="I28" s="374">
        <f>I14+I16</f>
        <v>2169.67</v>
      </c>
      <c r="J28" s="374">
        <f t="shared" ref="J28:V28" si="6">J13+J14+J16</f>
        <v>26292</v>
      </c>
      <c r="K28" s="374">
        <f t="shared" si="6"/>
        <v>26292</v>
      </c>
      <c r="L28" s="374">
        <f t="shared" si="6"/>
        <v>0</v>
      </c>
      <c r="M28" s="374">
        <f t="shared" si="6"/>
        <v>0</v>
      </c>
      <c r="N28" s="374">
        <f t="shared" si="6"/>
        <v>0</v>
      </c>
      <c r="O28" s="374">
        <f t="shared" si="6"/>
        <v>42513</v>
      </c>
      <c r="P28" s="374">
        <f t="shared" si="6"/>
        <v>42513</v>
      </c>
      <c r="Q28" s="374">
        <f t="shared" si="6"/>
        <v>0</v>
      </c>
      <c r="R28" s="374">
        <f t="shared" si="6"/>
        <v>0</v>
      </c>
      <c r="S28" s="374">
        <f t="shared" si="6"/>
        <v>0</v>
      </c>
      <c r="T28" s="374">
        <f t="shared" si="6"/>
        <v>0</v>
      </c>
      <c r="U28" s="374">
        <f t="shared" si="6"/>
        <v>0</v>
      </c>
      <c r="V28" s="374">
        <f t="shared" si="6"/>
        <v>0</v>
      </c>
      <c r="W28" s="374">
        <f>W13+W14+W16</f>
        <v>0</v>
      </c>
      <c r="X28" s="374">
        <f t="shared" ref="X28:AC28" si="7">X13+X14+X16</f>
        <v>0</v>
      </c>
      <c r="Y28" s="374">
        <f t="shared" si="7"/>
        <v>0</v>
      </c>
      <c r="Z28" s="374">
        <f>Z13+Z14+Z16</f>
        <v>0</v>
      </c>
      <c r="AA28" s="374">
        <f t="shared" si="7"/>
        <v>0</v>
      </c>
      <c r="AB28" s="374">
        <f t="shared" si="7"/>
        <v>0</v>
      </c>
      <c r="AC28" s="374">
        <f t="shared" si="7"/>
        <v>0</v>
      </c>
      <c r="AD28" s="374">
        <f>E28+J28+O28+T28+Y28</f>
        <v>105100.37</v>
      </c>
    </row>
    <row r="29" spans="1:31" ht="23.25">
      <c r="A29" s="379" t="s">
        <v>135</v>
      </c>
      <c r="B29" s="381"/>
      <c r="C29" s="382"/>
      <c r="D29" s="380"/>
      <c r="E29" s="374">
        <f>E15+E17+E18+E19+E20+E21+E22+E23+E26</f>
        <v>16830</v>
      </c>
      <c r="F29" s="374">
        <f>F15+F17+F18+F19+F20+F21+F22+F23+F26</f>
        <v>16830</v>
      </c>
      <c r="G29" s="374">
        <f>G15+G16</f>
        <v>0</v>
      </c>
      <c r="H29" s="374">
        <f>H15+H17+H18+H19+H20+H21+H22+H23+H26</f>
        <v>0</v>
      </c>
      <c r="I29" s="374">
        <f>I15+I17+I17+I18+I19+I20+I21+I22+I23+I26</f>
        <v>0</v>
      </c>
      <c r="J29" s="374">
        <f>J15+J17+J18+J19+J20+J21+J22+J23+J26</f>
        <v>17189</v>
      </c>
      <c r="K29" s="374">
        <f>K15+K17+K18+K19+K20+K21+K22+K23+K26</f>
        <v>17189</v>
      </c>
      <c r="L29" s="374">
        <f>L15+L17+L18+L19+L20+L21+L22+L23+L26</f>
        <v>0</v>
      </c>
      <c r="M29" s="374">
        <f>M24+M25</f>
        <v>0</v>
      </c>
      <c r="N29" s="374">
        <f>N24+N25</f>
        <v>0</v>
      </c>
      <c r="O29" s="374">
        <f>O15+O17+O18+O19+O20+O21+O22+O23+O26</f>
        <v>16367</v>
      </c>
      <c r="P29" s="374">
        <f>P15+P17+P18+P19+P20+P21+P22+P23+P26</f>
        <v>16367</v>
      </c>
      <c r="Q29" s="374">
        <f t="shared" ref="Q29:AC29" si="8">Q15+Q17+Q18+Q19+Q20+Q21+Q22+Q23+Q26</f>
        <v>0</v>
      </c>
      <c r="R29" s="374">
        <f t="shared" si="8"/>
        <v>0</v>
      </c>
      <c r="S29" s="374">
        <f t="shared" si="8"/>
        <v>0</v>
      </c>
      <c r="T29" s="374">
        <f t="shared" si="8"/>
        <v>0</v>
      </c>
      <c r="U29" s="374">
        <f>U15+U17+U18+U19+U20+U21+U22+U23+U26</f>
        <v>0</v>
      </c>
      <c r="V29" s="374">
        <f t="shared" si="8"/>
        <v>0</v>
      </c>
      <c r="W29" s="374">
        <f t="shared" si="8"/>
        <v>0</v>
      </c>
      <c r="X29" s="374">
        <f t="shared" si="8"/>
        <v>0</v>
      </c>
      <c r="Y29" s="374">
        <f t="shared" si="8"/>
        <v>0</v>
      </c>
      <c r="Z29" s="374">
        <f>Z15+Z17+Z18+Z19+Z20+Z21+Z22+Z23+Z26</f>
        <v>0</v>
      </c>
      <c r="AA29" s="374">
        <f t="shared" si="8"/>
        <v>0</v>
      </c>
      <c r="AB29" s="374">
        <f t="shared" si="8"/>
        <v>0</v>
      </c>
      <c r="AC29" s="374">
        <f t="shared" si="8"/>
        <v>0</v>
      </c>
      <c r="AD29" s="374">
        <f>E29+J29+O29+T29+Y29</f>
        <v>50386</v>
      </c>
      <c r="AE29" s="344"/>
    </row>
    <row r="30" spans="1:31" ht="23.25">
      <c r="A30" s="396" t="s">
        <v>73</v>
      </c>
      <c r="B30" s="397"/>
      <c r="C30" s="397"/>
      <c r="D30" s="383"/>
      <c r="E30" s="374">
        <f t="shared" ref="E30:S30" si="9">E24+E25</f>
        <v>23306</v>
      </c>
      <c r="F30" s="374">
        <f t="shared" si="9"/>
        <v>0</v>
      </c>
      <c r="G30" s="374">
        <f t="shared" si="9"/>
        <v>23306</v>
      </c>
      <c r="H30" s="374">
        <f t="shared" si="9"/>
        <v>0</v>
      </c>
      <c r="I30" s="374">
        <f t="shared" si="9"/>
        <v>0</v>
      </c>
      <c r="J30" s="374">
        <f t="shared" si="9"/>
        <v>23068</v>
      </c>
      <c r="K30" s="374">
        <f t="shared" si="9"/>
        <v>0</v>
      </c>
      <c r="L30" s="374">
        <f t="shared" si="9"/>
        <v>23068</v>
      </c>
      <c r="M30" s="374">
        <f t="shared" si="9"/>
        <v>0</v>
      </c>
      <c r="N30" s="374">
        <f t="shared" si="9"/>
        <v>0</v>
      </c>
      <c r="O30" s="374">
        <f t="shared" si="9"/>
        <v>24077</v>
      </c>
      <c r="P30" s="374">
        <f t="shared" si="9"/>
        <v>0</v>
      </c>
      <c r="Q30" s="374">
        <f>Q24+Q25</f>
        <v>24077</v>
      </c>
      <c r="R30" s="374">
        <f t="shared" si="9"/>
        <v>0</v>
      </c>
      <c r="S30" s="374">
        <f t="shared" si="9"/>
        <v>0</v>
      </c>
      <c r="T30" s="374">
        <f>T24+T25</f>
        <v>24077</v>
      </c>
      <c r="U30" s="374">
        <f>U25+U24</f>
        <v>0</v>
      </c>
      <c r="V30" s="374">
        <f>V24+V25</f>
        <v>24077</v>
      </c>
      <c r="W30" s="374">
        <f t="shared" ref="W30:AC30" si="10">W24+W25</f>
        <v>0</v>
      </c>
      <c r="X30" s="374">
        <f t="shared" si="10"/>
        <v>0</v>
      </c>
      <c r="Y30" s="374">
        <f t="shared" si="10"/>
        <v>24077</v>
      </c>
      <c r="Z30" s="374">
        <f t="shared" si="10"/>
        <v>0</v>
      </c>
      <c r="AA30" s="374">
        <f t="shared" si="10"/>
        <v>24077</v>
      </c>
      <c r="AB30" s="374">
        <f t="shared" si="10"/>
        <v>0</v>
      </c>
      <c r="AC30" s="374">
        <f t="shared" si="10"/>
        <v>0</v>
      </c>
      <c r="AD30" s="374">
        <f>E30+J30+O30+T30+Y30</f>
        <v>118605</v>
      </c>
      <c r="AE30" s="344"/>
    </row>
    <row r="31" spans="1:31" ht="23.25" customHeight="1">
      <c r="A31" s="384" t="s">
        <v>222</v>
      </c>
      <c r="B31" s="690" t="s">
        <v>308</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2"/>
    </row>
    <row r="32" spans="1:31" ht="93">
      <c r="A32" s="323" t="s">
        <v>21</v>
      </c>
      <c r="B32" s="346" t="s">
        <v>192</v>
      </c>
      <c r="C32" s="322" t="s">
        <v>94</v>
      </c>
      <c r="D32" s="322" t="s">
        <v>93</v>
      </c>
      <c r="E32" s="299">
        <f>F32+G32+H32+I32</f>
        <v>1892</v>
      </c>
      <c r="F32" s="299">
        <f>2664-772</f>
        <v>1892</v>
      </c>
      <c r="G32" s="299">
        <v>0</v>
      </c>
      <c r="H32" s="299">
        <v>0</v>
      </c>
      <c r="I32" s="299">
        <v>0</v>
      </c>
      <c r="J32" s="299">
        <f>K32+L32+M32+N32</f>
        <v>1072</v>
      </c>
      <c r="K32" s="299">
        <f>1892-286-534</f>
        <v>1072</v>
      </c>
      <c r="L32" s="299">
        <v>0</v>
      </c>
      <c r="M32" s="299">
        <v>0</v>
      </c>
      <c r="N32" s="299">
        <v>0</v>
      </c>
      <c r="O32" s="299">
        <f>P32+Q32+R32+S32</f>
        <v>1633</v>
      </c>
      <c r="P32" s="299">
        <v>1633</v>
      </c>
      <c r="Q32" s="299">
        <v>0</v>
      </c>
      <c r="R32" s="299">
        <v>0</v>
      </c>
      <c r="S32" s="299">
        <v>0</v>
      </c>
      <c r="T32" s="299">
        <f>U32+V32+W32+X32</f>
        <v>0</v>
      </c>
      <c r="U32" s="299">
        <v>0</v>
      </c>
      <c r="V32" s="299">
        <v>0</v>
      </c>
      <c r="W32" s="299">
        <v>0</v>
      </c>
      <c r="X32" s="299">
        <v>0</v>
      </c>
      <c r="Y32" s="299">
        <f>Z32+AA32+AB32+AC32</f>
        <v>0</v>
      </c>
      <c r="Z32" s="299">
        <v>0</v>
      </c>
      <c r="AA32" s="299">
        <v>0</v>
      </c>
      <c r="AB32" s="299">
        <v>0</v>
      </c>
      <c r="AC32" s="299">
        <v>0</v>
      </c>
      <c r="AD32" s="299">
        <f>E32+J32+O32+T32+Y32</f>
        <v>4597</v>
      </c>
    </row>
    <row r="33" spans="1:31" ht="20.25">
      <c r="A33" s="655" t="s">
        <v>22</v>
      </c>
      <c r="B33" s="656"/>
      <c r="C33" s="657"/>
      <c r="D33" s="347"/>
      <c r="E33" s="326">
        <f>E32</f>
        <v>1892</v>
      </c>
      <c r="F33" s="326">
        <f>SUM(F32)</f>
        <v>1892</v>
      </c>
      <c r="G33" s="326">
        <f t="shared" ref="G33:AD33" si="11">SUM(G32:G32)</f>
        <v>0</v>
      </c>
      <c r="H33" s="326">
        <f t="shared" si="11"/>
        <v>0</v>
      </c>
      <c r="I33" s="326">
        <f t="shared" si="11"/>
        <v>0</v>
      </c>
      <c r="J33" s="326">
        <f>J32</f>
        <v>1072</v>
      </c>
      <c r="K33" s="326">
        <f t="shared" si="11"/>
        <v>1072</v>
      </c>
      <c r="L33" s="326">
        <f t="shared" si="11"/>
        <v>0</v>
      </c>
      <c r="M33" s="326">
        <f t="shared" si="11"/>
        <v>0</v>
      </c>
      <c r="N33" s="326">
        <f t="shared" si="11"/>
        <v>0</v>
      </c>
      <c r="O33" s="326">
        <f t="shared" si="11"/>
        <v>1633</v>
      </c>
      <c r="P33" s="326">
        <f t="shared" si="11"/>
        <v>1633</v>
      </c>
      <c r="Q33" s="326">
        <f t="shared" si="11"/>
        <v>0</v>
      </c>
      <c r="R33" s="326">
        <f t="shared" si="11"/>
        <v>0</v>
      </c>
      <c r="S33" s="326">
        <f t="shared" si="11"/>
        <v>0</v>
      </c>
      <c r="T33" s="326">
        <f t="shared" si="11"/>
        <v>0</v>
      </c>
      <c r="U33" s="326">
        <f t="shared" si="11"/>
        <v>0</v>
      </c>
      <c r="V33" s="326">
        <f t="shared" si="11"/>
        <v>0</v>
      </c>
      <c r="W33" s="326">
        <f t="shared" si="11"/>
        <v>0</v>
      </c>
      <c r="X33" s="326">
        <f t="shared" si="11"/>
        <v>0</v>
      </c>
      <c r="Y33" s="326">
        <f t="shared" si="11"/>
        <v>0</v>
      </c>
      <c r="Z33" s="326">
        <f t="shared" si="11"/>
        <v>0</v>
      </c>
      <c r="AA33" s="326">
        <f t="shared" si="11"/>
        <v>0</v>
      </c>
      <c r="AB33" s="326">
        <f t="shared" si="11"/>
        <v>0</v>
      </c>
      <c r="AC33" s="326">
        <f t="shared" si="11"/>
        <v>0</v>
      </c>
      <c r="AD33" s="326">
        <f t="shared" si="11"/>
        <v>4597</v>
      </c>
    </row>
    <row r="34" spans="1:31" ht="20.25">
      <c r="A34" s="322" t="s">
        <v>229</v>
      </c>
      <c r="B34" s="658" t="s">
        <v>277</v>
      </c>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60"/>
    </row>
    <row r="35" spans="1:31" ht="46.5">
      <c r="A35" s="323" t="s">
        <v>24</v>
      </c>
      <c r="B35" s="346" t="s">
        <v>288</v>
      </c>
      <c r="C35" s="331" t="s">
        <v>94</v>
      </c>
      <c r="D35" s="322" t="s">
        <v>93</v>
      </c>
      <c r="E35" s="299">
        <f>F35+G35+H35+I35</f>
        <v>2949</v>
      </c>
      <c r="F35" s="299">
        <v>2949</v>
      </c>
      <c r="G35" s="299">
        <v>0</v>
      </c>
      <c r="H35" s="299">
        <v>0</v>
      </c>
      <c r="I35" s="299">
        <v>0</v>
      </c>
      <c r="J35" s="299">
        <f>K35+L35+M35+N35</f>
        <v>2313</v>
      </c>
      <c r="K35" s="299">
        <f>1775+587-49</f>
        <v>2313</v>
      </c>
      <c r="L35" s="299">
        <v>0</v>
      </c>
      <c r="M35" s="299">
        <v>0</v>
      </c>
      <c r="N35" s="299">
        <v>0</v>
      </c>
      <c r="O35" s="299">
        <f xml:space="preserve"> SUM(P35:S35)</f>
        <v>2362</v>
      </c>
      <c r="P35" s="299">
        <v>2362</v>
      </c>
      <c r="Q35" s="299">
        <f>SUM(Q36,Q37,Q38,Q39)</f>
        <v>0</v>
      </c>
      <c r="R35" s="299">
        <f>SUM(R36,R37,R38,R39)</f>
        <v>0</v>
      </c>
      <c r="S35" s="299">
        <f>SUM(S36,S37,S38,S39)</f>
        <v>0</v>
      </c>
      <c r="T35" s="299">
        <f xml:space="preserve"> SUM(U35:X35)</f>
        <v>0</v>
      </c>
      <c r="U35" s="299">
        <v>0</v>
      </c>
      <c r="V35" s="299">
        <f>SUM(V36,V37,V38,V39)</f>
        <v>0</v>
      </c>
      <c r="W35" s="299">
        <f>SUM(W36,W37,W38,W39)</f>
        <v>0</v>
      </c>
      <c r="X35" s="299">
        <f>SUM(X36,X37,X38,X39)</f>
        <v>0</v>
      </c>
      <c r="Y35" s="299">
        <f xml:space="preserve"> SUM(Z35:AC35)</f>
        <v>0</v>
      </c>
      <c r="Z35" s="299">
        <v>0</v>
      </c>
      <c r="AA35" s="299">
        <f>SUM(AA36,AA37,AA38,AA39)</f>
        <v>0</v>
      </c>
      <c r="AB35" s="299">
        <f>SUM(AB36,AB37,AB38,AB39)</f>
        <v>0</v>
      </c>
      <c r="AC35" s="299">
        <f>SUM(AC36,AC37,AC38,AC39)</f>
        <v>0</v>
      </c>
      <c r="AD35" s="299">
        <f>E35+J35+O35+T35+Y35</f>
        <v>7624</v>
      </c>
    </row>
    <row r="36" spans="1:31" ht="139.5">
      <c r="A36" s="323" t="s">
        <v>151</v>
      </c>
      <c r="B36" s="330" t="s">
        <v>76</v>
      </c>
      <c r="C36" s="331" t="s">
        <v>94</v>
      </c>
      <c r="D36" s="322" t="s">
        <v>93</v>
      </c>
      <c r="E36" s="299">
        <f t="shared" ref="E36:E46" si="12">F36+G36+H36+I36</f>
        <v>9</v>
      </c>
      <c r="F36" s="299">
        <v>9</v>
      </c>
      <c r="G36" s="299">
        <v>0</v>
      </c>
      <c r="H36" s="299">
        <v>0</v>
      </c>
      <c r="I36" s="299">
        <v>0</v>
      </c>
      <c r="J36" s="299">
        <f t="shared" ref="J36:J46" si="13">K36+L36+M36+N36</f>
        <v>9</v>
      </c>
      <c r="K36" s="299">
        <v>9</v>
      </c>
      <c r="L36" s="299">
        <v>0</v>
      </c>
      <c r="M36" s="299">
        <v>0</v>
      </c>
      <c r="N36" s="299">
        <v>0</v>
      </c>
      <c r="O36" s="299">
        <f t="shared" ref="O36:O46" si="14">P36+Q36+R36+S36</f>
        <v>9</v>
      </c>
      <c r="P36" s="299">
        <v>9</v>
      </c>
      <c r="Q36" s="299">
        <v>0</v>
      </c>
      <c r="R36" s="299">
        <v>0</v>
      </c>
      <c r="S36" s="299">
        <v>0</v>
      </c>
      <c r="T36" s="299">
        <f t="shared" ref="T36:T46" si="15">U36+V36+W36+X36</f>
        <v>0</v>
      </c>
      <c r="U36" s="299">
        <v>0</v>
      </c>
      <c r="V36" s="299">
        <v>0</v>
      </c>
      <c r="W36" s="299">
        <v>0</v>
      </c>
      <c r="X36" s="299">
        <v>0</v>
      </c>
      <c r="Y36" s="299">
        <f t="shared" ref="Y36:Y46" si="16">Z36+AA36+AB36+AC36</f>
        <v>0</v>
      </c>
      <c r="Z36" s="299">
        <v>0</v>
      </c>
      <c r="AA36" s="299">
        <v>0</v>
      </c>
      <c r="AB36" s="299">
        <v>0</v>
      </c>
      <c r="AC36" s="299">
        <v>0</v>
      </c>
      <c r="AD36" s="299">
        <f t="shared" ref="AD36:AD48" si="17">E36+J36+O36+T36+Y36</f>
        <v>27</v>
      </c>
    </row>
    <row r="37" spans="1:31" ht="37.5">
      <c r="A37" s="323" t="s">
        <v>235</v>
      </c>
      <c r="B37" s="330" t="s">
        <v>71</v>
      </c>
      <c r="C37" s="322" t="s">
        <v>94</v>
      </c>
      <c r="D37" s="322" t="s">
        <v>168</v>
      </c>
      <c r="E37" s="299">
        <f t="shared" si="12"/>
        <v>426</v>
      </c>
      <c r="F37" s="299">
        <v>426</v>
      </c>
      <c r="G37" s="299">
        <v>0</v>
      </c>
      <c r="H37" s="299">
        <v>0</v>
      </c>
      <c r="I37" s="299">
        <v>0</v>
      </c>
      <c r="J37" s="299">
        <f t="shared" si="13"/>
        <v>0</v>
      </c>
      <c r="K37" s="299">
        <v>0</v>
      </c>
      <c r="L37" s="299">
        <v>0</v>
      </c>
      <c r="M37" s="299">
        <v>0</v>
      </c>
      <c r="N37" s="299">
        <v>0</v>
      </c>
      <c r="O37" s="299">
        <f t="shared" si="14"/>
        <v>0</v>
      </c>
      <c r="P37" s="299">
        <v>0</v>
      </c>
      <c r="Q37" s="299">
        <v>0</v>
      </c>
      <c r="R37" s="299">
        <v>0</v>
      </c>
      <c r="S37" s="299">
        <v>0</v>
      </c>
      <c r="T37" s="299">
        <f t="shared" si="15"/>
        <v>0</v>
      </c>
      <c r="U37" s="299">
        <v>0</v>
      </c>
      <c r="V37" s="299">
        <v>0</v>
      </c>
      <c r="W37" s="299">
        <v>0</v>
      </c>
      <c r="X37" s="299">
        <v>0</v>
      </c>
      <c r="Y37" s="299">
        <f t="shared" si="16"/>
        <v>0</v>
      </c>
      <c r="Z37" s="299">
        <v>0</v>
      </c>
      <c r="AA37" s="299">
        <v>0</v>
      </c>
      <c r="AB37" s="299">
        <v>0</v>
      </c>
      <c r="AC37" s="299">
        <v>0</v>
      </c>
      <c r="AD37" s="299">
        <f>E37+J37+O37+T37+Y37</f>
        <v>426</v>
      </c>
    </row>
    <row r="38" spans="1:31" ht="23.25" customHeight="1">
      <c r="A38" s="323" t="s">
        <v>236</v>
      </c>
      <c r="B38" s="330" t="s">
        <v>110</v>
      </c>
      <c r="C38" s="685" t="s">
        <v>105</v>
      </c>
      <c r="D38" s="322" t="s">
        <v>93</v>
      </c>
      <c r="E38" s="299">
        <f t="shared" si="12"/>
        <v>3304</v>
      </c>
      <c r="F38" s="299">
        <v>3304</v>
      </c>
      <c r="G38" s="299">
        <v>0</v>
      </c>
      <c r="H38" s="299">
        <v>0</v>
      </c>
      <c r="I38" s="299">
        <v>0</v>
      </c>
      <c r="J38" s="299">
        <f t="shared" si="13"/>
        <v>3080</v>
      </c>
      <c r="K38" s="299">
        <f>3304-224</f>
        <v>3080</v>
      </c>
      <c r="L38" s="299">
        <v>0</v>
      </c>
      <c r="M38" s="299">
        <v>0</v>
      </c>
      <c r="N38" s="299">
        <v>0</v>
      </c>
      <c r="O38" s="299">
        <f t="shared" si="14"/>
        <v>2968</v>
      </c>
      <c r="P38" s="299">
        <v>2968</v>
      </c>
      <c r="Q38" s="299">
        <v>0</v>
      </c>
      <c r="R38" s="299">
        <v>0</v>
      </c>
      <c r="S38" s="299">
        <v>0</v>
      </c>
      <c r="T38" s="299">
        <f t="shared" si="15"/>
        <v>0</v>
      </c>
      <c r="U38" s="299">
        <v>0</v>
      </c>
      <c r="V38" s="299">
        <v>0</v>
      </c>
      <c r="W38" s="299">
        <v>0</v>
      </c>
      <c r="X38" s="299">
        <v>0</v>
      </c>
      <c r="Y38" s="299">
        <f t="shared" si="16"/>
        <v>0</v>
      </c>
      <c r="Z38" s="299">
        <v>0</v>
      </c>
      <c r="AA38" s="299">
        <v>0</v>
      </c>
      <c r="AB38" s="299">
        <v>0</v>
      </c>
      <c r="AC38" s="299">
        <v>0</v>
      </c>
      <c r="AD38" s="299">
        <f>E38+J38+O38+T38+Y38</f>
        <v>9352</v>
      </c>
    </row>
    <row r="39" spans="1:31" ht="93">
      <c r="A39" s="323" t="s">
        <v>237</v>
      </c>
      <c r="B39" s="330" t="s">
        <v>191</v>
      </c>
      <c r="C39" s="686"/>
      <c r="D39" s="322" t="s">
        <v>283</v>
      </c>
      <c r="E39" s="299">
        <f t="shared" si="12"/>
        <v>378</v>
      </c>
      <c r="F39" s="299">
        <v>378</v>
      </c>
      <c r="G39" s="299">
        <v>0</v>
      </c>
      <c r="H39" s="299">
        <v>0</v>
      </c>
      <c r="I39" s="299">
        <v>0</v>
      </c>
      <c r="J39" s="299">
        <f t="shared" si="13"/>
        <v>419</v>
      </c>
      <c r="K39" s="299">
        <f>324+95</f>
        <v>419</v>
      </c>
      <c r="L39" s="299">
        <v>0</v>
      </c>
      <c r="M39" s="299">
        <v>0</v>
      </c>
      <c r="N39" s="299">
        <v>0</v>
      </c>
      <c r="O39" s="299">
        <f t="shared" si="14"/>
        <v>495</v>
      </c>
      <c r="P39" s="299">
        <v>495</v>
      </c>
      <c r="Q39" s="299">
        <v>0</v>
      </c>
      <c r="R39" s="299">
        <v>0</v>
      </c>
      <c r="S39" s="299">
        <v>0</v>
      </c>
      <c r="T39" s="299">
        <f t="shared" si="15"/>
        <v>0</v>
      </c>
      <c r="U39" s="299">
        <v>0</v>
      </c>
      <c r="V39" s="299">
        <v>0</v>
      </c>
      <c r="W39" s="299">
        <v>0</v>
      </c>
      <c r="X39" s="299">
        <v>0</v>
      </c>
      <c r="Y39" s="299">
        <f t="shared" si="16"/>
        <v>0</v>
      </c>
      <c r="Z39" s="299">
        <v>0</v>
      </c>
      <c r="AA39" s="299">
        <v>0</v>
      </c>
      <c r="AB39" s="299">
        <v>0</v>
      </c>
      <c r="AC39" s="299">
        <v>0</v>
      </c>
      <c r="AD39" s="299">
        <f>E39+J39+O39+T39+Y39</f>
        <v>1292</v>
      </c>
    </row>
    <row r="40" spans="1:31" ht="93">
      <c r="A40" s="323" t="s">
        <v>238</v>
      </c>
      <c r="B40" s="330" t="s">
        <v>77</v>
      </c>
      <c r="C40" s="331" t="s">
        <v>94</v>
      </c>
      <c r="D40" s="322" t="s">
        <v>93</v>
      </c>
      <c r="E40" s="299">
        <f t="shared" si="12"/>
        <v>12</v>
      </c>
      <c r="F40" s="299">
        <v>12</v>
      </c>
      <c r="G40" s="299">
        <v>0</v>
      </c>
      <c r="H40" s="299">
        <v>0</v>
      </c>
      <c r="I40" s="299">
        <v>0</v>
      </c>
      <c r="J40" s="299">
        <f t="shared" si="13"/>
        <v>12</v>
      </c>
      <c r="K40" s="299">
        <v>12</v>
      </c>
      <c r="L40" s="299">
        <v>0</v>
      </c>
      <c r="M40" s="299">
        <v>0</v>
      </c>
      <c r="N40" s="299">
        <v>0</v>
      </c>
      <c r="O40" s="299">
        <f t="shared" si="14"/>
        <v>12</v>
      </c>
      <c r="P40" s="299">
        <v>12</v>
      </c>
      <c r="Q40" s="299">
        <v>0</v>
      </c>
      <c r="R40" s="299">
        <v>0</v>
      </c>
      <c r="S40" s="299">
        <v>0</v>
      </c>
      <c r="T40" s="299">
        <f t="shared" si="15"/>
        <v>0</v>
      </c>
      <c r="U40" s="299">
        <v>0</v>
      </c>
      <c r="V40" s="299">
        <v>0</v>
      </c>
      <c r="W40" s="299">
        <v>0</v>
      </c>
      <c r="X40" s="299">
        <v>0</v>
      </c>
      <c r="Y40" s="299">
        <f t="shared" si="16"/>
        <v>0</v>
      </c>
      <c r="Z40" s="299">
        <v>0</v>
      </c>
      <c r="AA40" s="299">
        <v>0</v>
      </c>
      <c r="AB40" s="299">
        <v>0</v>
      </c>
      <c r="AC40" s="299">
        <v>0</v>
      </c>
      <c r="AD40" s="299">
        <f t="shared" si="17"/>
        <v>36</v>
      </c>
    </row>
    <row r="41" spans="1:31" ht="93" customHeight="1">
      <c r="A41" s="323" t="s">
        <v>239</v>
      </c>
      <c r="B41" s="330" t="s">
        <v>265</v>
      </c>
      <c r="C41" s="661" t="s">
        <v>105</v>
      </c>
      <c r="D41" s="322" t="s">
        <v>168</v>
      </c>
      <c r="E41" s="299">
        <f t="shared" si="12"/>
        <v>50</v>
      </c>
      <c r="F41" s="299">
        <v>50</v>
      </c>
      <c r="G41" s="299">
        <v>0</v>
      </c>
      <c r="H41" s="299">
        <v>0</v>
      </c>
      <c r="I41" s="299">
        <v>0</v>
      </c>
      <c r="J41" s="299">
        <f t="shared" si="13"/>
        <v>0</v>
      </c>
      <c r="K41" s="299">
        <v>0</v>
      </c>
      <c r="L41" s="299">
        <v>0</v>
      </c>
      <c r="M41" s="299">
        <v>0</v>
      </c>
      <c r="N41" s="299">
        <v>0</v>
      </c>
      <c r="O41" s="299">
        <f t="shared" si="14"/>
        <v>0</v>
      </c>
      <c r="P41" s="299">
        <v>0</v>
      </c>
      <c r="Q41" s="299">
        <v>0</v>
      </c>
      <c r="R41" s="299">
        <v>0</v>
      </c>
      <c r="S41" s="299">
        <v>0</v>
      </c>
      <c r="T41" s="299">
        <f t="shared" si="15"/>
        <v>0</v>
      </c>
      <c r="U41" s="299">
        <v>0</v>
      </c>
      <c r="V41" s="299">
        <v>0</v>
      </c>
      <c r="W41" s="299">
        <v>0</v>
      </c>
      <c r="X41" s="299">
        <v>0</v>
      </c>
      <c r="Y41" s="299">
        <f t="shared" si="16"/>
        <v>0</v>
      </c>
      <c r="Z41" s="299">
        <v>0</v>
      </c>
      <c r="AA41" s="299">
        <v>0</v>
      </c>
      <c r="AB41" s="299">
        <v>0</v>
      </c>
      <c r="AC41" s="299">
        <v>0</v>
      </c>
      <c r="AD41" s="299">
        <f t="shared" si="17"/>
        <v>50</v>
      </c>
    </row>
    <row r="42" spans="1:31" ht="69.75">
      <c r="A42" s="323" t="s">
        <v>240</v>
      </c>
      <c r="B42" s="330" t="s">
        <v>111</v>
      </c>
      <c r="C42" s="662"/>
      <c r="D42" s="322" t="s">
        <v>168</v>
      </c>
      <c r="E42" s="299">
        <f t="shared" si="12"/>
        <v>50</v>
      </c>
      <c r="F42" s="299">
        <v>50</v>
      </c>
      <c r="G42" s="299">
        <v>0</v>
      </c>
      <c r="H42" s="299">
        <v>0</v>
      </c>
      <c r="I42" s="299">
        <v>0</v>
      </c>
      <c r="J42" s="299">
        <f t="shared" si="13"/>
        <v>50</v>
      </c>
      <c r="K42" s="299">
        <v>50</v>
      </c>
      <c r="L42" s="299">
        <v>0</v>
      </c>
      <c r="M42" s="299">
        <v>0</v>
      </c>
      <c r="N42" s="299">
        <v>0</v>
      </c>
      <c r="O42" s="299">
        <f t="shared" si="14"/>
        <v>50</v>
      </c>
      <c r="P42" s="299">
        <v>50</v>
      </c>
      <c r="Q42" s="299">
        <v>0</v>
      </c>
      <c r="R42" s="299">
        <v>0</v>
      </c>
      <c r="S42" s="299">
        <v>0</v>
      </c>
      <c r="T42" s="299">
        <f t="shared" si="15"/>
        <v>0</v>
      </c>
      <c r="U42" s="299">
        <v>0</v>
      </c>
      <c r="V42" s="299">
        <v>0</v>
      </c>
      <c r="W42" s="299">
        <v>0</v>
      </c>
      <c r="X42" s="299">
        <v>0</v>
      </c>
      <c r="Y42" s="299">
        <f t="shared" si="16"/>
        <v>0</v>
      </c>
      <c r="Z42" s="299">
        <v>0</v>
      </c>
      <c r="AA42" s="299">
        <v>0</v>
      </c>
      <c r="AB42" s="299">
        <v>0</v>
      </c>
      <c r="AC42" s="299">
        <v>0</v>
      </c>
      <c r="AD42" s="299">
        <f t="shared" si="17"/>
        <v>150</v>
      </c>
    </row>
    <row r="43" spans="1:31" ht="93">
      <c r="A43" s="323" t="s">
        <v>241</v>
      </c>
      <c r="B43" s="330" t="s">
        <v>112</v>
      </c>
      <c r="C43" s="662"/>
      <c r="D43" s="322" t="s">
        <v>93</v>
      </c>
      <c r="E43" s="299">
        <f t="shared" si="12"/>
        <v>810</v>
      </c>
      <c r="F43" s="299">
        <f>480+330</f>
        <v>810</v>
      </c>
      <c r="G43" s="299">
        <v>0</v>
      </c>
      <c r="H43" s="299">
        <v>0</v>
      </c>
      <c r="I43" s="299">
        <v>0</v>
      </c>
      <c r="J43" s="299">
        <f>K43+L43+M43+N43</f>
        <v>770</v>
      </c>
      <c r="K43" s="299">
        <f>720+50</f>
        <v>770</v>
      </c>
      <c r="L43" s="299">
        <v>0</v>
      </c>
      <c r="M43" s="299">
        <v>0</v>
      </c>
      <c r="N43" s="299">
        <v>0</v>
      </c>
      <c r="O43" s="299">
        <f t="shared" si="14"/>
        <v>720</v>
      </c>
      <c r="P43" s="299">
        <v>720</v>
      </c>
      <c r="Q43" s="299">
        <v>0</v>
      </c>
      <c r="R43" s="299">
        <v>0</v>
      </c>
      <c r="S43" s="299">
        <v>0</v>
      </c>
      <c r="T43" s="299">
        <f t="shared" si="15"/>
        <v>0</v>
      </c>
      <c r="U43" s="299">
        <v>0</v>
      </c>
      <c r="V43" s="299">
        <v>0</v>
      </c>
      <c r="W43" s="299">
        <v>0</v>
      </c>
      <c r="X43" s="299">
        <v>0</v>
      </c>
      <c r="Y43" s="299">
        <f t="shared" si="16"/>
        <v>0</v>
      </c>
      <c r="Z43" s="299">
        <v>0</v>
      </c>
      <c r="AA43" s="299">
        <v>0</v>
      </c>
      <c r="AB43" s="299">
        <v>0</v>
      </c>
      <c r="AC43" s="299">
        <v>0</v>
      </c>
      <c r="AD43" s="299">
        <f>E43+J43+O43+T43+Y43</f>
        <v>2300</v>
      </c>
    </row>
    <row r="44" spans="1:31" ht="116.25">
      <c r="A44" s="348" t="s">
        <v>242</v>
      </c>
      <c r="B44" s="330" t="s">
        <v>113</v>
      </c>
      <c r="C44" s="662"/>
      <c r="D44" s="322" t="s">
        <v>168</v>
      </c>
      <c r="E44" s="299">
        <f t="shared" si="12"/>
        <v>30</v>
      </c>
      <c r="F44" s="299">
        <v>30</v>
      </c>
      <c r="G44" s="299">
        <v>0</v>
      </c>
      <c r="H44" s="299">
        <v>0</v>
      </c>
      <c r="I44" s="299">
        <v>0</v>
      </c>
      <c r="J44" s="299">
        <f t="shared" si="13"/>
        <v>10</v>
      </c>
      <c r="K44" s="299">
        <v>10</v>
      </c>
      <c r="L44" s="299">
        <v>0</v>
      </c>
      <c r="M44" s="299">
        <v>0</v>
      </c>
      <c r="N44" s="299">
        <v>0</v>
      </c>
      <c r="O44" s="299">
        <f t="shared" si="14"/>
        <v>10</v>
      </c>
      <c r="P44" s="299">
        <v>10</v>
      </c>
      <c r="Q44" s="299">
        <v>0</v>
      </c>
      <c r="R44" s="299">
        <v>0</v>
      </c>
      <c r="S44" s="299">
        <v>0</v>
      </c>
      <c r="T44" s="299">
        <f t="shared" si="15"/>
        <v>0</v>
      </c>
      <c r="U44" s="299">
        <v>0</v>
      </c>
      <c r="V44" s="299">
        <v>0</v>
      </c>
      <c r="W44" s="299">
        <v>0</v>
      </c>
      <c r="X44" s="299">
        <v>0</v>
      </c>
      <c r="Y44" s="299">
        <f t="shared" si="16"/>
        <v>0</v>
      </c>
      <c r="Z44" s="299">
        <v>0</v>
      </c>
      <c r="AA44" s="299">
        <v>0</v>
      </c>
      <c r="AB44" s="299">
        <v>0</v>
      </c>
      <c r="AC44" s="299">
        <v>0</v>
      </c>
      <c r="AD44" s="299">
        <f t="shared" si="17"/>
        <v>50</v>
      </c>
    </row>
    <row r="45" spans="1:31" ht="69.75">
      <c r="A45" s="323" t="s">
        <v>243</v>
      </c>
      <c r="B45" s="330" t="s">
        <v>114</v>
      </c>
      <c r="C45" s="663"/>
      <c r="D45" s="322" t="s">
        <v>168</v>
      </c>
      <c r="E45" s="299">
        <f t="shared" si="12"/>
        <v>50</v>
      </c>
      <c r="F45" s="299">
        <v>50</v>
      </c>
      <c r="G45" s="299">
        <v>0</v>
      </c>
      <c r="H45" s="299">
        <v>0</v>
      </c>
      <c r="I45" s="299">
        <v>0</v>
      </c>
      <c r="J45" s="299">
        <f t="shared" si="13"/>
        <v>50</v>
      </c>
      <c r="K45" s="299">
        <v>50</v>
      </c>
      <c r="L45" s="299">
        <v>0</v>
      </c>
      <c r="M45" s="299">
        <v>0</v>
      </c>
      <c r="N45" s="299">
        <v>0</v>
      </c>
      <c r="O45" s="299">
        <f t="shared" si="14"/>
        <v>100</v>
      </c>
      <c r="P45" s="299">
        <v>100</v>
      </c>
      <c r="Q45" s="299">
        <v>0</v>
      </c>
      <c r="R45" s="299">
        <v>0</v>
      </c>
      <c r="S45" s="299">
        <v>0</v>
      </c>
      <c r="T45" s="299">
        <f t="shared" si="15"/>
        <v>0</v>
      </c>
      <c r="U45" s="299">
        <v>0</v>
      </c>
      <c r="V45" s="299">
        <v>0</v>
      </c>
      <c r="W45" s="299">
        <v>0</v>
      </c>
      <c r="X45" s="299">
        <v>0</v>
      </c>
      <c r="Y45" s="299">
        <f t="shared" si="16"/>
        <v>0</v>
      </c>
      <c r="Z45" s="299">
        <v>0</v>
      </c>
      <c r="AA45" s="299">
        <v>0</v>
      </c>
      <c r="AB45" s="299">
        <v>0</v>
      </c>
      <c r="AC45" s="299">
        <v>0</v>
      </c>
      <c r="AD45" s="299">
        <f t="shared" si="17"/>
        <v>200</v>
      </c>
    </row>
    <row r="46" spans="1:31" ht="69.75">
      <c r="A46" s="323" t="s">
        <v>244</v>
      </c>
      <c r="B46" s="330" t="s">
        <v>78</v>
      </c>
      <c r="C46" s="322" t="s">
        <v>18</v>
      </c>
      <c r="D46" s="322" t="s">
        <v>93</v>
      </c>
      <c r="E46" s="299">
        <f t="shared" si="12"/>
        <v>96</v>
      </c>
      <c r="F46" s="299">
        <f>96</f>
        <v>96</v>
      </c>
      <c r="G46" s="299">
        <v>0</v>
      </c>
      <c r="H46" s="299">
        <v>0</v>
      </c>
      <c r="I46" s="299">
        <v>0</v>
      </c>
      <c r="J46" s="299">
        <f t="shared" si="13"/>
        <v>43</v>
      </c>
      <c r="K46" s="299">
        <f>68-25</f>
        <v>43</v>
      </c>
      <c r="L46" s="299">
        <v>0</v>
      </c>
      <c r="M46" s="299">
        <v>0</v>
      </c>
      <c r="N46" s="299">
        <v>0</v>
      </c>
      <c r="O46" s="299">
        <f t="shared" si="14"/>
        <v>53</v>
      </c>
      <c r="P46" s="299">
        <v>53</v>
      </c>
      <c r="Q46" s="299">
        <v>0</v>
      </c>
      <c r="R46" s="299">
        <v>0</v>
      </c>
      <c r="S46" s="299">
        <v>0</v>
      </c>
      <c r="T46" s="299">
        <f t="shared" si="15"/>
        <v>0</v>
      </c>
      <c r="U46" s="299">
        <v>0</v>
      </c>
      <c r="V46" s="299">
        <v>0</v>
      </c>
      <c r="W46" s="299">
        <v>0</v>
      </c>
      <c r="X46" s="299">
        <v>0</v>
      </c>
      <c r="Y46" s="299">
        <f t="shared" si="16"/>
        <v>0</v>
      </c>
      <c r="Z46" s="299">
        <v>0</v>
      </c>
      <c r="AA46" s="299">
        <v>0</v>
      </c>
      <c r="AB46" s="299">
        <v>0</v>
      </c>
      <c r="AC46" s="299">
        <v>0</v>
      </c>
      <c r="AD46" s="299">
        <f t="shared" si="17"/>
        <v>192</v>
      </c>
    </row>
    <row r="47" spans="1:31" ht="93">
      <c r="A47" s="323" t="s">
        <v>245</v>
      </c>
      <c r="B47" s="330" t="s">
        <v>145</v>
      </c>
      <c r="C47" s="322" t="s">
        <v>94</v>
      </c>
      <c r="D47" s="322" t="s">
        <v>93</v>
      </c>
      <c r="E47" s="299">
        <f>F47+G47+H47+I47</f>
        <v>28325</v>
      </c>
      <c r="F47" s="299">
        <f>6567-902</f>
        <v>5665</v>
      </c>
      <c r="G47" s="299">
        <f>26268-3608</f>
        <v>22660</v>
      </c>
      <c r="H47" s="299">
        <v>0</v>
      </c>
      <c r="I47" s="299">
        <v>0</v>
      </c>
      <c r="J47" s="299">
        <f>K47+L47+M47+N47</f>
        <v>4455</v>
      </c>
      <c r="K47" s="299">
        <f>550+341</f>
        <v>891</v>
      </c>
      <c r="L47" s="299">
        <v>3564</v>
      </c>
      <c r="M47" s="299">
        <v>0</v>
      </c>
      <c r="N47" s="299">
        <v>0</v>
      </c>
      <c r="O47" s="299">
        <f>P47+Q47+R47+S47</f>
        <v>550</v>
      </c>
      <c r="P47" s="299">
        <v>550</v>
      </c>
      <c r="Q47" s="299">
        <v>0</v>
      </c>
      <c r="R47" s="299">
        <v>0</v>
      </c>
      <c r="S47" s="299">
        <v>0</v>
      </c>
      <c r="T47" s="299">
        <f>U47+V47+W47+X47</f>
        <v>0</v>
      </c>
      <c r="U47" s="299">
        <v>0</v>
      </c>
      <c r="V47" s="299">
        <v>0</v>
      </c>
      <c r="W47" s="299">
        <v>0</v>
      </c>
      <c r="X47" s="299">
        <v>0</v>
      </c>
      <c r="Y47" s="299">
        <f>Z47+AA47+AB47+AC47</f>
        <v>0</v>
      </c>
      <c r="Z47" s="299">
        <v>0</v>
      </c>
      <c r="AA47" s="299">
        <v>0</v>
      </c>
      <c r="AB47" s="299">
        <v>0</v>
      </c>
      <c r="AC47" s="299">
        <v>0</v>
      </c>
      <c r="AD47" s="299">
        <f>E47+J47+O47+T47+Y47</f>
        <v>33330</v>
      </c>
      <c r="AE47" s="349"/>
    </row>
    <row r="48" spans="1:31" ht="46.5">
      <c r="A48" s="350" t="s">
        <v>246</v>
      </c>
      <c r="B48" s="351" t="s">
        <v>87</v>
      </c>
      <c r="C48" s="392" t="s">
        <v>52</v>
      </c>
      <c r="D48" s="322" t="s">
        <v>93</v>
      </c>
      <c r="E48" s="299">
        <f>F48+G48+H48+I48</f>
        <v>384.8</v>
      </c>
      <c r="F48" s="299">
        <f>387-2.2</f>
        <v>384.8</v>
      </c>
      <c r="G48" s="299">
        <v>0</v>
      </c>
      <c r="H48" s="299">
        <v>0</v>
      </c>
      <c r="I48" s="299">
        <v>0</v>
      </c>
      <c r="J48" s="299">
        <f>K48+L48+M48+N48</f>
        <v>362.1</v>
      </c>
      <c r="K48" s="299">
        <f>387-24.9</f>
        <v>362.1</v>
      </c>
      <c r="L48" s="299">
        <v>0</v>
      </c>
      <c r="M48" s="299">
        <v>0</v>
      </c>
      <c r="N48" s="299">
        <v>0</v>
      </c>
      <c r="O48" s="299">
        <v>387</v>
      </c>
      <c r="P48" s="299">
        <v>387</v>
      </c>
      <c r="Q48" s="299">
        <v>0</v>
      </c>
      <c r="R48" s="299">
        <v>0</v>
      </c>
      <c r="S48" s="299">
        <v>0</v>
      </c>
      <c r="T48" s="299">
        <v>387</v>
      </c>
      <c r="U48" s="299">
        <v>387</v>
      </c>
      <c r="V48" s="299">
        <v>0</v>
      </c>
      <c r="W48" s="299">
        <v>0</v>
      </c>
      <c r="X48" s="299">
        <v>0</v>
      </c>
      <c r="Y48" s="299">
        <v>387</v>
      </c>
      <c r="Z48" s="299">
        <v>387</v>
      </c>
      <c r="AA48" s="299">
        <v>0</v>
      </c>
      <c r="AB48" s="299">
        <v>0</v>
      </c>
      <c r="AC48" s="299">
        <v>0</v>
      </c>
      <c r="AD48" s="299">
        <f t="shared" si="17"/>
        <v>1907.9</v>
      </c>
    </row>
    <row r="49" spans="1:32" ht="75">
      <c r="A49" s="350" t="s">
        <v>247</v>
      </c>
      <c r="B49" s="351" t="s">
        <v>132</v>
      </c>
      <c r="C49" s="392" t="s">
        <v>147</v>
      </c>
      <c r="D49" s="325">
        <v>2020</v>
      </c>
      <c r="E49" s="299">
        <f>F49+G49+H49+I49</f>
        <v>1248</v>
      </c>
      <c r="F49" s="299">
        <f>1248</f>
        <v>1248</v>
      </c>
      <c r="G49" s="299">
        <v>0</v>
      </c>
      <c r="H49" s="299">
        <v>0</v>
      </c>
      <c r="I49" s="299">
        <v>0</v>
      </c>
      <c r="J49" s="299">
        <f>K49+L49+M49+N49</f>
        <v>0</v>
      </c>
      <c r="K49" s="299">
        <v>0</v>
      </c>
      <c r="L49" s="299">
        <v>0</v>
      </c>
      <c r="M49" s="299">
        <v>0</v>
      </c>
      <c r="N49" s="299">
        <v>0</v>
      </c>
      <c r="O49" s="299">
        <f>P49+Q49+R49+S49</f>
        <v>0</v>
      </c>
      <c r="P49" s="299">
        <v>0</v>
      </c>
      <c r="Q49" s="299">
        <v>0</v>
      </c>
      <c r="R49" s="299">
        <v>0</v>
      </c>
      <c r="S49" s="299">
        <v>0</v>
      </c>
      <c r="T49" s="299">
        <f>U49+V49+W49+X49</f>
        <v>0</v>
      </c>
      <c r="U49" s="299">
        <v>0</v>
      </c>
      <c r="V49" s="299">
        <v>0</v>
      </c>
      <c r="W49" s="299">
        <v>0</v>
      </c>
      <c r="X49" s="299">
        <v>0</v>
      </c>
      <c r="Y49" s="299">
        <f>Z49+AA49+AB49+AC49</f>
        <v>0</v>
      </c>
      <c r="Z49" s="299">
        <v>0</v>
      </c>
      <c r="AA49" s="299">
        <v>0</v>
      </c>
      <c r="AB49" s="299">
        <v>0</v>
      </c>
      <c r="AC49" s="299">
        <v>0</v>
      </c>
      <c r="AD49" s="299">
        <f>E49+J49+O49+T49+Y49</f>
        <v>1248</v>
      </c>
    </row>
    <row r="50" spans="1:32" ht="23.25">
      <c r="A50" s="642" t="s">
        <v>25</v>
      </c>
      <c r="B50" s="643"/>
      <c r="C50" s="644"/>
      <c r="D50" s="347"/>
      <c r="E50" s="326">
        <f t="shared" ref="E50:K50" si="18">E51+E52</f>
        <v>38121.800000000003</v>
      </c>
      <c r="F50" s="326">
        <f t="shared" si="18"/>
        <v>15461.8</v>
      </c>
      <c r="G50" s="326">
        <f t="shared" si="18"/>
        <v>22660</v>
      </c>
      <c r="H50" s="326">
        <f t="shared" si="18"/>
        <v>0</v>
      </c>
      <c r="I50" s="326">
        <f t="shared" si="18"/>
        <v>0</v>
      </c>
      <c r="J50" s="326">
        <f>J52+J51</f>
        <v>11573.1</v>
      </c>
      <c r="K50" s="326">
        <f t="shared" si="18"/>
        <v>8009.1</v>
      </c>
      <c r="L50" s="326">
        <f>SUM(L35,L36:L48)</f>
        <v>3564</v>
      </c>
      <c r="M50" s="326">
        <f>SUM(M35,M36:M48)</f>
        <v>0</v>
      </c>
      <c r="N50" s="326">
        <f>SUM(N35,N36:N48)</f>
        <v>0</v>
      </c>
      <c r="O50" s="326">
        <f>O51+O52</f>
        <v>7716</v>
      </c>
      <c r="P50" s="326">
        <f>P51+P52</f>
        <v>7716</v>
      </c>
      <c r="Q50" s="326">
        <f>SUM(Q35,Q36:Q48)</f>
        <v>0</v>
      </c>
      <c r="R50" s="326">
        <f>SUM(R35,R36:R48)</f>
        <v>0</v>
      </c>
      <c r="S50" s="326">
        <f>SUM(S35,S36:S48)</f>
        <v>0</v>
      </c>
      <c r="T50" s="326">
        <f>T51+T52</f>
        <v>387</v>
      </c>
      <c r="U50" s="326">
        <f>U51+U52</f>
        <v>387</v>
      </c>
      <c r="V50" s="326">
        <f>SUM(V35,V36:V48)</f>
        <v>0</v>
      </c>
      <c r="W50" s="326">
        <f>SUM(W35,W36:W48)</f>
        <v>0</v>
      </c>
      <c r="X50" s="326">
        <f>SUM(X35,X36:X48)</f>
        <v>0</v>
      </c>
      <c r="Y50" s="326">
        <f>Y51+Y52</f>
        <v>387</v>
      </c>
      <c r="Z50" s="326">
        <f>Z51+Z52</f>
        <v>387</v>
      </c>
      <c r="AA50" s="326">
        <f>SUM(AA35,AA36:AA48)</f>
        <v>0</v>
      </c>
      <c r="AB50" s="326">
        <f>SUM(AB35,AB36:AB48)</f>
        <v>0</v>
      </c>
      <c r="AC50" s="326">
        <f>SUM(AC35,AC36:AC48)</f>
        <v>0</v>
      </c>
      <c r="AD50" s="326">
        <f>E50+J50+O50+T50+Y50</f>
        <v>58184.9</v>
      </c>
    </row>
    <row r="51" spans="1:32" ht="23.25">
      <c r="A51" s="338" t="s">
        <v>73</v>
      </c>
      <c r="B51" s="338"/>
      <c r="C51" s="387"/>
      <c r="D51" s="395"/>
      <c r="E51" s="353">
        <f t="shared" ref="E51:AC51" si="19">E48</f>
        <v>384.8</v>
      </c>
      <c r="F51" s="353">
        <f t="shared" si="19"/>
        <v>384.8</v>
      </c>
      <c r="G51" s="353">
        <v>0</v>
      </c>
      <c r="H51" s="353">
        <f t="shared" si="19"/>
        <v>0</v>
      </c>
      <c r="I51" s="353">
        <f t="shared" si="19"/>
        <v>0</v>
      </c>
      <c r="J51" s="353">
        <f t="shared" si="19"/>
        <v>362.1</v>
      </c>
      <c r="K51" s="353">
        <f t="shared" si="19"/>
        <v>362.1</v>
      </c>
      <c r="L51" s="353">
        <f t="shared" si="19"/>
        <v>0</v>
      </c>
      <c r="M51" s="353">
        <f t="shared" si="19"/>
        <v>0</v>
      </c>
      <c r="N51" s="353">
        <f t="shared" si="19"/>
        <v>0</v>
      </c>
      <c r="O51" s="353">
        <f t="shared" si="19"/>
        <v>387</v>
      </c>
      <c r="P51" s="353">
        <f t="shared" si="19"/>
        <v>387</v>
      </c>
      <c r="Q51" s="353">
        <f t="shared" si="19"/>
        <v>0</v>
      </c>
      <c r="R51" s="353">
        <f t="shared" si="19"/>
        <v>0</v>
      </c>
      <c r="S51" s="353">
        <f t="shared" si="19"/>
        <v>0</v>
      </c>
      <c r="T51" s="353">
        <f t="shared" si="19"/>
        <v>387</v>
      </c>
      <c r="U51" s="353">
        <f t="shared" si="19"/>
        <v>387</v>
      </c>
      <c r="V51" s="353">
        <f t="shared" si="19"/>
        <v>0</v>
      </c>
      <c r="W51" s="353">
        <f t="shared" si="19"/>
        <v>0</v>
      </c>
      <c r="X51" s="353">
        <f t="shared" si="19"/>
        <v>0</v>
      </c>
      <c r="Y51" s="353">
        <f t="shared" si="19"/>
        <v>387</v>
      </c>
      <c r="Z51" s="353">
        <f t="shared" si="19"/>
        <v>387</v>
      </c>
      <c r="AA51" s="353">
        <f t="shared" si="19"/>
        <v>0</v>
      </c>
      <c r="AB51" s="353">
        <f t="shared" si="19"/>
        <v>0</v>
      </c>
      <c r="AC51" s="353">
        <f t="shared" si="19"/>
        <v>0</v>
      </c>
      <c r="AD51" s="354">
        <f>E51+J51+O51+T51+Y51</f>
        <v>1907.9</v>
      </c>
    </row>
    <row r="52" spans="1:32" ht="23.25">
      <c r="A52" s="338" t="s">
        <v>135</v>
      </c>
      <c r="B52" s="338"/>
      <c r="C52" s="387"/>
      <c r="D52" s="395"/>
      <c r="E52" s="299">
        <f>E35+E36+E37+E38+E39+E40+E41+E42+E43+E44+E45+E46+E47+E49</f>
        <v>37737</v>
      </c>
      <c r="F52" s="299">
        <f>F35+F36+F37+F38+F39+F40+F41+F42+F43+F44+F45+F46+F47+F49</f>
        <v>15077</v>
      </c>
      <c r="G52" s="299">
        <v>22660</v>
      </c>
      <c r="H52" s="299">
        <f>0</f>
        <v>0</v>
      </c>
      <c r="I52" s="299">
        <v>0</v>
      </c>
      <c r="J52" s="299">
        <f>J35+J36+J37+J38+J39+J40+J41+J42+J43+J44+J45+J46+J47+J49</f>
        <v>11211</v>
      </c>
      <c r="K52" s="299">
        <f>K35+K36+K37+K38+K39+K40+K41+K42+K43+K44+K45+K46+K47+K49</f>
        <v>7647</v>
      </c>
      <c r="L52" s="299">
        <v>0</v>
      </c>
      <c r="M52" s="299">
        <v>0</v>
      </c>
      <c r="N52" s="299">
        <v>0</v>
      </c>
      <c r="O52" s="299">
        <f>O35+O36+O37+O38+O39+O40+O42+O41+O43+O44+O45+O46+O47+O49</f>
        <v>7329</v>
      </c>
      <c r="P52" s="299">
        <f>P35+P36+P37+P38+P39+P40+P41+P42+P43+P44+P45+P46+P47+P49</f>
        <v>7329</v>
      </c>
      <c r="Q52" s="299">
        <v>0</v>
      </c>
      <c r="R52" s="299">
        <v>0</v>
      </c>
      <c r="S52" s="299">
        <v>0</v>
      </c>
      <c r="T52" s="299">
        <f>T35+T36+T37+T38+T39+T40+T41+T42+T43+T44+T45+T46+T47+T49</f>
        <v>0</v>
      </c>
      <c r="U52" s="299">
        <f>U35+U36+U37+U38+U39+U40+U41+U42+U43+U44+U45+U46+U47+U49</f>
        <v>0</v>
      </c>
      <c r="V52" s="299">
        <v>0</v>
      </c>
      <c r="W52" s="299">
        <v>0</v>
      </c>
      <c r="X52" s="299">
        <v>0</v>
      </c>
      <c r="Y52" s="299">
        <f>Y35+Y36+Y37+Y38+Y39+Y40+Y41+Y42+Y43+Y44+Y45+Y46+Y47+Y49</f>
        <v>0</v>
      </c>
      <c r="Z52" s="299">
        <f>Z35+Z36+Z37+Z38+Z39+Z40+Z41+Z42+Z43+Z44+Z45+Z46+Z47+Z49</f>
        <v>0</v>
      </c>
      <c r="AA52" s="299">
        <v>0</v>
      </c>
      <c r="AB52" s="299">
        <v>0</v>
      </c>
      <c r="AC52" s="299">
        <v>0</v>
      </c>
      <c r="AD52" s="299">
        <f>E52+J52+O52+T52+Y52</f>
        <v>56277</v>
      </c>
    </row>
    <row r="53" spans="1:32" ht="23.25" customHeight="1">
      <c r="A53" s="322" t="s">
        <v>223</v>
      </c>
      <c r="B53" s="639" t="s">
        <v>248</v>
      </c>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1"/>
    </row>
    <row r="54" spans="1:32" ht="63" customHeight="1">
      <c r="A54" s="323" t="s">
        <v>27</v>
      </c>
      <c r="B54" s="330" t="s">
        <v>120</v>
      </c>
      <c r="C54" s="322" t="s">
        <v>94</v>
      </c>
      <c r="D54" s="322" t="s">
        <v>93</v>
      </c>
      <c r="E54" s="299">
        <f>F54+G54+H54+I54</f>
        <v>700</v>
      </c>
      <c r="F54" s="299">
        <f>700</f>
        <v>700</v>
      </c>
      <c r="G54" s="299">
        <v>0</v>
      </c>
      <c r="H54" s="299">
        <v>0</v>
      </c>
      <c r="I54" s="299">
        <v>0</v>
      </c>
      <c r="J54" s="299">
        <f>K54+L54+M54+N54</f>
        <v>498</v>
      </c>
      <c r="K54" s="299">
        <f>600-102</f>
        <v>498</v>
      </c>
      <c r="L54" s="299">
        <v>0</v>
      </c>
      <c r="M54" s="299">
        <v>0</v>
      </c>
      <c r="N54" s="299">
        <v>0</v>
      </c>
      <c r="O54" s="299">
        <f>P54+Q54+R54+S54</f>
        <v>600</v>
      </c>
      <c r="P54" s="299">
        <v>600</v>
      </c>
      <c r="Q54" s="299">
        <v>0</v>
      </c>
      <c r="R54" s="299">
        <v>0</v>
      </c>
      <c r="S54" s="299">
        <v>0</v>
      </c>
      <c r="T54" s="299">
        <f>U54+V54+W54+X54</f>
        <v>0</v>
      </c>
      <c r="U54" s="299">
        <v>0</v>
      </c>
      <c r="V54" s="299">
        <v>0</v>
      </c>
      <c r="W54" s="299">
        <v>0</v>
      </c>
      <c r="X54" s="299">
        <v>0</v>
      </c>
      <c r="Y54" s="299">
        <f>Z54+AA54+AB54+AC54</f>
        <v>0</v>
      </c>
      <c r="Z54" s="299">
        <v>0</v>
      </c>
      <c r="AA54" s="299">
        <v>0</v>
      </c>
      <c r="AB54" s="299">
        <v>0</v>
      </c>
      <c r="AC54" s="299">
        <v>0</v>
      </c>
      <c r="AD54" s="299">
        <f>E54+J54+O54+T54+Y54</f>
        <v>1798</v>
      </c>
    </row>
    <row r="55" spans="1:32" ht="23.25">
      <c r="A55" s="642" t="s">
        <v>44</v>
      </c>
      <c r="B55" s="643"/>
      <c r="C55" s="644"/>
      <c r="D55" s="347"/>
      <c r="E55" s="326">
        <f t="shared" ref="E55:AD55" si="20">SUM(E54:E54)</f>
        <v>700</v>
      </c>
      <c r="F55" s="326">
        <f>SUM(F54)</f>
        <v>700</v>
      </c>
      <c r="G55" s="326">
        <f t="shared" si="20"/>
        <v>0</v>
      </c>
      <c r="H55" s="326">
        <f t="shared" si="20"/>
        <v>0</v>
      </c>
      <c r="I55" s="326">
        <f t="shared" si="20"/>
        <v>0</v>
      </c>
      <c r="J55" s="326">
        <f>J54</f>
        <v>498</v>
      </c>
      <c r="K55" s="326">
        <f t="shared" si="20"/>
        <v>498</v>
      </c>
      <c r="L55" s="326">
        <f t="shared" si="20"/>
        <v>0</v>
      </c>
      <c r="M55" s="326">
        <f t="shared" si="20"/>
        <v>0</v>
      </c>
      <c r="N55" s="326">
        <f t="shared" si="20"/>
        <v>0</v>
      </c>
      <c r="O55" s="326">
        <f t="shared" si="20"/>
        <v>600</v>
      </c>
      <c r="P55" s="326">
        <f t="shared" si="20"/>
        <v>600</v>
      </c>
      <c r="Q55" s="326">
        <f t="shared" si="20"/>
        <v>0</v>
      </c>
      <c r="R55" s="326">
        <f t="shared" si="20"/>
        <v>0</v>
      </c>
      <c r="S55" s="326">
        <f t="shared" si="20"/>
        <v>0</v>
      </c>
      <c r="T55" s="326">
        <f t="shared" si="20"/>
        <v>0</v>
      </c>
      <c r="U55" s="326">
        <f t="shared" si="20"/>
        <v>0</v>
      </c>
      <c r="V55" s="326">
        <f t="shared" si="20"/>
        <v>0</v>
      </c>
      <c r="W55" s="326">
        <f t="shared" si="20"/>
        <v>0</v>
      </c>
      <c r="X55" s="326">
        <f t="shared" si="20"/>
        <v>0</v>
      </c>
      <c r="Y55" s="326">
        <f t="shared" si="20"/>
        <v>0</v>
      </c>
      <c r="Z55" s="326">
        <f t="shared" si="20"/>
        <v>0</v>
      </c>
      <c r="AA55" s="326">
        <f t="shared" si="20"/>
        <v>0</v>
      </c>
      <c r="AB55" s="326">
        <f t="shared" si="20"/>
        <v>0</v>
      </c>
      <c r="AC55" s="326">
        <f t="shared" si="20"/>
        <v>0</v>
      </c>
      <c r="AD55" s="326">
        <f t="shared" si="20"/>
        <v>1798</v>
      </c>
    </row>
    <row r="56" spans="1:32" ht="23.25" customHeight="1">
      <c r="A56" s="322" t="s">
        <v>249</v>
      </c>
      <c r="B56" s="639" t="s">
        <v>250</v>
      </c>
      <c r="C56" s="640"/>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1"/>
    </row>
    <row r="57" spans="1:32" ht="111" customHeight="1">
      <c r="A57" s="648" t="s">
        <v>46</v>
      </c>
      <c r="B57" s="650" t="s">
        <v>291</v>
      </c>
      <c r="C57" s="322" t="s">
        <v>285</v>
      </c>
      <c r="D57" s="355">
        <v>2020</v>
      </c>
      <c r="E57" s="299">
        <f>F57+G57+H57+I57</f>
        <v>1449</v>
      </c>
      <c r="F57" s="299">
        <f>1656-207</f>
        <v>1449</v>
      </c>
      <c r="G57" s="299">
        <v>0</v>
      </c>
      <c r="H57" s="299">
        <v>0</v>
      </c>
      <c r="I57" s="299">
        <v>0</v>
      </c>
      <c r="J57" s="299">
        <f>K57+L57+M57+N57</f>
        <v>0</v>
      </c>
      <c r="K57" s="299">
        <v>0</v>
      </c>
      <c r="L57" s="299">
        <v>0</v>
      </c>
      <c r="M57" s="299">
        <v>0</v>
      </c>
      <c r="N57" s="299">
        <v>0</v>
      </c>
      <c r="O57" s="299">
        <f>P57+Q57+R57+S57</f>
        <v>0</v>
      </c>
      <c r="P57" s="299">
        <v>0</v>
      </c>
      <c r="Q57" s="299">
        <v>0</v>
      </c>
      <c r="R57" s="299">
        <v>0</v>
      </c>
      <c r="S57" s="299">
        <v>0</v>
      </c>
      <c r="T57" s="299">
        <f t="shared" ref="T57:T59" si="21">U57+V57+W57+X57</f>
        <v>0</v>
      </c>
      <c r="U57" s="299">
        <v>0</v>
      </c>
      <c r="V57" s="299">
        <v>0</v>
      </c>
      <c r="W57" s="299">
        <v>0</v>
      </c>
      <c r="X57" s="299">
        <v>0</v>
      </c>
      <c r="Y57" s="299">
        <f>Z57+AA57+AB57+AC57</f>
        <v>0</v>
      </c>
      <c r="Z57" s="299">
        <v>0</v>
      </c>
      <c r="AA57" s="299">
        <v>0</v>
      </c>
      <c r="AB57" s="299">
        <v>0</v>
      </c>
      <c r="AC57" s="299">
        <v>0</v>
      </c>
      <c r="AD57" s="299">
        <f>E57+I57+O57+T57+0</f>
        <v>1449</v>
      </c>
    </row>
    <row r="58" spans="1:32" ht="76.5" customHeight="1">
      <c r="A58" s="649"/>
      <c r="B58" s="651"/>
      <c r="C58" s="322" t="s">
        <v>286</v>
      </c>
      <c r="D58" s="355" t="s">
        <v>284</v>
      </c>
      <c r="E58" s="299">
        <f>F58+G58+H58+I58</f>
        <v>0</v>
      </c>
      <c r="F58" s="299">
        <v>0</v>
      </c>
      <c r="G58" s="299">
        <v>0</v>
      </c>
      <c r="H58" s="299">
        <v>0</v>
      </c>
      <c r="I58" s="299">
        <v>0</v>
      </c>
      <c r="J58" s="299">
        <f>K58+L58+M58+N58</f>
        <v>850</v>
      </c>
      <c r="K58" s="299">
        <f>1437-237-350</f>
        <v>850</v>
      </c>
      <c r="L58" s="299">
        <v>0</v>
      </c>
      <c r="M58" s="299">
        <v>0</v>
      </c>
      <c r="N58" s="299">
        <v>0</v>
      </c>
      <c r="O58" s="299">
        <f>P58+Q58+R58+S58</f>
        <v>1437</v>
      </c>
      <c r="P58" s="299">
        <v>1437</v>
      </c>
      <c r="Q58" s="299">
        <v>0</v>
      </c>
      <c r="R58" s="299">
        <v>0</v>
      </c>
      <c r="S58" s="299">
        <v>0</v>
      </c>
      <c r="T58" s="299">
        <f t="shared" si="21"/>
        <v>1437</v>
      </c>
      <c r="U58" s="299">
        <v>1437</v>
      </c>
      <c r="V58" s="299">
        <v>0</v>
      </c>
      <c r="W58" s="299">
        <v>0</v>
      </c>
      <c r="X58" s="299">
        <v>0</v>
      </c>
      <c r="Y58" s="299">
        <f>Z58+AA58+AB58+AC58</f>
        <v>1437</v>
      </c>
      <c r="Z58" s="299">
        <v>1437</v>
      </c>
      <c r="AA58" s="299">
        <v>0</v>
      </c>
      <c r="AB58" s="299">
        <v>0</v>
      </c>
      <c r="AC58" s="299">
        <v>0</v>
      </c>
      <c r="AD58" s="299">
        <f>E58+J58+O58+T58+Y58</f>
        <v>5161</v>
      </c>
    </row>
    <row r="59" spans="1:32" ht="69.75">
      <c r="A59" s="323" t="s">
        <v>251</v>
      </c>
      <c r="B59" s="330" t="s">
        <v>292</v>
      </c>
      <c r="C59" s="322" t="s">
        <v>52</v>
      </c>
      <c r="D59" s="322" t="s">
        <v>93</v>
      </c>
      <c r="E59" s="299">
        <f>F59+G59+H59+I59</f>
        <v>55</v>
      </c>
      <c r="F59" s="299">
        <f>86-31</f>
        <v>55</v>
      </c>
      <c r="G59" s="299">
        <v>0</v>
      </c>
      <c r="H59" s="299">
        <v>0</v>
      </c>
      <c r="I59" s="299">
        <v>0</v>
      </c>
      <c r="J59" s="299">
        <f>K59+L59+M59+N59</f>
        <v>60.5</v>
      </c>
      <c r="K59" s="299">
        <f>70-9.5</f>
        <v>60.5</v>
      </c>
      <c r="L59" s="299">
        <v>0</v>
      </c>
      <c r="M59" s="299">
        <v>0</v>
      </c>
      <c r="N59" s="299">
        <v>0</v>
      </c>
      <c r="O59" s="299">
        <v>153</v>
      </c>
      <c r="P59" s="299">
        <v>153</v>
      </c>
      <c r="Q59" s="299">
        <v>0</v>
      </c>
      <c r="R59" s="299">
        <v>0</v>
      </c>
      <c r="S59" s="299">
        <v>0</v>
      </c>
      <c r="T59" s="299">
        <f t="shared" si="21"/>
        <v>153</v>
      </c>
      <c r="U59" s="299">
        <v>153</v>
      </c>
      <c r="V59" s="299">
        <v>0</v>
      </c>
      <c r="W59" s="299">
        <v>0</v>
      </c>
      <c r="X59" s="299">
        <v>0</v>
      </c>
      <c r="Y59" s="299">
        <f>Z59+AA59+AB59+AC59</f>
        <v>153</v>
      </c>
      <c r="Z59" s="299">
        <v>153</v>
      </c>
      <c r="AA59" s="299">
        <v>0</v>
      </c>
      <c r="AB59" s="299">
        <v>0</v>
      </c>
      <c r="AC59" s="299">
        <v>0</v>
      </c>
      <c r="AD59" s="299">
        <f>E59+J59+O59+T59+Y59</f>
        <v>574.5</v>
      </c>
    </row>
    <row r="60" spans="1:32" ht="23.25">
      <c r="A60" s="338" t="s">
        <v>73</v>
      </c>
      <c r="B60" s="338"/>
      <c r="C60" s="387"/>
      <c r="D60" s="347"/>
      <c r="E60" s="299">
        <f>E59</f>
        <v>55</v>
      </c>
      <c r="F60" s="299">
        <f>F59</f>
        <v>55</v>
      </c>
      <c r="G60" s="299">
        <v>0</v>
      </c>
      <c r="H60" s="299">
        <v>0</v>
      </c>
      <c r="I60" s="299">
        <v>0</v>
      </c>
      <c r="J60" s="299">
        <f>K60+L60+M60+N60</f>
        <v>910.5</v>
      </c>
      <c r="K60" s="299">
        <f>K58+K59</f>
        <v>910.5</v>
      </c>
      <c r="L60" s="299">
        <v>0</v>
      </c>
      <c r="M60" s="299">
        <v>0</v>
      </c>
      <c r="N60" s="299">
        <v>0</v>
      </c>
      <c r="O60" s="299">
        <f>P60+Q60+R60+S60</f>
        <v>1590</v>
      </c>
      <c r="P60" s="299">
        <f>P58+P59</f>
        <v>1590</v>
      </c>
      <c r="Q60" s="299">
        <v>0</v>
      </c>
      <c r="R60" s="299">
        <v>0</v>
      </c>
      <c r="S60" s="299">
        <v>0</v>
      </c>
      <c r="T60" s="299">
        <f>T58+T59</f>
        <v>1590</v>
      </c>
      <c r="U60" s="299">
        <f>U58+U59</f>
        <v>1590</v>
      </c>
      <c r="V60" s="299">
        <v>0</v>
      </c>
      <c r="W60" s="299">
        <v>0</v>
      </c>
      <c r="X60" s="299">
        <v>0</v>
      </c>
      <c r="Y60" s="299">
        <f>Y58+Y59</f>
        <v>1590</v>
      </c>
      <c r="Z60" s="299">
        <f>Z58+Z59</f>
        <v>1590</v>
      </c>
      <c r="AA60" s="299">
        <v>0</v>
      </c>
      <c r="AB60" s="299">
        <v>0</v>
      </c>
      <c r="AC60" s="299">
        <v>0</v>
      </c>
      <c r="AD60" s="299">
        <f>AD58+AD59</f>
        <v>5735.5</v>
      </c>
    </row>
    <row r="61" spans="1:32" ht="23.25">
      <c r="A61" s="338" t="s">
        <v>135</v>
      </c>
      <c r="B61" s="338"/>
      <c r="C61" s="387"/>
      <c r="D61" s="347"/>
      <c r="E61" s="299">
        <f>F61+G61+H61+I61</f>
        <v>1449</v>
      </c>
      <c r="F61" s="299">
        <f>F57</f>
        <v>1449</v>
      </c>
      <c r="G61" s="299">
        <v>0</v>
      </c>
      <c r="H61" s="299">
        <v>0</v>
      </c>
      <c r="I61" s="299">
        <v>0</v>
      </c>
      <c r="J61" s="299">
        <v>0</v>
      </c>
      <c r="K61" s="299">
        <v>0</v>
      </c>
      <c r="L61" s="299">
        <v>0</v>
      </c>
      <c r="M61" s="299">
        <v>0</v>
      </c>
      <c r="N61" s="299">
        <v>0</v>
      </c>
      <c r="O61" s="299">
        <v>0</v>
      </c>
      <c r="P61" s="299">
        <v>0</v>
      </c>
      <c r="Q61" s="299">
        <v>0</v>
      </c>
      <c r="R61" s="299">
        <v>0</v>
      </c>
      <c r="S61" s="299">
        <v>0</v>
      </c>
      <c r="T61" s="299">
        <v>0</v>
      </c>
      <c r="U61" s="299">
        <v>0</v>
      </c>
      <c r="V61" s="299">
        <v>0</v>
      </c>
      <c r="W61" s="299">
        <v>0</v>
      </c>
      <c r="X61" s="299">
        <v>0</v>
      </c>
      <c r="Y61" s="299">
        <v>0</v>
      </c>
      <c r="Z61" s="299">
        <v>0</v>
      </c>
      <c r="AA61" s="299">
        <v>0</v>
      </c>
      <c r="AB61" s="299">
        <v>0</v>
      </c>
      <c r="AC61" s="299">
        <v>0</v>
      </c>
      <c r="AD61" s="299">
        <f>AD57</f>
        <v>1449</v>
      </c>
    </row>
    <row r="62" spans="1:32" s="349" customFormat="1" ht="22.5">
      <c r="A62" s="356"/>
      <c r="B62" s="356" t="s">
        <v>303</v>
      </c>
      <c r="C62" s="357"/>
      <c r="D62" s="358"/>
      <c r="E62" s="326">
        <f>F62+G62+H62+I62</f>
        <v>1504</v>
      </c>
      <c r="F62" s="326">
        <f>F60+F61</f>
        <v>1504</v>
      </c>
      <c r="G62" s="326">
        <v>0</v>
      </c>
      <c r="H62" s="326">
        <v>0</v>
      </c>
      <c r="I62" s="326">
        <v>0</v>
      </c>
      <c r="J62" s="326">
        <f>K62+L62+M62+N62</f>
        <v>910.5</v>
      </c>
      <c r="K62" s="326">
        <f>K60+K61</f>
        <v>910.5</v>
      </c>
      <c r="L62" s="326">
        <v>0</v>
      </c>
      <c r="M62" s="326">
        <v>0</v>
      </c>
      <c r="N62" s="326">
        <v>0</v>
      </c>
      <c r="O62" s="326">
        <f>P62+Q62+R62+S62</f>
        <v>1590</v>
      </c>
      <c r="P62" s="326">
        <f>P60+P61</f>
        <v>1590</v>
      </c>
      <c r="Q62" s="326">
        <v>0</v>
      </c>
      <c r="R62" s="326">
        <v>0</v>
      </c>
      <c r="S62" s="326">
        <v>0</v>
      </c>
      <c r="T62" s="326">
        <f>U62+V62+W62+X62</f>
        <v>1590</v>
      </c>
      <c r="U62" s="326">
        <f>U60+U61</f>
        <v>1590</v>
      </c>
      <c r="V62" s="326">
        <v>0</v>
      </c>
      <c r="W62" s="326">
        <v>0</v>
      </c>
      <c r="X62" s="326">
        <v>0</v>
      </c>
      <c r="Y62" s="326">
        <f>Z62+AA62+AB62+AC62</f>
        <v>1590</v>
      </c>
      <c r="Z62" s="326">
        <f>Z60+Z61</f>
        <v>1590</v>
      </c>
      <c r="AA62" s="326">
        <v>0</v>
      </c>
      <c r="AB62" s="326">
        <v>0</v>
      </c>
      <c r="AC62" s="326">
        <v>0</v>
      </c>
      <c r="AD62" s="326">
        <f>E62+J62+O62+T62+Y62</f>
        <v>7184.5</v>
      </c>
    </row>
    <row r="63" spans="1:32" ht="23.25">
      <c r="A63" s="322" t="s">
        <v>224</v>
      </c>
      <c r="B63" s="639" t="s">
        <v>278</v>
      </c>
      <c r="C63" s="640"/>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1"/>
    </row>
    <row r="64" spans="1:32" ht="87.75" customHeight="1">
      <c r="A64" s="323" t="s">
        <v>48</v>
      </c>
      <c r="B64" s="333" t="s">
        <v>108</v>
      </c>
      <c r="C64" s="322" t="s">
        <v>94</v>
      </c>
      <c r="D64" s="322" t="s">
        <v>93</v>
      </c>
      <c r="E64" s="299">
        <f>F64+G64+H64+I64</f>
        <v>766</v>
      </c>
      <c r="F64" s="299">
        <f>409+357</f>
        <v>766</v>
      </c>
      <c r="G64" s="299">
        <v>0</v>
      </c>
      <c r="H64" s="299">
        <v>0</v>
      </c>
      <c r="I64" s="299">
        <v>0</v>
      </c>
      <c r="J64" s="299">
        <f>K64+L64+M64+N64</f>
        <v>628</v>
      </c>
      <c r="K64" s="299">
        <f>655-27</f>
        <v>628</v>
      </c>
      <c r="L64" s="299">
        <v>0</v>
      </c>
      <c r="M64" s="299">
        <v>0</v>
      </c>
      <c r="N64" s="299">
        <v>0</v>
      </c>
      <c r="O64" s="299">
        <f>P64+Q64+R64+S64</f>
        <v>509.8</v>
      </c>
      <c r="P64" s="299">
        <f>533-23.2</f>
        <v>509.8</v>
      </c>
      <c r="Q64" s="299">
        <v>0</v>
      </c>
      <c r="R64" s="299">
        <v>0</v>
      </c>
      <c r="S64" s="299">
        <v>0</v>
      </c>
      <c r="T64" s="299">
        <v>0</v>
      </c>
      <c r="U64" s="299">
        <v>0</v>
      </c>
      <c r="V64" s="299">
        <v>0</v>
      </c>
      <c r="W64" s="299">
        <v>0</v>
      </c>
      <c r="X64" s="299">
        <v>0</v>
      </c>
      <c r="Y64" s="299">
        <f>Z64+AA64+AB64+AC64</f>
        <v>0</v>
      </c>
      <c r="Z64" s="299">
        <v>0</v>
      </c>
      <c r="AA64" s="299">
        <v>0</v>
      </c>
      <c r="AB64" s="299">
        <v>0</v>
      </c>
      <c r="AC64" s="299">
        <v>0</v>
      </c>
      <c r="AD64" s="299">
        <f>E64+J64+O64+T64+Y64</f>
        <v>1903.8</v>
      </c>
      <c r="AF64" s="316" t="s">
        <v>131</v>
      </c>
    </row>
    <row r="65" spans="1:30">
      <c r="A65" s="652" t="s">
        <v>49</v>
      </c>
      <c r="B65" s="653"/>
      <c r="C65" s="654"/>
      <c r="D65" s="347"/>
      <c r="E65" s="326">
        <f t="shared" ref="E65:AD65" si="22">SUM(E64:E64)</f>
        <v>766</v>
      </c>
      <c r="F65" s="326">
        <f>SUM(F64)</f>
        <v>766</v>
      </c>
      <c r="G65" s="326">
        <f t="shared" si="22"/>
        <v>0</v>
      </c>
      <c r="H65" s="326">
        <f t="shared" si="22"/>
        <v>0</v>
      </c>
      <c r="I65" s="326">
        <f t="shared" si="22"/>
        <v>0</v>
      </c>
      <c r="J65" s="326">
        <f>J64</f>
        <v>628</v>
      </c>
      <c r="K65" s="326">
        <f t="shared" si="22"/>
        <v>628</v>
      </c>
      <c r="L65" s="326">
        <f t="shared" si="22"/>
        <v>0</v>
      </c>
      <c r="M65" s="326">
        <f t="shared" si="22"/>
        <v>0</v>
      </c>
      <c r="N65" s="326">
        <f t="shared" si="22"/>
        <v>0</v>
      </c>
      <c r="O65" s="326">
        <f t="shared" si="22"/>
        <v>509.8</v>
      </c>
      <c r="P65" s="326">
        <f t="shared" si="22"/>
        <v>509.8</v>
      </c>
      <c r="Q65" s="326">
        <f t="shared" si="22"/>
        <v>0</v>
      </c>
      <c r="R65" s="326">
        <f t="shared" si="22"/>
        <v>0</v>
      </c>
      <c r="S65" s="326">
        <f t="shared" si="22"/>
        <v>0</v>
      </c>
      <c r="T65" s="326">
        <f t="shared" si="22"/>
        <v>0</v>
      </c>
      <c r="U65" s="326">
        <f t="shared" si="22"/>
        <v>0</v>
      </c>
      <c r="V65" s="326">
        <f t="shared" si="22"/>
        <v>0</v>
      </c>
      <c r="W65" s="326">
        <f t="shared" si="22"/>
        <v>0</v>
      </c>
      <c r="X65" s="326">
        <f t="shared" si="22"/>
        <v>0</v>
      </c>
      <c r="Y65" s="326">
        <f t="shared" si="22"/>
        <v>0</v>
      </c>
      <c r="Z65" s="326">
        <f t="shared" si="22"/>
        <v>0</v>
      </c>
      <c r="AA65" s="326">
        <f t="shared" si="22"/>
        <v>0</v>
      </c>
      <c r="AB65" s="326">
        <f t="shared" si="22"/>
        <v>0</v>
      </c>
      <c r="AC65" s="326">
        <f t="shared" si="22"/>
        <v>0</v>
      </c>
      <c r="AD65" s="326">
        <f t="shared" si="22"/>
        <v>1903.8</v>
      </c>
    </row>
    <row r="66" spans="1:30" ht="23.25" customHeight="1">
      <c r="A66" s="347" t="s">
        <v>252</v>
      </c>
      <c r="B66" s="639" t="s">
        <v>279</v>
      </c>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1"/>
    </row>
    <row r="67" spans="1:30" ht="93.75">
      <c r="A67" s="347" t="s">
        <v>50</v>
      </c>
      <c r="B67" s="333" t="s">
        <v>115</v>
      </c>
      <c r="C67" s="322" t="s">
        <v>106</v>
      </c>
      <c r="D67" s="322" t="s">
        <v>93</v>
      </c>
      <c r="E67" s="299">
        <f>F67+G67+H67+I67</f>
        <v>25286</v>
      </c>
      <c r="F67" s="299">
        <f>27786-2500</f>
        <v>25286</v>
      </c>
      <c r="G67" s="299">
        <v>0</v>
      </c>
      <c r="H67" s="299">
        <v>0</v>
      </c>
      <c r="I67" s="299">
        <v>0</v>
      </c>
      <c r="J67" s="299">
        <f>K67+L67+M67+N67</f>
        <v>29781</v>
      </c>
      <c r="K67" s="299">
        <f>40120-110-10229</f>
        <v>29781</v>
      </c>
      <c r="L67" s="299">
        <v>0</v>
      </c>
      <c r="M67" s="299">
        <v>0</v>
      </c>
      <c r="N67" s="299">
        <v>0</v>
      </c>
      <c r="O67" s="299">
        <f>P67+Q67+R67+S67</f>
        <v>29104</v>
      </c>
      <c r="P67" s="299">
        <v>29104</v>
      </c>
      <c r="Q67" s="299">
        <v>0</v>
      </c>
      <c r="R67" s="299">
        <v>0</v>
      </c>
      <c r="S67" s="299">
        <v>0</v>
      </c>
      <c r="T67" s="299">
        <f>U67+V67+W67+X67</f>
        <v>0</v>
      </c>
      <c r="U67" s="299">
        <v>0</v>
      </c>
      <c r="V67" s="299">
        <v>0</v>
      </c>
      <c r="W67" s="299">
        <v>0</v>
      </c>
      <c r="X67" s="299">
        <v>0</v>
      </c>
      <c r="Y67" s="299">
        <f>Z67+AA67+AB67+AC67</f>
        <v>0</v>
      </c>
      <c r="Z67" s="299">
        <v>0</v>
      </c>
      <c r="AA67" s="299">
        <v>0</v>
      </c>
      <c r="AB67" s="299">
        <v>0</v>
      </c>
      <c r="AC67" s="299">
        <v>0</v>
      </c>
      <c r="AD67" s="299">
        <f>E67+J67+O67+T67+Y67</f>
        <v>84171</v>
      </c>
    </row>
    <row r="68" spans="1:30" ht="23.25">
      <c r="A68" s="642" t="s">
        <v>53</v>
      </c>
      <c r="B68" s="643"/>
      <c r="C68" s="644"/>
      <c r="D68" s="347"/>
      <c r="E68" s="326">
        <f t="shared" ref="E68:AD68" si="23">SUM(E67:E67)</f>
        <v>25286</v>
      </c>
      <c r="F68" s="326">
        <f>SUM(F67)</f>
        <v>25286</v>
      </c>
      <c r="G68" s="326">
        <f t="shared" si="23"/>
        <v>0</v>
      </c>
      <c r="H68" s="326">
        <f t="shared" si="23"/>
        <v>0</v>
      </c>
      <c r="I68" s="326">
        <f t="shared" si="23"/>
        <v>0</v>
      </c>
      <c r="J68" s="326">
        <f>J67</f>
        <v>29781</v>
      </c>
      <c r="K68" s="326">
        <f t="shared" si="23"/>
        <v>29781</v>
      </c>
      <c r="L68" s="326">
        <f t="shared" si="23"/>
        <v>0</v>
      </c>
      <c r="M68" s="326">
        <f t="shared" si="23"/>
        <v>0</v>
      </c>
      <c r="N68" s="326">
        <f t="shared" si="23"/>
        <v>0</v>
      </c>
      <c r="O68" s="326">
        <f t="shared" si="23"/>
        <v>29104</v>
      </c>
      <c r="P68" s="326">
        <f t="shared" si="23"/>
        <v>29104</v>
      </c>
      <c r="Q68" s="326">
        <f t="shared" si="23"/>
        <v>0</v>
      </c>
      <c r="R68" s="326">
        <f t="shared" si="23"/>
        <v>0</v>
      </c>
      <c r="S68" s="326">
        <f t="shared" si="23"/>
        <v>0</v>
      </c>
      <c r="T68" s="326">
        <f t="shared" si="23"/>
        <v>0</v>
      </c>
      <c r="U68" s="326">
        <f t="shared" si="23"/>
        <v>0</v>
      </c>
      <c r="V68" s="326">
        <f t="shared" si="23"/>
        <v>0</v>
      </c>
      <c r="W68" s="326">
        <f t="shared" si="23"/>
        <v>0</v>
      </c>
      <c r="X68" s="326">
        <f t="shared" si="23"/>
        <v>0</v>
      </c>
      <c r="Y68" s="326">
        <f t="shared" si="23"/>
        <v>0</v>
      </c>
      <c r="Z68" s="326">
        <f t="shared" si="23"/>
        <v>0</v>
      </c>
      <c r="AA68" s="326">
        <f t="shared" si="23"/>
        <v>0</v>
      </c>
      <c r="AB68" s="326">
        <f t="shared" si="23"/>
        <v>0</v>
      </c>
      <c r="AC68" s="326">
        <f t="shared" si="23"/>
        <v>0</v>
      </c>
      <c r="AD68" s="326">
        <f t="shared" si="23"/>
        <v>84171</v>
      </c>
    </row>
    <row r="69" spans="1:30" ht="23.25" customHeight="1">
      <c r="A69" s="347" t="s">
        <v>254</v>
      </c>
      <c r="B69" s="639" t="s">
        <v>280</v>
      </c>
      <c r="C69" s="640"/>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1"/>
    </row>
    <row r="70" spans="1:30" ht="37.5">
      <c r="A70" s="347" t="s">
        <v>55</v>
      </c>
      <c r="B70" s="328" t="s">
        <v>96</v>
      </c>
      <c r="C70" s="322" t="s">
        <v>94</v>
      </c>
      <c r="D70" s="322" t="s">
        <v>93</v>
      </c>
      <c r="E70" s="299">
        <f>F70+G70+H70+I70</f>
        <v>7420</v>
      </c>
      <c r="F70" s="299">
        <f>6486+934</f>
        <v>7420</v>
      </c>
      <c r="G70" s="299">
        <v>0</v>
      </c>
      <c r="H70" s="299">
        <v>0</v>
      </c>
      <c r="I70" s="299">
        <v>0</v>
      </c>
      <c r="J70" s="299">
        <f>K70+L70+M70+N70</f>
        <v>6270</v>
      </c>
      <c r="K70" s="299">
        <f>7350-300-780</f>
        <v>6270</v>
      </c>
      <c r="L70" s="299">
        <v>0</v>
      </c>
      <c r="M70" s="299">
        <v>0</v>
      </c>
      <c r="N70" s="299">
        <v>0</v>
      </c>
      <c r="O70" s="299">
        <f>P70+Q70+R70+S70</f>
        <v>7050</v>
      </c>
      <c r="P70" s="299">
        <v>7050</v>
      </c>
      <c r="Q70" s="299">
        <v>0</v>
      </c>
      <c r="R70" s="299">
        <v>0</v>
      </c>
      <c r="S70" s="299">
        <v>0</v>
      </c>
      <c r="T70" s="299">
        <f>U70+V70+W70+X70</f>
        <v>0</v>
      </c>
      <c r="U70" s="299">
        <v>0</v>
      </c>
      <c r="V70" s="299">
        <v>0</v>
      </c>
      <c r="W70" s="299">
        <v>0</v>
      </c>
      <c r="X70" s="299">
        <v>0</v>
      </c>
      <c r="Y70" s="299">
        <f>Z70+AA70+AB70+AC70</f>
        <v>0</v>
      </c>
      <c r="Z70" s="299">
        <v>0</v>
      </c>
      <c r="AA70" s="299">
        <v>0</v>
      </c>
      <c r="AB70" s="299">
        <v>0</v>
      </c>
      <c r="AC70" s="299">
        <v>0</v>
      </c>
      <c r="AD70" s="299">
        <f>E70+J70+O70+T70+Y70</f>
        <v>20740</v>
      </c>
    </row>
    <row r="71" spans="1:30" ht="69.75">
      <c r="A71" s="347" t="s">
        <v>256</v>
      </c>
      <c r="B71" s="333" t="s">
        <v>209</v>
      </c>
      <c r="C71" s="322" t="s">
        <v>94</v>
      </c>
      <c r="D71" s="322" t="s">
        <v>93</v>
      </c>
      <c r="E71" s="299">
        <f>SUM(F71:I71)</f>
        <v>681</v>
      </c>
      <c r="F71" s="299">
        <v>681</v>
      </c>
      <c r="G71" s="299">
        <v>0</v>
      </c>
      <c r="H71" s="299">
        <v>0</v>
      </c>
      <c r="I71" s="299">
        <v>0</v>
      </c>
      <c r="J71" s="299">
        <f>K71+L71+M71+N71</f>
        <v>558</v>
      </c>
      <c r="K71" s="299">
        <f>684-126</f>
        <v>558</v>
      </c>
      <c r="L71" s="299">
        <v>0</v>
      </c>
      <c r="M71" s="299">
        <v>0</v>
      </c>
      <c r="N71" s="299">
        <v>0</v>
      </c>
      <c r="O71" s="299">
        <f>P71+Q71+R71+S71</f>
        <v>612</v>
      </c>
      <c r="P71" s="299">
        <v>612</v>
      </c>
      <c r="Q71" s="299">
        <v>0</v>
      </c>
      <c r="R71" s="299">
        <v>0</v>
      </c>
      <c r="S71" s="299">
        <v>0</v>
      </c>
      <c r="T71" s="299">
        <f>U71+V71+W71+X71</f>
        <v>0</v>
      </c>
      <c r="U71" s="299">
        <v>0</v>
      </c>
      <c r="V71" s="299">
        <v>0</v>
      </c>
      <c r="W71" s="299">
        <v>0</v>
      </c>
      <c r="X71" s="299">
        <v>0</v>
      </c>
      <c r="Y71" s="299">
        <f>Z71+AA71+AB71+AC71</f>
        <v>0</v>
      </c>
      <c r="Z71" s="299">
        <v>0</v>
      </c>
      <c r="AA71" s="299">
        <v>0</v>
      </c>
      <c r="AB71" s="299">
        <v>0</v>
      </c>
      <c r="AC71" s="299">
        <v>0</v>
      </c>
      <c r="AD71" s="299">
        <f>E71+J71+O71+T71+Y71</f>
        <v>1851</v>
      </c>
    </row>
    <row r="72" spans="1:30" ht="116.25">
      <c r="A72" s="347" t="s">
        <v>257</v>
      </c>
      <c r="B72" s="333" t="s">
        <v>271</v>
      </c>
      <c r="C72" s="322" t="s">
        <v>266</v>
      </c>
      <c r="D72" s="322">
        <v>2020</v>
      </c>
      <c r="E72" s="299">
        <f>F72+G72+H72+I72</f>
        <v>774</v>
      </c>
      <c r="F72" s="299">
        <v>774</v>
      </c>
      <c r="G72" s="299">
        <v>0</v>
      </c>
      <c r="H72" s="299">
        <v>0</v>
      </c>
      <c r="I72" s="299">
        <v>0</v>
      </c>
      <c r="J72" s="299">
        <f>K72+L72+M72+N72</f>
        <v>350</v>
      </c>
      <c r="K72" s="299">
        <v>350</v>
      </c>
      <c r="L72" s="299">
        <v>0</v>
      </c>
      <c r="M72" s="299">
        <v>0</v>
      </c>
      <c r="N72" s="299">
        <v>0</v>
      </c>
      <c r="O72" s="299">
        <f>P72+Q72+R72+S72</f>
        <v>360</v>
      </c>
      <c r="P72" s="299">
        <v>360</v>
      </c>
      <c r="Q72" s="299">
        <v>0</v>
      </c>
      <c r="R72" s="299">
        <v>0</v>
      </c>
      <c r="S72" s="299">
        <v>0</v>
      </c>
      <c r="T72" s="299">
        <f>U72+V72+W72+X72</f>
        <v>0</v>
      </c>
      <c r="U72" s="299">
        <v>0</v>
      </c>
      <c r="V72" s="299">
        <v>0</v>
      </c>
      <c r="W72" s="299">
        <v>0</v>
      </c>
      <c r="X72" s="299">
        <v>0</v>
      </c>
      <c r="Y72" s="299">
        <f>Z72+AA72+AB72+AC72</f>
        <v>0</v>
      </c>
      <c r="Z72" s="299">
        <v>0</v>
      </c>
      <c r="AA72" s="299">
        <v>0</v>
      </c>
      <c r="AB72" s="299">
        <v>0</v>
      </c>
      <c r="AC72" s="299">
        <v>0</v>
      </c>
      <c r="AD72" s="299">
        <f>E72+J72+O72+T72+Y72</f>
        <v>1484</v>
      </c>
    </row>
    <row r="73" spans="1:30" ht="23.25">
      <c r="A73" s="642" t="s">
        <v>56</v>
      </c>
      <c r="B73" s="643"/>
      <c r="C73" s="644"/>
      <c r="D73" s="347"/>
      <c r="E73" s="326">
        <f>E70+E71+E72</f>
        <v>8875</v>
      </c>
      <c r="F73" s="326">
        <f>F70+F71+F72</f>
        <v>8875</v>
      </c>
      <c r="G73" s="326">
        <f>SUM(G70:G70)</f>
        <v>0</v>
      </c>
      <c r="H73" s="326">
        <f>SUM(H70:H70)</f>
        <v>0</v>
      </c>
      <c r="I73" s="326">
        <f>SUM(I70:I70)</f>
        <v>0</v>
      </c>
      <c r="J73" s="326">
        <f>J70+J71+J72</f>
        <v>7178</v>
      </c>
      <c r="K73" s="326">
        <f>K70+K71+K72</f>
        <v>7178</v>
      </c>
      <c r="L73" s="326">
        <f>SUM(L70:L70)</f>
        <v>0</v>
      </c>
      <c r="M73" s="326">
        <f>SUM(M70:M70)</f>
        <v>0</v>
      </c>
      <c r="N73" s="326">
        <f>SUM(N70:N70)</f>
        <v>0</v>
      </c>
      <c r="O73" s="326">
        <f>O70+O71+O72</f>
        <v>8022</v>
      </c>
      <c r="P73" s="326">
        <f>P70+P71+P72</f>
        <v>8022</v>
      </c>
      <c r="Q73" s="326">
        <f>SUM(Q70:Q70)</f>
        <v>0</v>
      </c>
      <c r="R73" s="326">
        <f>SUM(R70:R70)</f>
        <v>0</v>
      </c>
      <c r="S73" s="326">
        <f>SUM(S70:S70)</f>
        <v>0</v>
      </c>
      <c r="T73" s="326">
        <f>T70+T71+T72</f>
        <v>0</v>
      </c>
      <c r="U73" s="326">
        <f>U70+U71+U72</f>
        <v>0</v>
      </c>
      <c r="V73" s="326">
        <f>SUM(V70:V70)</f>
        <v>0</v>
      </c>
      <c r="W73" s="326">
        <f>SUM(W70:W70)</f>
        <v>0</v>
      </c>
      <c r="X73" s="326">
        <f>SUM(X70:X70)</f>
        <v>0</v>
      </c>
      <c r="Y73" s="326">
        <f>Y70+Y71+Y72</f>
        <v>0</v>
      </c>
      <c r="Z73" s="326">
        <f>Z70+Z71+Z72</f>
        <v>0</v>
      </c>
      <c r="AA73" s="326">
        <f>SUM(AA70:AA70)</f>
        <v>0</v>
      </c>
      <c r="AB73" s="326">
        <f>SUM(AB70:AB70)</f>
        <v>0</v>
      </c>
      <c r="AC73" s="326">
        <f>SUM(AC70:AC70)</f>
        <v>0</v>
      </c>
      <c r="AD73" s="326">
        <f>SUM(AD70:AD72)</f>
        <v>24075</v>
      </c>
    </row>
    <row r="74" spans="1:30" ht="23.25">
      <c r="A74" s="338" t="s">
        <v>135</v>
      </c>
      <c r="B74" s="338"/>
      <c r="C74" s="387"/>
      <c r="D74" s="395"/>
      <c r="E74" s="353">
        <f>E70+E71+E72</f>
        <v>8875</v>
      </c>
      <c r="F74" s="353">
        <f>F70+F71+F72</f>
        <v>8875</v>
      </c>
      <c r="G74" s="353">
        <v>0</v>
      </c>
      <c r="H74" s="353">
        <v>0</v>
      </c>
      <c r="I74" s="353">
        <v>0</v>
      </c>
      <c r="J74" s="353">
        <f>J70+J71+J72</f>
        <v>7178</v>
      </c>
      <c r="K74" s="353">
        <f>K70+K71+K72</f>
        <v>7178</v>
      </c>
      <c r="L74" s="353">
        <v>0</v>
      </c>
      <c r="M74" s="353">
        <v>0</v>
      </c>
      <c r="N74" s="353">
        <v>0</v>
      </c>
      <c r="O74" s="353">
        <f>O73</f>
        <v>8022</v>
      </c>
      <c r="P74" s="353">
        <f>P70+P71+P72</f>
        <v>8022</v>
      </c>
      <c r="Q74" s="353">
        <v>0</v>
      </c>
      <c r="R74" s="353">
        <v>0</v>
      </c>
      <c r="S74" s="353">
        <v>0</v>
      </c>
      <c r="T74" s="353">
        <f>T70+T71+T72</f>
        <v>0</v>
      </c>
      <c r="U74" s="353">
        <f>U70+U71+U72</f>
        <v>0</v>
      </c>
      <c r="V74" s="353">
        <v>0</v>
      </c>
      <c r="W74" s="353">
        <v>0</v>
      </c>
      <c r="X74" s="353">
        <v>0</v>
      </c>
      <c r="Y74" s="353">
        <f>Y70+Y71+Y72</f>
        <v>0</v>
      </c>
      <c r="Z74" s="353">
        <f>Z70+Z71+Z72</f>
        <v>0</v>
      </c>
      <c r="AA74" s="353">
        <v>0</v>
      </c>
      <c r="AB74" s="353">
        <v>0</v>
      </c>
      <c r="AC74" s="353">
        <v>0</v>
      </c>
      <c r="AD74" s="354">
        <f>AD70+AD71</f>
        <v>22591</v>
      </c>
    </row>
    <row r="75" spans="1:30" ht="23.25">
      <c r="A75" s="347" t="s">
        <v>97</v>
      </c>
      <c r="B75" s="639" t="s">
        <v>281</v>
      </c>
      <c r="C75" s="640"/>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1"/>
    </row>
    <row r="76" spans="1:30" ht="116.25">
      <c r="A76" s="359" t="s">
        <v>57</v>
      </c>
      <c r="B76" s="328" t="s">
        <v>290</v>
      </c>
      <c r="C76" s="322" t="s">
        <v>73</v>
      </c>
      <c r="D76" s="322" t="s">
        <v>93</v>
      </c>
      <c r="E76" s="299">
        <f xml:space="preserve"> SUM(F76:I76)</f>
        <v>136.19999999999999</v>
      </c>
      <c r="F76" s="299">
        <f>74.6+61.6</f>
        <v>136.19999999999999</v>
      </c>
      <c r="G76" s="299">
        <v>0</v>
      </c>
      <c r="H76" s="299">
        <v>0</v>
      </c>
      <c r="I76" s="299">
        <v>0</v>
      </c>
      <c r="J76" s="299">
        <f xml:space="preserve"> SUM(K76:N76)</f>
        <v>137.5</v>
      </c>
      <c r="K76" s="299">
        <f>142-4.5</f>
        <v>137.5</v>
      </c>
      <c r="L76" s="299">
        <v>0</v>
      </c>
      <c r="M76" s="299">
        <v>0</v>
      </c>
      <c r="N76" s="299">
        <v>0</v>
      </c>
      <c r="O76" s="299">
        <f xml:space="preserve"> SUM(P76:S76)</f>
        <v>142</v>
      </c>
      <c r="P76" s="299">
        <v>142</v>
      </c>
      <c r="Q76" s="299">
        <v>0</v>
      </c>
      <c r="R76" s="299">
        <v>0</v>
      </c>
      <c r="S76" s="299">
        <v>0</v>
      </c>
      <c r="T76" s="299">
        <f xml:space="preserve"> SUM(U76:X76)</f>
        <v>142</v>
      </c>
      <c r="U76" s="299">
        <v>142</v>
      </c>
      <c r="V76" s="299">
        <v>0</v>
      </c>
      <c r="W76" s="299">
        <v>0</v>
      </c>
      <c r="X76" s="299">
        <v>0</v>
      </c>
      <c r="Y76" s="299">
        <f xml:space="preserve"> SUM(Z76:AC76)</f>
        <v>142</v>
      </c>
      <c r="Z76" s="299">
        <v>142</v>
      </c>
      <c r="AA76" s="299">
        <v>0</v>
      </c>
      <c r="AB76" s="299">
        <v>0</v>
      </c>
      <c r="AC76" s="299">
        <v>0</v>
      </c>
      <c r="AD76" s="299">
        <f>E76+J76+O76+T76+Y76</f>
        <v>699.7</v>
      </c>
    </row>
    <row r="77" spans="1:30" ht="23.25">
      <c r="A77" s="642" t="s">
        <v>58</v>
      </c>
      <c r="B77" s="643"/>
      <c r="C77" s="644"/>
      <c r="D77" s="347"/>
      <c r="E77" s="326">
        <f>E76</f>
        <v>136.19999999999999</v>
      </c>
      <c r="F77" s="326">
        <f>F76</f>
        <v>136.19999999999999</v>
      </c>
      <c r="G77" s="326">
        <v>0</v>
      </c>
      <c r="H77" s="326">
        <v>0</v>
      </c>
      <c r="I77" s="326">
        <v>0</v>
      </c>
      <c r="J77" s="326">
        <f t="shared" ref="J77:AC77" si="24">J76</f>
        <v>137.5</v>
      </c>
      <c r="K77" s="326">
        <f t="shared" si="24"/>
        <v>137.5</v>
      </c>
      <c r="L77" s="326">
        <f t="shared" si="24"/>
        <v>0</v>
      </c>
      <c r="M77" s="326">
        <f t="shared" si="24"/>
        <v>0</v>
      </c>
      <c r="N77" s="326">
        <f t="shared" si="24"/>
        <v>0</v>
      </c>
      <c r="O77" s="326">
        <f t="shared" si="24"/>
        <v>142</v>
      </c>
      <c r="P77" s="326">
        <f t="shared" si="24"/>
        <v>142</v>
      </c>
      <c r="Q77" s="326">
        <f t="shared" si="24"/>
        <v>0</v>
      </c>
      <c r="R77" s="326">
        <f t="shared" si="24"/>
        <v>0</v>
      </c>
      <c r="S77" s="326">
        <f t="shared" si="24"/>
        <v>0</v>
      </c>
      <c r="T77" s="326">
        <f t="shared" si="24"/>
        <v>142</v>
      </c>
      <c r="U77" s="326">
        <f t="shared" si="24"/>
        <v>142</v>
      </c>
      <c r="V77" s="326">
        <f t="shared" si="24"/>
        <v>0</v>
      </c>
      <c r="W77" s="326">
        <f t="shared" si="24"/>
        <v>0</v>
      </c>
      <c r="X77" s="326">
        <f t="shared" si="24"/>
        <v>0</v>
      </c>
      <c r="Y77" s="326">
        <f t="shared" si="24"/>
        <v>142</v>
      </c>
      <c r="Z77" s="326">
        <f t="shared" si="24"/>
        <v>142</v>
      </c>
      <c r="AA77" s="326">
        <f t="shared" si="24"/>
        <v>0</v>
      </c>
      <c r="AB77" s="326">
        <f t="shared" si="24"/>
        <v>0</v>
      </c>
      <c r="AC77" s="326">
        <f t="shared" si="24"/>
        <v>0</v>
      </c>
      <c r="AD77" s="326">
        <f>E77+J77+O77+T77+Y77</f>
        <v>699.7</v>
      </c>
    </row>
    <row r="78" spans="1:30" ht="23.25" customHeight="1">
      <c r="A78" s="394">
        <v>10</v>
      </c>
      <c r="B78" s="645" t="s">
        <v>259</v>
      </c>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7"/>
    </row>
    <row r="79" spans="1:30" ht="93">
      <c r="A79" s="360" t="s">
        <v>59</v>
      </c>
      <c r="B79" s="328" t="s">
        <v>186</v>
      </c>
      <c r="C79" s="389" t="s">
        <v>107</v>
      </c>
      <c r="D79" s="322" t="s">
        <v>93</v>
      </c>
      <c r="E79" s="300">
        <v>500</v>
      </c>
      <c r="F79" s="300">
        <v>500</v>
      </c>
      <c r="G79" s="300">
        <v>0</v>
      </c>
      <c r="H79" s="300">
        <v>0</v>
      </c>
      <c r="I79" s="300">
        <v>0</v>
      </c>
      <c r="J79" s="300">
        <f>K79+L79+M79+N79</f>
        <v>12</v>
      </c>
      <c r="K79" s="300">
        <f>24-12</f>
        <v>12</v>
      </c>
      <c r="L79" s="300">
        <v>0</v>
      </c>
      <c r="M79" s="300">
        <v>0</v>
      </c>
      <c r="N79" s="300">
        <v>0</v>
      </c>
      <c r="O79" s="385">
        <v>0</v>
      </c>
      <c r="P79" s="385">
        <v>0</v>
      </c>
      <c r="Q79" s="300">
        <v>0</v>
      </c>
      <c r="R79" s="300">
        <v>0</v>
      </c>
      <c r="S79" s="300">
        <v>0</v>
      </c>
      <c r="T79" s="300">
        <f t="shared" ref="T79:T81" si="25">U79+V79+W79+X79</f>
        <v>0</v>
      </c>
      <c r="U79" s="300">
        <v>0</v>
      </c>
      <c r="V79" s="300">
        <v>0</v>
      </c>
      <c r="W79" s="300">
        <v>0</v>
      </c>
      <c r="X79" s="300">
        <v>0</v>
      </c>
      <c r="Y79" s="300">
        <f>Z79+AA79+AB79+AC79</f>
        <v>0</v>
      </c>
      <c r="Z79" s="300">
        <v>0</v>
      </c>
      <c r="AA79" s="300">
        <v>0</v>
      </c>
      <c r="AB79" s="300">
        <v>0</v>
      </c>
      <c r="AC79" s="300">
        <v>0</v>
      </c>
      <c r="AD79" s="300">
        <f>E79+J79+O79+T79+Y79</f>
        <v>512</v>
      </c>
    </row>
    <row r="80" spans="1:30" ht="75">
      <c r="A80" s="360" t="s">
        <v>98</v>
      </c>
      <c r="B80" s="333" t="s">
        <v>159</v>
      </c>
      <c r="C80" s="362" t="s">
        <v>107</v>
      </c>
      <c r="D80" s="322" t="s">
        <v>93</v>
      </c>
      <c r="E80" s="300">
        <v>2880</v>
      </c>
      <c r="F80" s="300">
        <v>2880</v>
      </c>
      <c r="G80" s="300">
        <v>0</v>
      </c>
      <c r="H80" s="300">
        <v>0</v>
      </c>
      <c r="I80" s="300">
        <v>0</v>
      </c>
      <c r="J80" s="300">
        <f>K80+L80+M80+N80</f>
        <v>2730</v>
      </c>
      <c r="K80" s="300">
        <f>2880-150</f>
        <v>2730</v>
      </c>
      <c r="L80" s="300">
        <v>0</v>
      </c>
      <c r="M80" s="300">
        <v>0</v>
      </c>
      <c r="N80" s="300">
        <v>0</v>
      </c>
      <c r="O80" s="385">
        <v>0</v>
      </c>
      <c r="P80" s="385">
        <v>0</v>
      </c>
      <c r="Q80" s="300">
        <v>0</v>
      </c>
      <c r="R80" s="300">
        <v>0</v>
      </c>
      <c r="S80" s="300">
        <v>0</v>
      </c>
      <c r="T80" s="300">
        <f t="shared" si="25"/>
        <v>0</v>
      </c>
      <c r="U80" s="300">
        <v>0</v>
      </c>
      <c r="V80" s="300">
        <v>0</v>
      </c>
      <c r="W80" s="300">
        <v>0</v>
      </c>
      <c r="X80" s="300">
        <v>0</v>
      </c>
      <c r="Y80" s="300">
        <f>Z80+AA80+AB80+AC80</f>
        <v>0</v>
      </c>
      <c r="Z80" s="300">
        <v>0</v>
      </c>
      <c r="AA80" s="300">
        <v>0</v>
      </c>
      <c r="AB80" s="300">
        <v>0</v>
      </c>
      <c r="AC80" s="300">
        <v>0</v>
      </c>
      <c r="AD80" s="300">
        <f>E80+J80+O80+T80+Y80</f>
        <v>5610</v>
      </c>
    </row>
    <row r="81" spans="1:30" ht="23.25">
      <c r="A81" s="642" t="s">
        <v>60</v>
      </c>
      <c r="B81" s="643"/>
      <c r="C81" s="644"/>
      <c r="D81" s="360"/>
      <c r="E81" s="363">
        <f>E79+E80</f>
        <v>3380</v>
      </c>
      <c r="F81" s="363">
        <f>SUM(F79:F80)</f>
        <v>3380</v>
      </c>
      <c r="G81" s="363">
        <f>G79</f>
        <v>0</v>
      </c>
      <c r="H81" s="363">
        <f>I79</f>
        <v>0</v>
      </c>
      <c r="I81" s="363">
        <f t="shared" ref="I81:V81" si="26">I79</f>
        <v>0</v>
      </c>
      <c r="J81" s="363">
        <f>K81+L81+M81+N81</f>
        <v>2742</v>
      </c>
      <c r="K81" s="363">
        <f>K79+K80</f>
        <v>2742</v>
      </c>
      <c r="L81" s="363">
        <f t="shared" si="26"/>
        <v>0</v>
      </c>
      <c r="M81" s="363">
        <f t="shared" si="26"/>
        <v>0</v>
      </c>
      <c r="N81" s="363">
        <f t="shared" si="26"/>
        <v>0</v>
      </c>
      <c r="O81" s="386">
        <f t="shared" ref="O81" si="27">P81+Q81+R81+S81</f>
        <v>0</v>
      </c>
      <c r="P81" s="386">
        <f>P79+P80</f>
        <v>0</v>
      </c>
      <c r="Q81" s="363">
        <f t="shared" si="26"/>
        <v>0</v>
      </c>
      <c r="R81" s="363">
        <f t="shared" si="26"/>
        <v>0</v>
      </c>
      <c r="S81" s="363">
        <f t="shared" si="26"/>
        <v>0</v>
      </c>
      <c r="T81" s="363">
        <f t="shared" si="25"/>
        <v>0</v>
      </c>
      <c r="U81" s="363">
        <f>T79+T80</f>
        <v>0</v>
      </c>
      <c r="V81" s="363">
        <f t="shared" si="26"/>
        <v>0</v>
      </c>
      <c r="W81" s="363">
        <f>V79</f>
        <v>0</v>
      </c>
      <c r="X81" s="363">
        <f t="shared" ref="X81:AC81" si="28">X79</f>
        <v>0</v>
      </c>
      <c r="Y81" s="363">
        <f>Z81+AA81+AB81+AC81</f>
        <v>0</v>
      </c>
      <c r="Z81" s="363">
        <f>Z79+Z80</f>
        <v>0</v>
      </c>
      <c r="AA81" s="363">
        <f t="shared" si="28"/>
        <v>0</v>
      </c>
      <c r="AB81" s="363">
        <f t="shared" si="28"/>
        <v>0</v>
      </c>
      <c r="AC81" s="363">
        <f t="shared" si="28"/>
        <v>0</v>
      </c>
      <c r="AD81" s="363">
        <f>E81+J81+O81+T81+Y81</f>
        <v>6122</v>
      </c>
    </row>
    <row r="82" spans="1:30" ht="23.25" customHeight="1">
      <c r="A82" s="672" t="s">
        <v>304</v>
      </c>
      <c r="B82" s="673"/>
      <c r="C82" s="674"/>
      <c r="D82" s="360"/>
      <c r="E82" s="363">
        <f>F82+G82+H82+I82</f>
        <v>157092.37000000002</v>
      </c>
      <c r="F82" s="363">
        <f>F27+F33+F50+F55+F62+F65+F68+F73+F77+F81</f>
        <v>108956.7</v>
      </c>
      <c r="G82" s="363">
        <f>G27+G33+G50+G55+G62+G65+G68+G73+G77+G81</f>
        <v>45966</v>
      </c>
      <c r="H82" s="363">
        <f>H27+H33+H50+H55+H62+H65+H68+H73+H77+H81</f>
        <v>0</v>
      </c>
      <c r="I82" s="363">
        <f>I27+I33+I50+I55+I62+I65+I68+I73+I77+I81</f>
        <v>2169.67</v>
      </c>
      <c r="J82" s="363">
        <f>K82+L82+M82+N82</f>
        <v>121069.1</v>
      </c>
      <c r="K82" s="363">
        <f>K27+K33+K50+K55+K62+K65+K68+K73+K77+K81</f>
        <v>94437.1</v>
      </c>
      <c r="L82" s="363">
        <f>L27+L33+L50+L55+L62+L65+L68+L73+L77+L81</f>
        <v>26632</v>
      </c>
      <c r="M82" s="363">
        <f>M27+M33+M50+M55+M62+M65+M68+M73+M77+M81</f>
        <v>0</v>
      </c>
      <c r="N82" s="363">
        <f>N27+N33+N50+N55+N62+N65+N68+N73+N77+N81</f>
        <v>0</v>
      </c>
      <c r="O82" s="386">
        <f>P82+Q82+R82+S82</f>
        <v>132273.79999999999</v>
      </c>
      <c r="P82" s="386">
        <f>P27+P33+P50+P55+P62+P65+P68+P73+P77+P81</f>
        <v>108196.8</v>
      </c>
      <c r="Q82" s="363">
        <f>Q27+Q33+Q50+Q55+Q62+Q65+Q68+Q73+Q77+Q81</f>
        <v>24077</v>
      </c>
      <c r="R82" s="363">
        <f>R27+R33+R50+R55+R62+R65+R68+R73+R77+R81</f>
        <v>0</v>
      </c>
      <c r="S82" s="363">
        <f>S27+S33+S50+S55+S62+S65+S68+S73+S77+S81</f>
        <v>0</v>
      </c>
      <c r="T82" s="363">
        <f>U82+V82+W82+X82</f>
        <v>26196</v>
      </c>
      <c r="U82" s="363">
        <f>U27+U33+U50+U55+U62+U65+U68+U73+U77+U81</f>
        <v>2119</v>
      </c>
      <c r="V82" s="363">
        <f>V27+V33+V50+V55+V62+V65+V68+V73+V77+V81</f>
        <v>24077</v>
      </c>
      <c r="W82" s="363">
        <f>W27+W33+W50+W55+W62+W65+W68+W73+W77+W81</f>
        <v>0</v>
      </c>
      <c r="X82" s="363">
        <f>X27+X33+X50+X55+X62+X65+X68+X73+X77+X81</f>
        <v>0</v>
      </c>
      <c r="Y82" s="363">
        <f>Z82+AA82+AB82+AC82</f>
        <v>26196</v>
      </c>
      <c r="Z82" s="363">
        <f>Z27+Z33+Z50+Z55+Z62+Z65+Z68+Z73+Z77+Z81</f>
        <v>2119</v>
      </c>
      <c r="AA82" s="363">
        <f>AA27+AA33+AA50+AA55+AA62+AA65+AA68+AA73+AA77+AA81</f>
        <v>24077</v>
      </c>
      <c r="AB82" s="363">
        <f>AB27+AB33+AB50+AB55+AB62+AB65+AB68+AB73+AB77+AB81</f>
        <v>0</v>
      </c>
      <c r="AC82" s="363">
        <f>AC27+AC33+AC50+AC55+AC62+AC65+AC68+AC73+AC77+AC81</f>
        <v>0</v>
      </c>
      <c r="AD82" s="363">
        <f>E82+J82+O82+T82+Y82</f>
        <v>462827.27</v>
      </c>
    </row>
    <row r="83" spans="1:30">
      <c r="C83" s="315">
        <v>2020</v>
      </c>
      <c r="E83" s="364"/>
    </row>
    <row r="84" spans="1:30" ht="225">
      <c r="A84" s="365" t="s">
        <v>201</v>
      </c>
      <c r="B84" s="366" t="s">
        <v>134</v>
      </c>
      <c r="C84" s="364">
        <f>E29+E33+E52+E55+E61+E65+E68+E74+E81</f>
        <v>96915</v>
      </c>
      <c r="F84" s="364"/>
      <c r="J84" s="364"/>
      <c r="O84" s="364"/>
      <c r="T84" s="364"/>
      <c r="Y84" s="364"/>
      <c r="AC84" s="364"/>
    </row>
    <row r="85" spans="1:30">
      <c r="B85" s="366" t="s">
        <v>137</v>
      </c>
      <c r="C85" s="364">
        <f>E30+E51+E60+E77</f>
        <v>23882</v>
      </c>
      <c r="J85" s="364"/>
      <c r="O85" s="364"/>
      <c r="T85" s="364"/>
      <c r="Y85" s="364"/>
      <c r="AC85" s="364"/>
    </row>
    <row r="86" spans="1:30">
      <c r="B86" s="366" t="s">
        <v>138</v>
      </c>
      <c r="C86" s="364">
        <f>E28</f>
        <v>36295.369999999995</v>
      </c>
      <c r="J86" s="364"/>
      <c r="O86" s="364"/>
      <c r="T86" s="364"/>
      <c r="Y86" s="364"/>
      <c r="AC86" s="364"/>
    </row>
    <row r="87" spans="1:30">
      <c r="C87" s="364"/>
      <c r="J87" s="364"/>
      <c r="O87" s="364"/>
      <c r="T87" s="364"/>
      <c r="Y87" s="364"/>
      <c r="AC87" s="364"/>
    </row>
    <row r="88" spans="1:30">
      <c r="B88" s="366"/>
      <c r="C88" s="364">
        <f>C84+C85+C86</f>
        <v>157092.37</v>
      </c>
      <c r="D88" s="315" t="s">
        <v>305</v>
      </c>
      <c r="J88" s="364"/>
      <c r="K88" s="364"/>
      <c r="O88" s="364"/>
      <c r="T88" s="364"/>
      <c r="Y88" s="364"/>
      <c r="AC88" s="364"/>
    </row>
    <row r="89" spans="1:30">
      <c r="J89" s="364"/>
      <c r="O89" s="364"/>
      <c r="T89" s="364"/>
      <c r="Y89" s="364"/>
      <c r="AC89" s="364"/>
    </row>
    <row r="90" spans="1:30">
      <c r="C90" s="364"/>
      <c r="J90" s="364"/>
      <c r="O90" s="364"/>
      <c r="T90" s="364"/>
      <c r="Y90" s="364"/>
    </row>
    <row r="92" spans="1:30">
      <c r="B92" s="366" t="s">
        <v>195</v>
      </c>
      <c r="C92" s="364" t="e">
        <f>#REF!+#REF!+#REF!+#REF!+#REF!</f>
        <v>#REF!</v>
      </c>
    </row>
    <row r="93" spans="1:30">
      <c r="B93" s="367" t="s">
        <v>196</v>
      </c>
      <c r="C93" s="364" t="e">
        <f>#REF!+#REF!+#REF!+#REF!+#REF!</f>
        <v>#REF!</v>
      </c>
      <c r="D93" s="315" t="s">
        <v>301</v>
      </c>
      <c r="E93" s="364">
        <f>F82+K82+P82+U82+Z82</f>
        <v>315828.59999999998</v>
      </c>
      <c r="F93" s="315" t="s">
        <v>306</v>
      </c>
      <c r="H93" s="364"/>
      <c r="R93" s="315" t="s">
        <v>302</v>
      </c>
      <c r="T93" s="364" t="e">
        <f>C93-3</f>
        <v>#REF!</v>
      </c>
    </row>
    <row r="94" spans="1:30">
      <c r="B94" s="367" t="s">
        <v>197</v>
      </c>
      <c r="C94" s="364">
        <f>G82+L82+Q82+V82+AA82</f>
        <v>144829</v>
      </c>
    </row>
    <row r="95" spans="1:30">
      <c r="C95" s="364" t="e">
        <f>C92+C93+C94</f>
        <v>#REF!</v>
      </c>
      <c r="D95" s="315" t="s">
        <v>301</v>
      </c>
      <c r="AC95" s="364"/>
    </row>
    <row r="96" spans="1:30">
      <c r="C96" s="364">
        <f>E82+J82+O82+T82+Y82</f>
        <v>462827.27</v>
      </c>
      <c r="D96" s="315" t="s">
        <v>307</v>
      </c>
    </row>
    <row r="97" spans="2:25">
      <c r="B97" s="364" t="e">
        <f>127165-#REF!</f>
        <v>#REF!</v>
      </c>
    </row>
    <row r="99" spans="2:25">
      <c r="Y99" s="368"/>
    </row>
    <row r="102" spans="2:25">
      <c r="D102" s="368"/>
      <c r="E102" s="368"/>
    </row>
    <row r="103" spans="2:25">
      <c r="D103" s="368"/>
      <c r="E103" s="368"/>
    </row>
    <row r="108" spans="2:25">
      <c r="D108" s="364" t="e">
        <f>#REF!+#REF!+#REF!+#REF!+#REF!</f>
        <v>#REF!</v>
      </c>
    </row>
  </sheetData>
  <mergeCells count="40">
    <mergeCell ref="B75:AD75"/>
    <mergeCell ref="A77:C77"/>
    <mergeCell ref="B78:AD78"/>
    <mergeCell ref="A81:C81"/>
    <mergeCell ref="A82:C82"/>
    <mergeCell ref="A73:C73"/>
    <mergeCell ref="C41:C45"/>
    <mergeCell ref="A50:C50"/>
    <mergeCell ref="B53:AD53"/>
    <mergeCell ref="A55:C55"/>
    <mergeCell ref="B56:AD56"/>
    <mergeCell ref="A57:A58"/>
    <mergeCell ref="B57:B58"/>
    <mergeCell ref="B63:AD63"/>
    <mergeCell ref="A65:C65"/>
    <mergeCell ref="B66:AD66"/>
    <mergeCell ref="A68:C68"/>
    <mergeCell ref="B69:AD69"/>
    <mergeCell ref="C38:C39"/>
    <mergeCell ref="O8:S8"/>
    <mergeCell ref="T8:X8"/>
    <mergeCell ref="Y8:AC8"/>
    <mergeCell ref="AD8:AD9"/>
    <mergeCell ref="A11:AD11"/>
    <mergeCell ref="B12:AD12"/>
    <mergeCell ref="C13:C14"/>
    <mergeCell ref="A27:C27"/>
    <mergeCell ref="B31:AD31"/>
    <mergeCell ref="A33:C33"/>
    <mergeCell ref="B34:AD34"/>
    <mergeCell ref="Z3:AD3"/>
    <mergeCell ref="V4:AD4"/>
    <mergeCell ref="A5:AD5"/>
    <mergeCell ref="A7:A9"/>
    <mergeCell ref="B7:B9"/>
    <mergeCell ref="C7:C9"/>
    <mergeCell ref="D7:D9"/>
    <mergeCell ref="E7:AD7"/>
    <mergeCell ref="E8:I8"/>
    <mergeCell ref="J8:N8"/>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dimension ref="A1:AF108"/>
  <sheetViews>
    <sheetView view="pageBreakPreview" zoomScale="60" workbookViewId="0">
      <pane xSplit="3" ySplit="14" topLeftCell="J75" activePane="bottomRight" state="frozen"/>
      <selection pane="topRight" activeCell="D1" sqref="D1"/>
      <selection pane="bottomLeft" activeCell="A15" sqref="A15"/>
      <selection pane="bottomRight" activeCell="O79" sqref="O79:P82"/>
    </sheetView>
  </sheetViews>
  <sheetFormatPr defaultRowHeight="18.75"/>
  <cols>
    <col min="1" max="1" width="6.140625" style="418" customWidth="1"/>
    <col min="2" max="2" width="188" style="315" customWidth="1"/>
    <col min="3" max="3" width="42.42578125" style="315" customWidth="1"/>
    <col min="4" max="4" width="23.5703125" style="315" customWidth="1"/>
    <col min="5" max="5" width="21.28515625" style="315" customWidth="1"/>
    <col min="6" max="6" width="22.42578125" style="315" customWidth="1"/>
    <col min="7" max="7" width="16.140625" style="315" customWidth="1"/>
    <col min="8" max="9" width="16.85546875" style="315" customWidth="1"/>
    <col min="10" max="10" width="21.140625" style="315" customWidth="1"/>
    <col min="11" max="11" width="18.140625" style="315" customWidth="1"/>
    <col min="12" max="12" width="15" style="315" customWidth="1"/>
    <col min="13" max="13" width="14.7109375" style="315" customWidth="1"/>
    <col min="14" max="14" width="14.28515625" style="315" customWidth="1"/>
    <col min="15" max="15" width="17.140625" style="315" customWidth="1"/>
    <col min="16" max="16" width="18.7109375" style="315" customWidth="1"/>
    <col min="17" max="17" width="17.28515625" style="315" customWidth="1"/>
    <col min="18" max="18" width="19" style="315" customWidth="1"/>
    <col min="19" max="19" width="13" style="315" customWidth="1"/>
    <col min="20" max="20" width="16.42578125" style="315" customWidth="1"/>
    <col min="21" max="21" width="12.7109375" style="315" customWidth="1"/>
    <col min="22" max="22" width="11.85546875" style="315" customWidth="1"/>
    <col min="23" max="23" width="11.7109375" style="315" customWidth="1"/>
    <col min="24" max="24" width="10.28515625" style="315" customWidth="1"/>
    <col min="25" max="25" width="18" style="315" customWidth="1"/>
    <col min="26" max="26" width="14.5703125" style="315" customWidth="1"/>
    <col min="27" max="27" width="13" style="315" customWidth="1"/>
    <col min="28" max="28" width="12.7109375" style="315" customWidth="1"/>
    <col min="29" max="29" width="14.28515625" style="315" customWidth="1"/>
    <col min="30" max="30" width="17.7109375" style="315" customWidth="1"/>
    <col min="31" max="16384" width="9.140625" style="316"/>
  </cols>
  <sheetData>
    <row r="1" spans="1:30">
      <c r="Z1" s="315" t="s">
        <v>260</v>
      </c>
    </row>
    <row r="2" spans="1:30">
      <c r="Z2" s="315" t="s">
        <v>261</v>
      </c>
    </row>
    <row r="3" spans="1:30" ht="18.75" customHeight="1">
      <c r="L3" s="416"/>
      <c r="M3" s="416"/>
      <c r="N3" s="416"/>
      <c r="O3" s="416"/>
      <c r="P3" s="416"/>
      <c r="Q3" s="416"/>
      <c r="R3" s="416"/>
      <c r="S3" s="416"/>
      <c r="T3" s="416"/>
      <c r="U3" s="416"/>
      <c r="V3" s="416"/>
      <c r="W3" s="416"/>
      <c r="X3" s="416"/>
      <c r="Y3" s="416"/>
      <c r="Z3" s="675" t="s">
        <v>262</v>
      </c>
      <c r="AA3" s="675"/>
      <c r="AB3" s="675"/>
      <c r="AC3" s="675"/>
      <c r="AD3" s="675"/>
    </row>
    <row r="4" spans="1:30" ht="18.75" customHeight="1">
      <c r="V4" s="676" t="s">
        <v>272</v>
      </c>
      <c r="W4" s="676"/>
      <c r="X4" s="676"/>
      <c r="Y4" s="676"/>
      <c r="Z4" s="676"/>
      <c r="AA4" s="676"/>
      <c r="AB4" s="676"/>
      <c r="AC4" s="676"/>
      <c r="AD4" s="676"/>
    </row>
    <row r="5" spans="1:30">
      <c r="A5" s="677" t="s">
        <v>0</v>
      </c>
      <c r="B5" s="677"/>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row>
    <row r="7" spans="1:30" ht="19.5" customHeight="1">
      <c r="A7" s="664" t="s">
        <v>1</v>
      </c>
      <c r="B7" s="664" t="s">
        <v>219</v>
      </c>
      <c r="C7" s="664" t="s">
        <v>2</v>
      </c>
      <c r="D7" s="664" t="s">
        <v>3</v>
      </c>
      <c r="E7" s="679" t="s">
        <v>273</v>
      </c>
      <c r="F7" s="680"/>
      <c r="G7" s="680"/>
      <c r="H7" s="680"/>
      <c r="I7" s="680"/>
      <c r="J7" s="680"/>
      <c r="K7" s="680"/>
      <c r="L7" s="680"/>
      <c r="M7" s="680"/>
      <c r="N7" s="680"/>
      <c r="O7" s="680"/>
      <c r="P7" s="680"/>
      <c r="Q7" s="680"/>
      <c r="R7" s="680"/>
      <c r="S7" s="680"/>
      <c r="T7" s="680"/>
      <c r="U7" s="680"/>
      <c r="V7" s="680"/>
      <c r="W7" s="680"/>
      <c r="X7" s="680"/>
      <c r="Y7" s="680"/>
      <c r="Z7" s="680"/>
      <c r="AA7" s="680"/>
      <c r="AB7" s="680"/>
      <c r="AC7" s="680"/>
      <c r="AD7" s="681"/>
    </row>
    <row r="8" spans="1:30" ht="18.75" customHeight="1">
      <c r="A8" s="678"/>
      <c r="B8" s="678"/>
      <c r="C8" s="678"/>
      <c r="D8" s="678"/>
      <c r="E8" s="682" t="s">
        <v>88</v>
      </c>
      <c r="F8" s="683"/>
      <c r="G8" s="683"/>
      <c r="H8" s="683"/>
      <c r="I8" s="684"/>
      <c r="J8" s="682" t="s">
        <v>89</v>
      </c>
      <c r="K8" s="683"/>
      <c r="L8" s="683"/>
      <c r="M8" s="683"/>
      <c r="N8" s="684"/>
      <c r="O8" s="682" t="s">
        <v>90</v>
      </c>
      <c r="P8" s="683"/>
      <c r="Q8" s="683"/>
      <c r="R8" s="683"/>
      <c r="S8" s="684"/>
      <c r="T8" s="682" t="s">
        <v>91</v>
      </c>
      <c r="U8" s="683"/>
      <c r="V8" s="683"/>
      <c r="W8" s="683"/>
      <c r="X8" s="684"/>
      <c r="Y8" s="682" t="s">
        <v>92</v>
      </c>
      <c r="Z8" s="683"/>
      <c r="AA8" s="683"/>
      <c r="AB8" s="683"/>
      <c r="AC8" s="684"/>
      <c r="AD8" s="664" t="s">
        <v>5</v>
      </c>
    </row>
    <row r="9" spans="1:30" ht="87.75" customHeight="1">
      <c r="A9" s="665"/>
      <c r="B9" s="665"/>
      <c r="C9" s="665"/>
      <c r="D9" s="665"/>
      <c r="E9" s="415" t="s">
        <v>6</v>
      </c>
      <c r="F9" s="319" t="s">
        <v>7</v>
      </c>
      <c r="G9" s="319" t="s">
        <v>8</v>
      </c>
      <c r="H9" s="319" t="s">
        <v>9</v>
      </c>
      <c r="I9" s="320" t="s">
        <v>10</v>
      </c>
      <c r="J9" s="415" t="s">
        <v>6</v>
      </c>
      <c r="K9" s="319" t="s">
        <v>7</v>
      </c>
      <c r="L9" s="319" t="s">
        <v>8</v>
      </c>
      <c r="M9" s="319" t="s">
        <v>9</v>
      </c>
      <c r="N9" s="320" t="s">
        <v>10</v>
      </c>
      <c r="O9" s="415" t="s">
        <v>6</v>
      </c>
      <c r="P9" s="319" t="s">
        <v>7</v>
      </c>
      <c r="Q9" s="319" t="s">
        <v>8</v>
      </c>
      <c r="R9" s="319" t="s">
        <v>9</v>
      </c>
      <c r="S9" s="320" t="s">
        <v>10</v>
      </c>
      <c r="T9" s="415" t="s">
        <v>6</v>
      </c>
      <c r="U9" s="319" t="s">
        <v>7</v>
      </c>
      <c r="V9" s="319" t="s">
        <v>8</v>
      </c>
      <c r="W9" s="319" t="s">
        <v>9</v>
      </c>
      <c r="X9" s="320" t="s">
        <v>10</v>
      </c>
      <c r="Y9" s="415" t="s">
        <v>6</v>
      </c>
      <c r="Z9" s="319" t="s">
        <v>7</v>
      </c>
      <c r="AA9" s="319" t="s">
        <v>8</v>
      </c>
      <c r="AB9" s="319" t="s">
        <v>9</v>
      </c>
      <c r="AC9" s="320" t="s">
        <v>10</v>
      </c>
      <c r="AD9" s="665"/>
    </row>
    <row r="10" spans="1:30">
      <c r="A10" s="321">
        <v>1</v>
      </c>
      <c r="B10" s="321">
        <v>2</v>
      </c>
      <c r="C10" s="321">
        <v>3</v>
      </c>
      <c r="D10" s="321">
        <v>4</v>
      </c>
      <c r="E10" s="321">
        <v>5</v>
      </c>
      <c r="F10" s="321">
        <v>6</v>
      </c>
      <c r="G10" s="321">
        <v>7</v>
      </c>
      <c r="H10" s="321">
        <v>8</v>
      </c>
      <c r="I10" s="321">
        <v>9</v>
      </c>
      <c r="J10" s="321">
        <v>10</v>
      </c>
      <c r="K10" s="321">
        <v>11</v>
      </c>
      <c r="L10" s="321">
        <v>12</v>
      </c>
      <c r="M10" s="321">
        <v>13</v>
      </c>
      <c r="N10" s="321">
        <v>14</v>
      </c>
      <c r="O10" s="321">
        <v>15</v>
      </c>
      <c r="P10" s="321">
        <v>16</v>
      </c>
      <c r="Q10" s="321">
        <v>17</v>
      </c>
      <c r="R10" s="321">
        <v>18</v>
      </c>
      <c r="S10" s="321">
        <v>19</v>
      </c>
      <c r="T10" s="321">
        <v>20</v>
      </c>
      <c r="U10" s="321">
        <v>21</v>
      </c>
      <c r="V10" s="321">
        <v>22</v>
      </c>
      <c r="W10" s="321">
        <v>23</v>
      </c>
      <c r="X10" s="321">
        <v>24</v>
      </c>
      <c r="Y10" s="321">
        <v>25</v>
      </c>
      <c r="Z10" s="321">
        <v>26</v>
      </c>
      <c r="AA10" s="321">
        <v>27</v>
      </c>
      <c r="AB10" s="321">
        <v>28</v>
      </c>
      <c r="AC10" s="321">
        <v>29</v>
      </c>
      <c r="AD10" s="321">
        <v>30</v>
      </c>
    </row>
    <row r="11" spans="1:30" ht="18.75" customHeight="1">
      <c r="A11" s="666" t="s">
        <v>274</v>
      </c>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8"/>
    </row>
    <row r="12" spans="1:30" ht="23.25">
      <c r="A12" s="322" t="s">
        <v>221</v>
      </c>
      <c r="B12" s="669" t="s">
        <v>275</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1"/>
    </row>
    <row r="13" spans="1:30" ht="93">
      <c r="A13" s="323" t="s">
        <v>12</v>
      </c>
      <c r="B13" s="324" t="s">
        <v>81</v>
      </c>
      <c r="C13" s="661" t="s">
        <v>14</v>
      </c>
      <c r="D13" s="325" t="s">
        <v>93</v>
      </c>
      <c r="E13" s="298">
        <f>SUM(F13:I13)</f>
        <v>28350</v>
      </c>
      <c r="F13" s="298">
        <f>43350-15000</f>
        <v>28350</v>
      </c>
      <c r="G13" s="298">
        <v>0</v>
      </c>
      <c r="H13" s="298">
        <v>0</v>
      </c>
      <c r="I13" s="298">
        <v>0</v>
      </c>
      <c r="J13" s="298">
        <f>K13+L13+M13+N13</f>
        <v>26292</v>
      </c>
      <c r="K13" s="298">
        <f>19722+15778-9208</f>
        <v>26292</v>
      </c>
      <c r="L13" s="298">
        <v>0</v>
      </c>
      <c r="M13" s="299">
        <v>0</v>
      </c>
      <c r="N13" s="299">
        <v>0</v>
      </c>
      <c r="O13" s="299">
        <f>P13+Q13+R13+S13</f>
        <v>42513</v>
      </c>
      <c r="P13" s="299">
        <v>42513</v>
      </c>
      <c r="Q13" s="299">
        <v>0</v>
      </c>
      <c r="R13" s="299">
        <v>0</v>
      </c>
      <c r="S13" s="299">
        <v>0</v>
      </c>
      <c r="T13" s="299">
        <f>U13+V13+W13+X13</f>
        <v>0</v>
      </c>
      <c r="U13" s="299">
        <v>0</v>
      </c>
      <c r="V13" s="299">
        <v>0</v>
      </c>
      <c r="W13" s="299">
        <v>0</v>
      </c>
      <c r="X13" s="299">
        <v>0</v>
      </c>
      <c r="Y13" s="299">
        <f>Z13+AA13+AB13+AC13</f>
        <v>0</v>
      </c>
      <c r="Z13" s="299">
        <v>0</v>
      </c>
      <c r="AA13" s="299">
        <v>0</v>
      </c>
      <c r="AB13" s="299">
        <v>0</v>
      </c>
      <c r="AC13" s="299">
        <v>0</v>
      </c>
      <c r="AD13" s="326">
        <f t="shared" ref="AD13:AD18" si="0">E13+J13+O13+T13+Y13</f>
        <v>97155</v>
      </c>
    </row>
    <row r="14" spans="1:30" ht="116.25">
      <c r="A14" s="323" t="s">
        <v>13</v>
      </c>
      <c r="B14" s="327" t="s">
        <v>268</v>
      </c>
      <c r="C14" s="663"/>
      <c r="D14" s="325" t="s">
        <v>93</v>
      </c>
      <c r="E14" s="298">
        <f>SUM(F14:I14)</f>
        <v>7359</v>
      </c>
      <c r="F14" s="298">
        <f>12748-5387-2060</f>
        <v>5301</v>
      </c>
      <c r="G14" s="298">
        <v>0</v>
      </c>
      <c r="H14" s="298">
        <v>0</v>
      </c>
      <c r="I14" s="298">
        <f>4602-2544</f>
        <v>2058</v>
      </c>
      <c r="J14" s="298">
        <v>0</v>
      </c>
      <c r="K14" s="298">
        <v>0</v>
      </c>
      <c r="L14" s="298">
        <v>0</v>
      </c>
      <c r="M14" s="299">
        <v>0</v>
      </c>
      <c r="N14" s="299">
        <v>0</v>
      </c>
      <c r="O14" s="299">
        <v>0</v>
      </c>
      <c r="P14" s="299">
        <v>0</v>
      </c>
      <c r="Q14" s="299">
        <v>0</v>
      </c>
      <c r="R14" s="299">
        <v>0</v>
      </c>
      <c r="S14" s="299">
        <v>0</v>
      </c>
      <c r="T14" s="299">
        <f>U14+V14+W14+X14</f>
        <v>0</v>
      </c>
      <c r="U14" s="299">
        <v>0</v>
      </c>
      <c r="V14" s="299">
        <v>0</v>
      </c>
      <c r="W14" s="299">
        <v>0</v>
      </c>
      <c r="X14" s="299">
        <v>0</v>
      </c>
      <c r="Y14" s="299">
        <f>Z14+AA14+AB14+AC14</f>
        <v>0</v>
      </c>
      <c r="Z14" s="299">
        <v>0</v>
      </c>
      <c r="AA14" s="299">
        <v>0</v>
      </c>
      <c r="AB14" s="299">
        <v>0</v>
      </c>
      <c r="AC14" s="299">
        <v>0</v>
      </c>
      <c r="AD14" s="326">
        <f t="shared" si="0"/>
        <v>7359</v>
      </c>
    </row>
    <row r="15" spans="1:30" ht="93">
      <c r="A15" s="323" t="s">
        <v>15</v>
      </c>
      <c r="B15" s="328" t="s">
        <v>117</v>
      </c>
      <c r="C15" s="414" t="s">
        <v>218</v>
      </c>
      <c r="D15" s="322" t="s">
        <v>93</v>
      </c>
      <c r="E15" s="298">
        <f>F15+G15+H15+I15</f>
        <v>8260</v>
      </c>
      <c r="F15" s="298">
        <f>8260</f>
        <v>8260</v>
      </c>
      <c r="G15" s="298">
        <v>0</v>
      </c>
      <c r="H15" s="298">
        <v>0</v>
      </c>
      <c r="I15" s="298">
        <v>0</v>
      </c>
      <c r="J15" s="298">
        <f>K15+L15+M15+N15</f>
        <v>11513</v>
      </c>
      <c r="K15" s="298">
        <v>11513</v>
      </c>
      <c r="L15" s="298">
        <v>0</v>
      </c>
      <c r="M15" s="299">
        <v>0</v>
      </c>
      <c r="N15" s="299">
        <v>0</v>
      </c>
      <c r="O15" s="299">
        <f>P15+Q15+R15+S15</f>
        <v>10547</v>
      </c>
      <c r="P15" s="299">
        <v>10547</v>
      </c>
      <c r="Q15" s="299">
        <v>0</v>
      </c>
      <c r="R15" s="299">
        <v>0</v>
      </c>
      <c r="S15" s="299">
        <v>0</v>
      </c>
      <c r="T15" s="299">
        <f>U15+V15+W15+X15</f>
        <v>0</v>
      </c>
      <c r="U15" s="299">
        <v>0</v>
      </c>
      <c r="V15" s="299">
        <v>0</v>
      </c>
      <c r="W15" s="299">
        <v>0</v>
      </c>
      <c r="X15" s="299">
        <v>0</v>
      </c>
      <c r="Y15" s="299">
        <f>Z15+AA15+AB15+AC15</f>
        <v>0</v>
      </c>
      <c r="Z15" s="299">
        <v>0</v>
      </c>
      <c r="AA15" s="299">
        <v>0</v>
      </c>
      <c r="AB15" s="299">
        <v>0</v>
      </c>
      <c r="AC15" s="299">
        <v>0</v>
      </c>
      <c r="AD15" s="326">
        <f t="shared" si="0"/>
        <v>30320</v>
      </c>
    </row>
    <row r="16" spans="1:30" ht="93">
      <c r="A16" s="323" t="s">
        <v>16</v>
      </c>
      <c r="B16" s="330" t="s">
        <v>270</v>
      </c>
      <c r="C16" s="331" t="s">
        <v>14</v>
      </c>
      <c r="D16" s="322" t="s">
        <v>93</v>
      </c>
      <c r="E16" s="298">
        <f>F16+G16+H16+I16</f>
        <v>586.36999999999978</v>
      </c>
      <c r="F16" s="298">
        <f>3300-2825.3</f>
        <v>474.69999999999982</v>
      </c>
      <c r="G16" s="298">
        <v>0</v>
      </c>
      <c r="H16" s="298">
        <v>0</v>
      </c>
      <c r="I16" s="298">
        <f>775-663.33</f>
        <v>111.66999999999996</v>
      </c>
      <c r="J16" s="298">
        <v>0</v>
      </c>
      <c r="K16" s="298">
        <v>0</v>
      </c>
      <c r="L16" s="298">
        <v>0</v>
      </c>
      <c r="M16" s="299">
        <v>0</v>
      </c>
      <c r="N16" s="299">
        <v>0</v>
      </c>
      <c r="O16" s="299">
        <v>0</v>
      </c>
      <c r="P16" s="299">
        <v>0</v>
      </c>
      <c r="Q16" s="299">
        <v>0</v>
      </c>
      <c r="R16" s="299">
        <v>0</v>
      </c>
      <c r="S16" s="299">
        <v>0</v>
      </c>
      <c r="T16" s="299">
        <v>0</v>
      </c>
      <c r="U16" s="299">
        <v>0</v>
      </c>
      <c r="V16" s="299">
        <v>0</v>
      </c>
      <c r="W16" s="299">
        <v>0</v>
      </c>
      <c r="X16" s="299">
        <v>0</v>
      </c>
      <c r="Y16" s="299">
        <v>0</v>
      </c>
      <c r="Z16" s="299">
        <v>0</v>
      </c>
      <c r="AA16" s="299">
        <v>0</v>
      </c>
      <c r="AB16" s="299">
        <v>0</v>
      </c>
      <c r="AC16" s="299">
        <v>0</v>
      </c>
      <c r="AD16" s="326">
        <f t="shared" si="0"/>
        <v>586.36999999999978</v>
      </c>
    </row>
    <row r="17" spans="1:31" ht="37.5">
      <c r="A17" s="323" t="s">
        <v>17</v>
      </c>
      <c r="B17" s="330" t="s">
        <v>210</v>
      </c>
      <c r="C17" s="414" t="s">
        <v>94</v>
      </c>
      <c r="D17" s="332">
        <v>2020</v>
      </c>
      <c r="E17" s="298">
        <f t="shared" ref="E17:E22" si="1">F17+G17+H17+I17</f>
        <v>1192</v>
      </c>
      <c r="F17" s="298">
        <v>1192</v>
      </c>
      <c r="G17" s="298">
        <v>0</v>
      </c>
      <c r="H17" s="298">
        <v>0</v>
      </c>
      <c r="I17" s="298">
        <v>0</v>
      </c>
      <c r="J17" s="298">
        <f t="shared" ref="J17:J22" si="2">K17+L17+M17+N17</f>
        <v>0</v>
      </c>
      <c r="K17" s="298">
        <v>0</v>
      </c>
      <c r="L17" s="298">
        <v>0</v>
      </c>
      <c r="M17" s="299">
        <v>0</v>
      </c>
      <c r="N17" s="299">
        <v>0</v>
      </c>
      <c r="O17" s="299">
        <f>P17+Q17+R17+S17</f>
        <v>0</v>
      </c>
      <c r="P17" s="299">
        <v>0</v>
      </c>
      <c r="Q17" s="299">
        <v>0</v>
      </c>
      <c r="R17" s="299">
        <v>0</v>
      </c>
      <c r="S17" s="299">
        <v>0</v>
      </c>
      <c r="T17" s="299">
        <f>U17+V17+W17+X17</f>
        <v>0</v>
      </c>
      <c r="U17" s="299">
        <v>0</v>
      </c>
      <c r="V17" s="299">
        <v>0</v>
      </c>
      <c r="W17" s="299">
        <v>0</v>
      </c>
      <c r="X17" s="299">
        <v>0</v>
      </c>
      <c r="Y17" s="299">
        <f>Z17+AA17+AB17+AC17</f>
        <v>0</v>
      </c>
      <c r="Z17" s="299">
        <v>0</v>
      </c>
      <c r="AA17" s="299">
        <v>0</v>
      </c>
      <c r="AB17" s="299">
        <v>0</v>
      </c>
      <c r="AC17" s="299">
        <v>0</v>
      </c>
      <c r="AD17" s="299">
        <f t="shared" si="0"/>
        <v>1192</v>
      </c>
    </row>
    <row r="18" spans="1:31" ht="46.5">
      <c r="A18" s="323" t="s">
        <v>163</v>
      </c>
      <c r="B18" s="330" t="s">
        <v>121</v>
      </c>
      <c r="C18" s="414" t="s">
        <v>94</v>
      </c>
      <c r="D18" s="332" t="s">
        <v>164</v>
      </c>
      <c r="E18" s="298">
        <f t="shared" si="1"/>
        <v>6060</v>
      </c>
      <c r="F18" s="298">
        <f>6183-123</f>
        <v>6060</v>
      </c>
      <c r="G18" s="298">
        <v>0</v>
      </c>
      <c r="H18" s="298">
        <v>0</v>
      </c>
      <c r="I18" s="298">
        <v>0</v>
      </c>
      <c r="J18" s="298">
        <f t="shared" si="2"/>
        <v>5586</v>
      </c>
      <c r="K18" s="298">
        <f>5832-126-120</f>
        <v>5586</v>
      </c>
      <c r="L18" s="298">
        <v>0</v>
      </c>
      <c r="M18" s="299">
        <v>0</v>
      </c>
      <c r="N18" s="299">
        <v>0</v>
      </c>
      <c r="O18" s="299">
        <f>P18+Q18+R18+S18</f>
        <v>5760</v>
      </c>
      <c r="P18" s="299">
        <v>5760</v>
      </c>
      <c r="Q18" s="299">
        <v>0</v>
      </c>
      <c r="R18" s="299">
        <v>0</v>
      </c>
      <c r="S18" s="299">
        <v>0</v>
      </c>
      <c r="T18" s="299">
        <f>U18+V18+W18+X18</f>
        <v>0</v>
      </c>
      <c r="U18" s="299">
        <v>0</v>
      </c>
      <c r="V18" s="299">
        <v>0</v>
      </c>
      <c r="W18" s="299">
        <v>0</v>
      </c>
      <c r="X18" s="299">
        <v>0</v>
      </c>
      <c r="Y18" s="299">
        <f>Z18+AA18+AB18+AC18</f>
        <v>0</v>
      </c>
      <c r="Z18" s="299">
        <v>0</v>
      </c>
      <c r="AA18" s="299">
        <v>0</v>
      </c>
      <c r="AB18" s="299">
        <v>0</v>
      </c>
      <c r="AC18" s="299">
        <v>0</v>
      </c>
      <c r="AD18" s="299">
        <f t="shared" si="0"/>
        <v>17406</v>
      </c>
    </row>
    <row r="19" spans="1:31" ht="37.5">
      <c r="A19" s="323" t="s">
        <v>182</v>
      </c>
      <c r="B19" s="333" t="s">
        <v>124</v>
      </c>
      <c r="C19" s="414" t="s">
        <v>94</v>
      </c>
      <c r="D19" s="332" t="s">
        <v>282</v>
      </c>
      <c r="E19" s="298">
        <f t="shared" si="1"/>
        <v>785</v>
      </c>
      <c r="F19" s="298">
        <v>785</v>
      </c>
      <c r="G19" s="298">
        <v>0</v>
      </c>
      <c r="H19" s="298">
        <v>0</v>
      </c>
      <c r="I19" s="298">
        <v>0</v>
      </c>
      <c r="J19" s="298">
        <f t="shared" si="2"/>
        <v>90</v>
      </c>
      <c r="K19" s="298">
        <v>90</v>
      </c>
      <c r="L19" s="298">
        <v>0</v>
      </c>
      <c r="M19" s="299">
        <v>0</v>
      </c>
      <c r="N19" s="299">
        <v>0</v>
      </c>
      <c r="O19" s="299">
        <v>0</v>
      </c>
      <c r="P19" s="299">
        <v>0</v>
      </c>
      <c r="Q19" s="299">
        <v>0</v>
      </c>
      <c r="R19" s="299">
        <v>0</v>
      </c>
      <c r="S19" s="299">
        <v>0</v>
      </c>
      <c r="T19" s="299">
        <v>0</v>
      </c>
      <c r="U19" s="299">
        <v>0</v>
      </c>
      <c r="V19" s="299">
        <v>0</v>
      </c>
      <c r="W19" s="299">
        <v>0</v>
      </c>
      <c r="X19" s="299">
        <v>0</v>
      </c>
      <c r="Y19" s="299">
        <v>0</v>
      </c>
      <c r="Z19" s="299">
        <v>0</v>
      </c>
      <c r="AA19" s="299">
        <v>0</v>
      </c>
      <c r="AB19" s="299">
        <v>0</v>
      </c>
      <c r="AC19" s="299">
        <v>0</v>
      </c>
      <c r="AD19" s="299">
        <f>E19+J19+O19+T19+Y19</f>
        <v>875</v>
      </c>
    </row>
    <row r="20" spans="1:31" ht="46.5">
      <c r="A20" s="323" t="s">
        <v>208</v>
      </c>
      <c r="B20" s="333" t="s">
        <v>126</v>
      </c>
      <c r="C20" s="414" t="s">
        <v>94</v>
      </c>
      <c r="D20" s="332">
        <v>2020</v>
      </c>
      <c r="E20" s="298">
        <f t="shared" si="1"/>
        <v>110</v>
      </c>
      <c r="F20" s="298">
        <v>110</v>
      </c>
      <c r="G20" s="298">
        <v>0</v>
      </c>
      <c r="H20" s="298">
        <v>0</v>
      </c>
      <c r="I20" s="298">
        <v>0</v>
      </c>
      <c r="J20" s="298">
        <f t="shared" si="2"/>
        <v>0</v>
      </c>
      <c r="K20" s="298">
        <v>0</v>
      </c>
      <c r="L20" s="298">
        <v>0</v>
      </c>
      <c r="M20" s="299">
        <v>0</v>
      </c>
      <c r="N20" s="299">
        <v>0</v>
      </c>
      <c r="O20" s="299">
        <f t="shared" ref="O20:O26" si="3">P20+Q20+R20+S20</f>
        <v>0</v>
      </c>
      <c r="P20" s="299">
        <v>0</v>
      </c>
      <c r="Q20" s="299">
        <v>0</v>
      </c>
      <c r="R20" s="299">
        <v>0</v>
      </c>
      <c r="S20" s="299">
        <v>0</v>
      </c>
      <c r="T20" s="299">
        <f t="shared" ref="T20:T26" si="4">U20+V20+W20+X20</f>
        <v>0</v>
      </c>
      <c r="U20" s="299">
        <v>0</v>
      </c>
      <c r="V20" s="299">
        <v>0</v>
      </c>
      <c r="W20" s="299">
        <v>0</v>
      </c>
      <c r="X20" s="299">
        <v>0</v>
      </c>
      <c r="Y20" s="299">
        <f>Z20+AA20+AB20+AC20</f>
        <v>0</v>
      </c>
      <c r="Z20" s="299">
        <v>0</v>
      </c>
      <c r="AA20" s="299">
        <v>0</v>
      </c>
      <c r="AB20" s="299">
        <v>0</v>
      </c>
      <c r="AC20" s="299">
        <v>0</v>
      </c>
      <c r="AD20" s="299">
        <f t="shared" ref="AD20:AD26" si="5">E20+J20+O20+T20+Y20</f>
        <v>110</v>
      </c>
    </row>
    <row r="21" spans="1:31" ht="69.75">
      <c r="A21" s="323" t="s">
        <v>211</v>
      </c>
      <c r="B21" s="333" t="s">
        <v>122</v>
      </c>
      <c r="C21" s="414" t="s">
        <v>94</v>
      </c>
      <c r="D21" s="332">
        <v>2020</v>
      </c>
      <c r="E21" s="298">
        <f t="shared" si="1"/>
        <v>53</v>
      </c>
      <c r="F21" s="298">
        <v>53</v>
      </c>
      <c r="G21" s="298">
        <v>0</v>
      </c>
      <c r="H21" s="298">
        <v>0</v>
      </c>
      <c r="I21" s="298">
        <v>0</v>
      </c>
      <c r="J21" s="298">
        <f t="shared" si="2"/>
        <v>0</v>
      </c>
      <c r="K21" s="298">
        <v>0</v>
      </c>
      <c r="L21" s="298">
        <v>0</v>
      </c>
      <c r="M21" s="299">
        <v>0</v>
      </c>
      <c r="N21" s="299">
        <v>0</v>
      </c>
      <c r="O21" s="299">
        <f t="shared" si="3"/>
        <v>0</v>
      </c>
      <c r="P21" s="299">
        <v>0</v>
      </c>
      <c r="Q21" s="299">
        <v>0</v>
      </c>
      <c r="R21" s="299">
        <v>0</v>
      </c>
      <c r="S21" s="299">
        <v>0</v>
      </c>
      <c r="T21" s="299">
        <f t="shared" si="4"/>
        <v>0</v>
      </c>
      <c r="U21" s="299">
        <v>0</v>
      </c>
      <c r="V21" s="299">
        <v>0</v>
      </c>
      <c r="W21" s="299">
        <v>0</v>
      </c>
      <c r="X21" s="299">
        <v>0</v>
      </c>
      <c r="Y21" s="299">
        <f>Z21+AA21+AB21+AC21</f>
        <v>0</v>
      </c>
      <c r="Z21" s="299">
        <v>0</v>
      </c>
      <c r="AA21" s="299">
        <v>0</v>
      </c>
      <c r="AB21" s="299">
        <v>0</v>
      </c>
      <c r="AC21" s="299">
        <v>0</v>
      </c>
      <c r="AD21" s="299">
        <f t="shared" si="5"/>
        <v>53</v>
      </c>
    </row>
    <row r="22" spans="1:31" ht="46.5">
      <c r="A22" s="323" t="s">
        <v>212</v>
      </c>
      <c r="B22" s="333" t="s">
        <v>123</v>
      </c>
      <c r="C22" s="414" t="s">
        <v>94</v>
      </c>
      <c r="D22" s="332">
        <v>2020</v>
      </c>
      <c r="E22" s="298">
        <f t="shared" si="1"/>
        <v>130</v>
      </c>
      <c r="F22" s="298">
        <f>112+18</f>
        <v>130</v>
      </c>
      <c r="G22" s="298">
        <v>0</v>
      </c>
      <c r="H22" s="298">
        <v>0</v>
      </c>
      <c r="I22" s="298">
        <v>0</v>
      </c>
      <c r="J22" s="298">
        <f t="shared" si="2"/>
        <v>0</v>
      </c>
      <c r="K22" s="298">
        <v>0</v>
      </c>
      <c r="L22" s="298">
        <v>0</v>
      </c>
      <c r="M22" s="299">
        <v>0</v>
      </c>
      <c r="N22" s="299">
        <v>0</v>
      </c>
      <c r="O22" s="299">
        <f t="shared" si="3"/>
        <v>0</v>
      </c>
      <c r="P22" s="299">
        <v>0</v>
      </c>
      <c r="Q22" s="299">
        <v>0</v>
      </c>
      <c r="R22" s="299">
        <v>0</v>
      </c>
      <c r="S22" s="299">
        <v>0</v>
      </c>
      <c r="T22" s="299">
        <f t="shared" si="4"/>
        <v>0</v>
      </c>
      <c r="U22" s="299">
        <v>0</v>
      </c>
      <c r="V22" s="299">
        <v>0</v>
      </c>
      <c r="W22" s="299">
        <v>0</v>
      </c>
      <c r="X22" s="299">
        <v>0</v>
      </c>
      <c r="Y22" s="299">
        <f>Z22+AA22+AB22+AC22</f>
        <v>0</v>
      </c>
      <c r="Z22" s="299">
        <v>0</v>
      </c>
      <c r="AA22" s="299">
        <v>0</v>
      </c>
      <c r="AB22" s="299">
        <v>0</v>
      </c>
      <c r="AC22" s="299">
        <v>0</v>
      </c>
      <c r="AD22" s="299">
        <f t="shared" si="5"/>
        <v>130</v>
      </c>
    </row>
    <row r="23" spans="1:31" ht="46.5">
      <c r="A23" s="323" t="s">
        <v>213</v>
      </c>
      <c r="B23" s="333" t="s">
        <v>125</v>
      </c>
      <c r="C23" s="414" t="s">
        <v>94</v>
      </c>
      <c r="D23" s="332" t="s">
        <v>164</v>
      </c>
      <c r="E23" s="298">
        <v>120</v>
      </c>
      <c r="F23" s="298">
        <v>120</v>
      </c>
      <c r="G23" s="298">
        <v>0</v>
      </c>
      <c r="H23" s="298">
        <v>0</v>
      </c>
      <c r="I23" s="298">
        <v>0</v>
      </c>
      <c r="J23" s="298">
        <f>K23+L23+M23+N23</f>
        <v>0</v>
      </c>
      <c r="K23" s="298">
        <f>60-60</f>
        <v>0</v>
      </c>
      <c r="L23" s="298">
        <v>0</v>
      </c>
      <c r="M23" s="299">
        <v>0</v>
      </c>
      <c r="N23" s="299">
        <v>0</v>
      </c>
      <c r="O23" s="299">
        <f t="shared" si="3"/>
        <v>60</v>
      </c>
      <c r="P23" s="299">
        <v>60</v>
      </c>
      <c r="Q23" s="299">
        <v>0</v>
      </c>
      <c r="R23" s="299">
        <v>0</v>
      </c>
      <c r="S23" s="299">
        <v>0</v>
      </c>
      <c r="T23" s="299">
        <f t="shared" si="4"/>
        <v>0</v>
      </c>
      <c r="U23" s="299">
        <v>0</v>
      </c>
      <c r="V23" s="299">
        <v>0</v>
      </c>
      <c r="W23" s="299">
        <v>0</v>
      </c>
      <c r="X23" s="299">
        <v>0</v>
      </c>
      <c r="Y23" s="299">
        <f>Z23+AA23+AB23+AC23</f>
        <v>0</v>
      </c>
      <c r="Z23" s="299">
        <v>0</v>
      </c>
      <c r="AA23" s="299">
        <v>0</v>
      </c>
      <c r="AB23" s="299">
        <v>0</v>
      </c>
      <c r="AC23" s="299">
        <v>0</v>
      </c>
      <c r="AD23" s="299">
        <f t="shared" si="5"/>
        <v>180</v>
      </c>
    </row>
    <row r="24" spans="1:31" ht="37.5" customHeight="1">
      <c r="A24" s="369" t="s">
        <v>214</v>
      </c>
      <c r="B24" s="370" t="s">
        <v>205</v>
      </c>
      <c r="C24" s="371" t="s">
        <v>52</v>
      </c>
      <c r="D24" s="372" t="s">
        <v>287</v>
      </c>
      <c r="E24" s="373">
        <v>23068</v>
      </c>
      <c r="F24" s="373">
        <v>0</v>
      </c>
      <c r="G24" s="373">
        <v>23068</v>
      </c>
      <c r="H24" s="373">
        <v>0</v>
      </c>
      <c r="I24" s="373">
        <v>0</v>
      </c>
      <c r="J24" s="373">
        <f>K24+L24+M24+N24</f>
        <v>22592</v>
      </c>
      <c r="K24" s="373">
        <v>0</v>
      </c>
      <c r="L24" s="373">
        <f>23742-1150</f>
        <v>22592</v>
      </c>
      <c r="M24" s="374">
        <v>0</v>
      </c>
      <c r="N24" s="374">
        <v>0</v>
      </c>
      <c r="O24" s="334">
        <f t="shared" si="3"/>
        <v>25095.52</v>
      </c>
      <c r="P24" s="299">
        <v>0</v>
      </c>
      <c r="Q24" s="334">
        <f>24077+1018.52</f>
        <v>25095.52</v>
      </c>
      <c r="R24" s="374">
        <v>0</v>
      </c>
      <c r="S24" s="374">
        <v>0</v>
      </c>
      <c r="T24" s="374">
        <f t="shared" si="4"/>
        <v>24077</v>
      </c>
      <c r="U24" s="374">
        <v>0</v>
      </c>
      <c r="V24" s="374">
        <v>24077</v>
      </c>
      <c r="W24" s="374">
        <v>0</v>
      </c>
      <c r="X24" s="374">
        <v>0</v>
      </c>
      <c r="Y24" s="374">
        <f>Z24+AA24+AB24+AC24</f>
        <v>24077</v>
      </c>
      <c r="Z24" s="374">
        <v>0</v>
      </c>
      <c r="AA24" s="374">
        <v>24077</v>
      </c>
      <c r="AB24" s="374">
        <v>0</v>
      </c>
      <c r="AC24" s="374">
        <v>0</v>
      </c>
      <c r="AD24" s="374">
        <f>E24+J24+O24+T24+Y24</f>
        <v>118909.52</v>
      </c>
    </row>
    <row r="25" spans="1:31" ht="46.5">
      <c r="A25" s="323" t="s">
        <v>215</v>
      </c>
      <c r="B25" s="333" t="s">
        <v>198</v>
      </c>
      <c r="C25" s="414" t="s">
        <v>52</v>
      </c>
      <c r="D25" s="332" t="s">
        <v>287</v>
      </c>
      <c r="E25" s="298">
        <v>238</v>
      </c>
      <c r="F25" s="335">
        <v>0</v>
      </c>
      <c r="G25" s="298">
        <v>238</v>
      </c>
      <c r="H25" s="298">
        <v>0</v>
      </c>
      <c r="I25" s="298">
        <v>0</v>
      </c>
      <c r="J25" s="298">
        <f>K25+L25+M25+N25</f>
        <v>476</v>
      </c>
      <c r="K25" s="298">
        <v>0</v>
      </c>
      <c r="L25" s="298">
        <v>476</v>
      </c>
      <c r="M25" s="299">
        <v>0</v>
      </c>
      <c r="N25" s="299">
        <v>0</v>
      </c>
      <c r="O25" s="299">
        <f t="shared" si="3"/>
        <v>0</v>
      </c>
      <c r="P25" s="299">
        <v>0</v>
      </c>
      <c r="Q25" s="299">
        <v>0</v>
      </c>
      <c r="R25" s="299">
        <v>0</v>
      </c>
      <c r="S25" s="299">
        <v>0</v>
      </c>
      <c r="T25" s="299">
        <f t="shared" si="4"/>
        <v>0</v>
      </c>
      <c r="U25" s="299">
        <v>0</v>
      </c>
      <c r="V25" s="299">
        <v>0</v>
      </c>
      <c r="W25" s="299">
        <v>0</v>
      </c>
      <c r="X25" s="299">
        <v>0</v>
      </c>
      <c r="Y25" s="299">
        <v>0</v>
      </c>
      <c r="Z25" s="299">
        <v>0</v>
      </c>
      <c r="AA25" s="299">
        <v>0</v>
      </c>
      <c r="AB25" s="299">
        <v>0</v>
      </c>
      <c r="AC25" s="299">
        <v>0</v>
      </c>
      <c r="AD25" s="299">
        <f>E25+J25+O25+T25+Y25</f>
        <v>714</v>
      </c>
    </row>
    <row r="26" spans="1:31" ht="46.5">
      <c r="A26" s="323" t="s">
        <v>216</v>
      </c>
      <c r="B26" s="330" t="s">
        <v>217</v>
      </c>
      <c r="C26" s="414" t="s">
        <v>94</v>
      </c>
      <c r="D26" s="332">
        <v>2020</v>
      </c>
      <c r="E26" s="298">
        <f>F26+G26+H26+I26</f>
        <v>120</v>
      </c>
      <c r="F26" s="298">
        <f>300-180</f>
        <v>120</v>
      </c>
      <c r="G26" s="298">
        <v>0</v>
      </c>
      <c r="H26" s="298">
        <v>0</v>
      </c>
      <c r="I26" s="298">
        <v>0</v>
      </c>
      <c r="J26" s="298">
        <f>K26+L26+M26+N26</f>
        <v>0</v>
      </c>
      <c r="K26" s="298">
        <v>0</v>
      </c>
      <c r="L26" s="298">
        <v>0</v>
      </c>
      <c r="M26" s="299">
        <v>0</v>
      </c>
      <c r="N26" s="299">
        <v>0</v>
      </c>
      <c r="O26" s="299">
        <f t="shared" si="3"/>
        <v>0</v>
      </c>
      <c r="P26" s="299">
        <v>0</v>
      </c>
      <c r="Q26" s="299">
        <v>0</v>
      </c>
      <c r="R26" s="299">
        <v>0</v>
      </c>
      <c r="S26" s="299">
        <v>0</v>
      </c>
      <c r="T26" s="299">
        <f t="shared" si="4"/>
        <v>0</v>
      </c>
      <c r="U26" s="299">
        <v>0</v>
      </c>
      <c r="V26" s="299">
        <v>0</v>
      </c>
      <c r="W26" s="299">
        <v>0</v>
      </c>
      <c r="X26" s="299">
        <v>0</v>
      </c>
      <c r="Y26" s="299">
        <f>Z26+AA26+AB26+AC26</f>
        <v>0</v>
      </c>
      <c r="Z26" s="299">
        <v>0</v>
      </c>
      <c r="AA26" s="299">
        <v>0</v>
      </c>
      <c r="AB26" s="299">
        <v>0</v>
      </c>
      <c r="AC26" s="299">
        <v>0</v>
      </c>
      <c r="AD26" s="299">
        <f t="shared" si="5"/>
        <v>120</v>
      </c>
    </row>
    <row r="27" spans="1:31" ht="23.25">
      <c r="A27" s="642" t="s">
        <v>19</v>
      </c>
      <c r="B27" s="643"/>
      <c r="C27" s="644"/>
      <c r="D27" s="411"/>
      <c r="E27" s="326">
        <f>E28+E29+E30</f>
        <v>76431.37</v>
      </c>
      <c r="F27" s="326">
        <f>SUM(F13:F26)</f>
        <v>50955.7</v>
      </c>
      <c r="G27" s="326">
        <f>G28+G29+G30</f>
        <v>23306</v>
      </c>
      <c r="H27" s="326">
        <f>SUM(H13:H17)</f>
        <v>0</v>
      </c>
      <c r="I27" s="326">
        <f>SUM(I13:I17)</f>
        <v>2169.67</v>
      </c>
      <c r="J27" s="326">
        <f>J28+J29+J30</f>
        <v>66549</v>
      </c>
      <c r="K27" s="326">
        <f>K28+K29</f>
        <v>43481</v>
      </c>
      <c r="L27" s="326">
        <f>L13+L14+L15+L16+L17+L18+L19+L20+L21+L22+L23+L24+L25+L26</f>
        <v>23068</v>
      </c>
      <c r="M27" s="326">
        <f>SUM(M13:M17)</f>
        <v>0</v>
      </c>
      <c r="N27" s="326">
        <f>SUM(N13:N17)</f>
        <v>0</v>
      </c>
      <c r="O27" s="326">
        <f>P27+Q27+R27+S27</f>
        <v>83975.52</v>
      </c>
      <c r="P27" s="326">
        <f>P28+P29</f>
        <v>58880</v>
      </c>
      <c r="Q27" s="326">
        <f>Q28+Q29+Q30</f>
        <v>25095.52</v>
      </c>
      <c r="R27" s="326">
        <f>SUM(R13:R17)</f>
        <v>0</v>
      </c>
      <c r="S27" s="326">
        <f>SUM(S13:S17)</f>
        <v>0</v>
      </c>
      <c r="T27" s="326">
        <f>SUM(T13:T26)</f>
        <v>24077</v>
      </c>
      <c r="U27" s="326">
        <f>SUM(U13:U26)</f>
        <v>0</v>
      </c>
      <c r="V27" s="326">
        <f>V28+V29+V30</f>
        <v>24077</v>
      </c>
      <c r="W27" s="326">
        <f>SUM(W13:W16)</f>
        <v>0</v>
      </c>
      <c r="X27" s="326">
        <f>SUM(X13:X16)</f>
        <v>0</v>
      </c>
      <c r="Y27" s="326">
        <f>Y28+Y29</f>
        <v>0</v>
      </c>
      <c r="Z27" s="326">
        <f>Z28+Z29+Z30</f>
        <v>0</v>
      </c>
      <c r="AA27" s="326">
        <f>AA28+AA29+AA30</f>
        <v>24077</v>
      </c>
      <c r="AB27" s="326">
        <f>SUM(AB13:AB17)</f>
        <v>0</v>
      </c>
      <c r="AC27" s="326">
        <f>SUM(AC13:AC17)</f>
        <v>0</v>
      </c>
      <c r="AD27" s="326">
        <f>AD28+AD29+AD30</f>
        <v>275109.89</v>
      </c>
    </row>
    <row r="28" spans="1:31" ht="23.25">
      <c r="A28" s="338" t="s">
        <v>14</v>
      </c>
      <c r="B28" s="409"/>
      <c r="C28" s="410"/>
      <c r="D28" s="412"/>
      <c r="E28" s="299">
        <f>F28+G28+H28+I28</f>
        <v>36295.369999999995</v>
      </c>
      <c r="F28" s="299">
        <f>F13+F14+F16</f>
        <v>34125.699999999997</v>
      </c>
      <c r="G28" s="299">
        <f>G13+G14+G16</f>
        <v>0</v>
      </c>
      <c r="H28" s="299">
        <f>G13+G14+G16</f>
        <v>0</v>
      </c>
      <c r="I28" s="299">
        <f>I14+I16</f>
        <v>2169.67</v>
      </c>
      <c r="J28" s="299">
        <f t="shared" ref="J28:V28" si="6">J13+J14+J16</f>
        <v>26292</v>
      </c>
      <c r="K28" s="299">
        <f t="shared" si="6"/>
        <v>26292</v>
      </c>
      <c r="L28" s="299">
        <f t="shared" si="6"/>
        <v>0</v>
      </c>
      <c r="M28" s="299">
        <f t="shared" si="6"/>
        <v>0</v>
      </c>
      <c r="N28" s="299">
        <f t="shared" si="6"/>
        <v>0</v>
      </c>
      <c r="O28" s="299">
        <f t="shared" si="6"/>
        <v>42513</v>
      </c>
      <c r="P28" s="299">
        <f t="shared" si="6"/>
        <v>42513</v>
      </c>
      <c r="Q28" s="299">
        <f t="shared" si="6"/>
        <v>0</v>
      </c>
      <c r="R28" s="299">
        <f t="shared" si="6"/>
        <v>0</v>
      </c>
      <c r="S28" s="299">
        <f t="shared" si="6"/>
        <v>0</v>
      </c>
      <c r="T28" s="299">
        <f t="shared" si="6"/>
        <v>0</v>
      </c>
      <c r="U28" s="299">
        <f t="shared" si="6"/>
        <v>0</v>
      </c>
      <c r="V28" s="299">
        <f t="shared" si="6"/>
        <v>0</v>
      </c>
      <c r="W28" s="299">
        <f>W13+W14+W16</f>
        <v>0</v>
      </c>
      <c r="X28" s="299">
        <f t="shared" ref="X28:AC28" si="7">X13+X14+X16</f>
        <v>0</v>
      </c>
      <c r="Y28" s="299">
        <f t="shared" si="7"/>
        <v>0</v>
      </c>
      <c r="Z28" s="299">
        <f>Z13+Z14+Z16</f>
        <v>0</v>
      </c>
      <c r="AA28" s="299">
        <f t="shared" si="7"/>
        <v>0</v>
      </c>
      <c r="AB28" s="299">
        <f t="shared" si="7"/>
        <v>0</v>
      </c>
      <c r="AC28" s="299">
        <f t="shared" si="7"/>
        <v>0</v>
      </c>
      <c r="AD28" s="299">
        <f>E28+J28+O28+T28+Y28</f>
        <v>105100.37</v>
      </c>
    </row>
    <row r="29" spans="1:31" ht="23.25">
      <c r="A29" s="338" t="s">
        <v>135</v>
      </c>
      <c r="B29" s="342"/>
      <c r="C29" s="343"/>
      <c r="D29" s="412"/>
      <c r="E29" s="299">
        <f>E15+E17+E18+E19+E20+E21+E22+E23+E26</f>
        <v>16830</v>
      </c>
      <c r="F29" s="299">
        <f>F15+F17+F18+F19+F20+F21+F22+F23+F26</f>
        <v>16830</v>
      </c>
      <c r="G29" s="299">
        <f>G15+G16</f>
        <v>0</v>
      </c>
      <c r="H29" s="299">
        <f>H15+H17+H18+H19+H20+H21+H22+H23+H26</f>
        <v>0</v>
      </c>
      <c r="I29" s="299">
        <f>I15+I17+I17+I18+I19+I20+I21+I22+I23+I26</f>
        <v>0</v>
      </c>
      <c r="J29" s="299">
        <f>J15+J17+J18+J19+J20+J21+J22+J23+J26</f>
        <v>17189</v>
      </c>
      <c r="K29" s="299">
        <f>K15+K17+K18+K19+K20+K21+K22+K23+K26</f>
        <v>17189</v>
      </c>
      <c r="L29" s="299">
        <f>L15+L17+L18+L19+L20+L21+L22+L23+L26</f>
        <v>0</v>
      </c>
      <c r="M29" s="299">
        <f>M24+M25</f>
        <v>0</v>
      </c>
      <c r="N29" s="299">
        <f>N24+N25</f>
        <v>0</v>
      </c>
      <c r="O29" s="299">
        <f>O15+O17+O18+O19+O20+O21+O22+O23+O26</f>
        <v>16367</v>
      </c>
      <c r="P29" s="299">
        <f>P15+P17+P18+P19+P20+P21+P22+P23+P26</f>
        <v>16367</v>
      </c>
      <c r="Q29" s="299">
        <f t="shared" ref="Q29:AC29" si="8">Q15+Q17+Q18+Q19+Q20+Q21+Q22+Q23+Q26</f>
        <v>0</v>
      </c>
      <c r="R29" s="299">
        <f t="shared" si="8"/>
        <v>0</v>
      </c>
      <c r="S29" s="299">
        <f t="shared" si="8"/>
        <v>0</v>
      </c>
      <c r="T29" s="299">
        <f t="shared" si="8"/>
        <v>0</v>
      </c>
      <c r="U29" s="299">
        <f>U15+U17+U18+U19+U20+U21+U22+U23+U26</f>
        <v>0</v>
      </c>
      <c r="V29" s="299">
        <f t="shared" si="8"/>
        <v>0</v>
      </c>
      <c r="W29" s="299">
        <f t="shared" si="8"/>
        <v>0</v>
      </c>
      <c r="X29" s="299">
        <f t="shared" si="8"/>
        <v>0</v>
      </c>
      <c r="Y29" s="299">
        <f t="shared" si="8"/>
        <v>0</v>
      </c>
      <c r="Z29" s="299">
        <f>Z15+Z17+Z18+Z19+Z20+Z21+Z22+Z23+Z26</f>
        <v>0</v>
      </c>
      <c r="AA29" s="299">
        <f t="shared" si="8"/>
        <v>0</v>
      </c>
      <c r="AB29" s="299">
        <f t="shared" si="8"/>
        <v>0</v>
      </c>
      <c r="AC29" s="299">
        <f t="shared" si="8"/>
        <v>0</v>
      </c>
      <c r="AD29" s="299">
        <f>E29+J29+O29+T29+Y29</f>
        <v>50386</v>
      </c>
      <c r="AE29" s="344"/>
    </row>
    <row r="30" spans="1:31" ht="23.25">
      <c r="A30" s="409" t="s">
        <v>73</v>
      </c>
      <c r="B30" s="410"/>
      <c r="C30" s="410"/>
      <c r="D30" s="413"/>
      <c r="E30" s="299">
        <f t="shared" ref="E30:S30" si="9">E24+E25</f>
        <v>23306</v>
      </c>
      <c r="F30" s="299">
        <f t="shared" si="9"/>
        <v>0</v>
      </c>
      <c r="G30" s="299">
        <f t="shared" si="9"/>
        <v>23306</v>
      </c>
      <c r="H30" s="299">
        <f t="shared" si="9"/>
        <v>0</v>
      </c>
      <c r="I30" s="299">
        <f t="shared" si="9"/>
        <v>0</v>
      </c>
      <c r="J30" s="299">
        <f t="shared" si="9"/>
        <v>23068</v>
      </c>
      <c r="K30" s="299">
        <f t="shared" si="9"/>
        <v>0</v>
      </c>
      <c r="L30" s="299">
        <f t="shared" si="9"/>
        <v>23068</v>
      </c>
      <c r="M30" s="299">
        <f t="shared" si="9"/>
        <v>0</v>
      </c>
      <c r="N30" s="299">
        <f t="shared" si="9"/>
        <v>0</v>
      </c>
      <c r="O30" s="299">
        <f t="shared" si="9"/>
        <v>25095.52</v>
      </c>
      <c r="P30" s="299">
        <f t="shared" si="9"/>
        <v>0</v>
      </c>
      <c r="Q30" s="299">
        <f>Q24+Q25</f>
        <v>25095.52</v>
      </c>
      <c r="R30" s="299">
        <f t="shared" si="9"/>
        <v>0</v>
      </c>
      <c r="S30" s="299">
        <f t="shared" si="9"/>
        <v>0</v>
      </c>
      <c r="T30" s="299">
        <f>T24+T25</f>
        <v>24077</v>
      </c>
      <c r="U30" s="299">
        <f>U25+U24</f>
        <v>0</v>
      </c>
      <c r="V30" s="299">
        <f>V24+V25</f>
        <v>24077</v>
      </c>
      <c r="W30" s="299">
        <f t="shared" ref="W30:AC30" si="10">W24+W25</f>
        <v>0</v>
      </c>
      <c r="X30" s="299">
        <f t="shared" si="10"/>
        <v>0</v>
      </c>
      <c r="Y30" s="299">
        <f t="shared" si="10"/>
        <v>24077</v>
      </c>
      <c r="Z30" s="299">
        <f t="shared" si="10"/>
        <v>0</v>
      </c>
      <c r="AA30" s="299">
        <f t="shared" si="10"/>
        <v>24077</v>
      </c>
      <c r="AB30" s="299">
        <f t="shared" si="10"/>
        <v>0</v>
      </c>
      <c r="AC30" s="299">
        <f t="shared" si="10"/>
        <v>0</v>
      </c>
      <c r="AD30" s="299">
        <f>E30+J30+O30+T30+Y30</f>
        <v>119623.52</v>
      </c>
      <c r="AE30" s="344"/>
    </row>
    <row r="31" spans="1:31" ht="23.25" customHeight="1">
      <c r="A31" s="322" t="s">
        <v>222</v>
      </c>
      <c r="B31" s="639" t="s">
        <v>276</v>
      </c>
      <c r="C31" s="640"/>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0"/>
      <c r="AC31" s="640"/>
      <c r="AD31" s="641"/>
    </row>
    <row r="32" spans="1:31" ht="93">
      <c r="A32" s="323" t="s">
        <v>21</v>
      </c>
      <c r="B32" s="346" t="s">
        <v>192</v>
      </c>
      <c r="C32" s="322" t="s">
        <v>94</v>
      </c>
      <c r="D32" s="322" t="s">
        <v>93</v>
      </c>
      <c r="E32" s="299">
        <f>F32+G32+H32+I32</f>
        <v>1892</v>
      </c>
      <c r="F32" s="299">
        <f>2664-772</f>
        <v>1892</v>
      </c>
      <c r="G32" s="299">
        <v>0</v>
      </c>
      <c r="H32" s="299">
        <v>0</v>
      </c>
      <c r="I32" s="299">
        <v>0</v>
      </c>
      <c r="J32" s="299">
        <f>K32+L32+M32+N32</f>
        <v>1072</v>
      </c>
      <c r="K32" s="299">
        <f>1892-286-534</f>
        <v>1072</v>
      </c>
      <c r="L32" s="299">
        <v>0</v>
      </c>
      <c r="M32" s="299">
        <v>0</v>
      </c>
      <c r="N32" s="299">
        <v>0</v>
      </c>
      <c r="O32" s="299">
        <f>P32+Q32+R32+S32</f>
        <v>1633</v>
      </c>
      <c r="P32" s="299">
        <f>1633</f>
        <v>1633</v>
      </c>
      <c r="Q32" s="299">
        <v>0</v>
      </c>
      <c r="R32" s="299">
        <v>0</v>
      </c>
      <c r="S32" s="299">
        <v>0</v>
      </c>
      <c r="T32" s="299">
        <f>U32+V32+W32+X32</f>
        <v>0</v>
      </c>
      <c r="U32" s="299">
        <v>0</v>
      </c>
      <c r="V32" s="299">
        <v>0</v>
      </c>
      <c r="W32" s="299">
        <v>0</v>
      </c>
      <c r="X32" s="299">
        <v>0</v>
      </c>
      <c r="Y32" s="299">
        <f>Z32+AA32+AB32+AC32</f>
        <v>0</v>
      </c>
      <c r="Z32" s="299">
        <v>0</v>
      </c>
      <c r="AA32" s="299">
        <v>0</v>
      </c>
      <c r="AB32" s="299">
        <v>0</v>
      </c>
      <c r="AC32" s="299">
        <v>0</v>
      </c>
      <c r="AD32" s="299">
        <f>E32+J32+O32+T32+Y32</f>
        <v>4597</v>
      </c>
    </row>
    <row r="33" spans="1:31" ht="20.25">
      <c r="A33" s="655" t="s">
        <v>22</v>
      </c>
      <c r="B33" s="656"/>
      <c r="C33" s="657"/>
      <c r="D33" s="347"/>
      <c r="E33" s="326">
        <f>E32</f>
        <v>1892</v>
      </c>
      <c r="F33" s="326">
        <f>SUM(F32)</f>
        <v>1892</v>
      </c>
      <c r="G33" s="326">
        <f t="shared" ref="G33:AD33" si="11">SUM(G32:G32)</f>
        <v>0</v>
      </c>
      <c r="H33" s="326">
        <f t="shared" si="11"/>
        <v>0</v>
      </c>
      <c r="I33" s="326">
        <f t="shared" si="11"/>
        <v>0</v>
      </c>
      <c r="J33" s="326">
        <f>J32</f>
        <v>1072</v>
      </c>
      <c r="K33" s="326">
        <f t="shared" si="11"/>
        <v>1072</v>
      </c>
      <c r="L33" s="326">
        <f t="shared" si="11"/>
        <v>0</v>
      </c>
      <c r="M33" s="326">
        <f t="shared" si="11"/>
        <v>0</v>
      </c>
      <c r="N33" s="326">
        <f t="shared" si="11"/>
        <v>0</v>
      </c>
      <c r="O33" s="326">
        <f t="shared" si="11"/>
        <v>1633</v>
      </c>
      <c r="P33" s="326">
        <f t="shared" si="11"/>
        <v>1633</v>
      </c>
      <c r="Q33" s="326">
        <f t="shared" si="11"/>
        <v>0</v>
      </c>
      <c r="R33" s="326">
        <f t="shared" si="11"/>
        <v>0</v>
      </c>
      <c r="S33" s="326">
        <f t="shared" si="11"/>
        <v>0</v>
      </c>
      <c r="T33" s="326">
        <f t="shared" si="11"/>
        <v>0</v>
      </c>
      <c r="U33" s="326">
        <f t="shared" si="11"/>
        <v>0</v>
      </c>
      <c r="V33" s="326">
        <f t="shared" si="11"/>
        <v>0</v>
      </c>
      <c r="W33" s="326">
        <f t="shared" si="11"/>
        <v>0</v>
      </c>
      <c r="X33" s="326">
        <f t="shared" si="11"/>
        <v>0</v>
      </c>
      <c r="Y33" s="326">
        <f t="shared" si="11"/>
        <v>0</v>
      </c>
      <c r="Z33" s="326">
        <f t="shared" si="11"/>
        <v>0</v>
      </c>
      <c r="AA33" s="326">
        <f t="shared" si="11"/>
        <v>0</v>
      </c>
      <c r="AB33" s="326">
        <f t="shared" si="11"/>
        <v>0</v>
      </c>
      <c r="AC33" s="326">
        <f t="shared" si="11"/>
        <v>0</v>
      </c>
      <c r="AD33" s="326">
        <f t="shared" si="11"/>
        <v>4597</v>
      </c>
    </row>
    <row r="34" spans="1:31" ht="20.25">
      <c r="A34" s="322" t="s">
        <v>229</v>
      </c>
      <c r="B34" s="658" t="s">
        <v>277</v>
      </c>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60"/>
    </row>
    <row r="35" spans="1:31" ht="46.5">
      <c r="A35" s="323" t="s">
        <v>24</v>
      </c>
      <c r="B35" s="346" t="s">
        <v>288</v>
      </c>
      <c r="C35" s="331" t="s">
        <v>94</v>
      </c>
      <c r="D35" s="322" t="s">
        <v>93</v>
      </c>
      <c r="E35" s="299">
        <f>F35+G35+H35+I35</f>
        <v>2949</v>
      </c>
      <c r="F35" s="299">
        <v>2949</v>
      </c>
      <c r="G35" s="299">
        <v>0</v>
      </c>
      <c r="H35" s="299">
        <v>0</v>
      </c>
      <c r="I35" s="299">
        <v>0</v>
      </c>
      <c r="J35" s="299">
        <f>K35+L35+M35+N35</f>
        <v>2313</v>
      </c>
      <c r="K35" s="299">
        <f>1775+587-49</f>
        <v>2313</v>
      </c>
      <c r="L35" s="299">
        <v>0</v>
      </c>
      <c r="M35" s="299">
        <v>0</v>
      </c>
      <c r="N35" s="299">
        <v>0</v>
      </c>
      <c r="O35" s="299">
        <f xml:space="preserve"> SUM(P35:S35)</f>
        <v>2362</v>
      </c>
      <c r="P35" s="299">
        <f>2362</f>
        <v>2362</v>
      </c>
      <c r="Q35" s="299">
        <f>SUM(Q36,Q37,Q38,Q39)</f>
        <v>0</v>
      </c>
      <c r="R35" s="299">
        <f>SUM(R36,R37,R38,R39)</f>
        <v>0</v>
      </c>
      <c r="S35" s="299">
        <f>SUM(S36,S37,S38,S39)</f>
        <v>0</v>
      </c>
      <c r="T35" s="299">
        <f xml:space="preserve"> SUM(U35:X35)</f>
        <v>0</v>
      </c>
      <c r="U35" s="299">
        <v>0</v>
      </c>
      <c r="V35" s="299">
        <f>SUM(V36,V37,V38,V39)</f>
        <v>0</v>
      </c>
      <c r="W35" s="299">
        <f>SUM(W36,W37,W38,W39)</f>
        <v>0</v>
      </c>
      <c r="X35" s="299">
        <f>SUM(X36,X37,X38,X39)</f>
        <v>0</v>
      </c>
      <c r="Y35" s="299">
        <f xml:space="preserve"> SUM(Z35:AC35)</f>
        <v>0</v>
      </c>
      <c r="Z35" s="299">
        <v>0</v>
      </c>
      <c r="AA35" s="299">
        <f>SUM(AA36,AA37,AA38,AA39)</f>
        <v>0</v>
      </c>
      <c r="AB35" s="299">
        <f>SUM(AB36,AB37,AB38,AB39)</f>
        <v>0</v>
      </c>
      <c r="AC35" s="299">
        <f>SUM(AC36,AC37,AC38,AC39)</f>
        <v>0</v>
      </c>
      <c r="AD35" s="299">
        <f>E35+J35+O35+T35+Y35</f>
        <v>7624</v>
      </c>
    </row>
    <row r="36" spans="1:31" ht="139.5">
      <c r="A36" s="323" t="s">
        <v>151</v>
      </c>
      <c r="B36" s="330" t="s">
        <v>76</v>
      </c>
      <c r="C36" s="331" t="s">
        <v>94</v>
      </c>
      <c r="D36" s="322" t="s">
        <v>93</v>
      </c>
      <c r="E36" s="299">
        <f t="shared" ref="E36:E46" si="12">F36+G36+H36+I36</f>
        <v>9</v>
      </c>
      <c r="F36" s="299">
        <v>9</v>
      </c>
      <c r="G36" s="299">
        <v>0</v>
      </c>
      <c r="H36" s="299">
        <v>0</v>
      </c>
      <c r="I36" s="299">
        <v>0</v>
      </c>
      <c r="J36" s="299">
        <f t="shared" ref="J36:J46" si="13">K36+L36+M36+N36</f>
        <v>9</v>
      </c>
      <c r="K36" s="299">
        <v>9</v>
      </c>
      <c r="L36" s="299">
        <v>0</v>
      </c>
      <c r="M36" s="299">
        <v>0</v>
      </c>
      <c r="N36" s="299">
        <v>0</v>
      </c>
      <c r="O36" s="299">
        <f t="shared" ref="O36:O46" si="14">P36+Q36+R36+S36</f>
        <v>9</v>
      </c>
      <c r="P36" s="299">
        <v>9</v>
      </c>
      <c r="Q36" s="299">
        <v>0</v>
      </c>
      <c r="R36" s="299">
        <v>0</v>
      </c>
      <c r="S36" s="299">
        <v>0</v>
      </c>
      <c r="T36" s="299">
        <f t="shared" ref="T36:T46" si="15">U36+V36+W36+X36</f>
        <v>0</v>
      </c>
      <c r="U36" s="299">
        <v>0</v>
      </c>
      <c r="V36" s="299">
        <v>0</v>
      </c>
      <c r="W36" s="299">
        <v>0</v>
      </c>
      <c r="X36" s="299">
        <v>0</v>
      </c>
      <c r="Y36" s="299">
        <f t="shared" ref="Y36:Y46" si="16">Z36+AA36+AB36+AC36</f>
        <v>0</v>
      </c>
      <c r="Z36" s="299">
        <v>0</v>
      </c>
      <c r="AA36" s="299">
        <v>0</v>
      </c>
      <c r="AB36" s="299">
        <v>0</v>
      </c>
      <c r="AC36" s="299">
        <v>0</v>
      </c>
      <c r="AD36" s="299">
        <f t="shared" ref="AD36:AD48" si="17">E36+J36+O36+T36+Y36</f>
        <v>27</v>
      </c>
    </row>
    <row r="37" spans="1:31" ht="37.5">
      <c r="A37" s="323" t="s">
        <v>235</v>
      </c>
      <c r="B37" s="330" t="s">
        <v>71</v>
      </c>
      <c r="C37" s="322" t="s">
        <v>94</v>
      </c>
      <c r="D37" s="322" t="s">
        <v>168</v>
      </c>
      <c r="E37" s="299">
        <f t="shared" si="12"/>
        <v>426</v>
      </c>
      <c r="F37" s="299">
        <v>426</v>
      </c>
      <c r="G37" s="299">
        <v>0</v>
      </c>
      <c r="H37" s="299">
        <v>0</v>
      </c>
      <c r="I37" s="299">
        <v>0</v>
      </c>
      <c r="J37" s="299">
        <f t="shared" si="13"/>
        <v>0</v>
      </c>
      <c r="K37" s="299">
        <v>0</v>
      </c>
      <c r="L37" s="299">
        <v>0</v>
      </c>
      <c r="M37" s="299">
        <v>0</v>
      </c>
      <c r="N37" s="299">
        <v>0</v>
      </c>
      <c r="O37" s="299">
        <f t="shared" si="14"/>
        <v>0</v>
      </c>
      <c r="P37" s="299">
        <v>0</v>
      </c>
      <c r="Q37" s="299">
        <v>0</v>
      </c>
      <c r="R37" s="299">
        <v>0</v>
      </c>
      <c r="S37" s="299">
        <v>0</v>
      </c>
      <c r="T37" s="299">
        <f t="shared" si="15"/>
        <v>0</v>
      </c>
      <c r="U37" s="299">
        <v>0</v>
      </c>
      <c r="V37" s="299">
        <v>0</v>
      </c>
      <c r="W37" s="299">
        <v>0</v>
      </c>
      <c r="X37" s="299">
        <v>0</v>
      </c>
      <c r="Y37" s="299">
        <f t="shared" si="16"/>
        <v>0</v>
      </c>
      <c r="Z37" s="299">
        <v>0</v>
      </c>
      <c r="AA37" s="299">
        <v>0</v>
      </c>
      <c r="AB37" s="299">
        <v>0</v>
      </c>
      <c r="AC37" s="299">
        <v>0</v>
      </c>
      <c r="AD37" s="299">
        <f>E37+J37+O37+T37+Y37</f>
        <v>426</v>
      </c>
    </row>
    <row r="38" spans="1:31" ht="23.25" customHeight="1">
      <c r="A38" s="323" t="s">
        <v>236</v>
      </c>
      <c r="B38" s="330" t="s">
        <v>110</v>
      </c>
      <c r="C38" s="685" t="s">
        <v>105</v>
      </c>
      <c r="D38" s="322" t="s">
        <v>93</v>
      </c>
      <c r="E38" s="299">
        <f t="shared" si="12"/>
        <v>3304</v>
      </c>
      <c r="F38" s="299">
        <v>3304</v>
      </c>
      <c r="G38" s="299">
        <v>0</v>
      </c>
      <c r="H38" s="299">
        <v>0</v>
      </c>
      <c r="I38" s="299">
        <v>0</v>
      </c>
      <c r="J38" s="299">
        <f t="shared" si="13"/>
        <v>3080</v>
      </c>
      <c r="K38" s="299">
        <f>3304-224</f>
        <v>3080</v>
      </c>
      <c r="L38" s="299">
        <v>0</v>
      </c>
      <c r="M38" s="299">
        <v>0</v>
      </c>
      <c r="N38" s="299">
        <v>0</v>
      </c>
      <c r="O38" s="299">
        <f t="shared" si="14"/>
        <v>2968</v>
      </c>
      <c r="P38" s="299">
        <v>2968</v>
      </c>
      <c r="Q38" s="299">
        <v>0</v>
      </c>
      <c r="R38" s="299">
        <v>0</v>
      </c>
      <c r="S38" s="299">
        <v>0</v>
      </c>
      <c r="T38" s="299">
        <f t="shared" si="15"/>
        <v>0</v>
      </c>
      <c r="U38" s="299">
        <v>0</v>
      </c>
      <c r="V38" s="299">
        <v>0</v>
      </c>
      <c r="W38" s="299">
        <v>0</v>
      </c>
      <c r="X38" s="299">
        <v>0</v>
      </c>
      <c r="Y38" s="299">
        <f t="shared" si="16"/>
        <v>0</v>
      </c>
      <c r="Z38" s="299">
        <v>0</v>
      </c>
      <c r="AA38" s="299">
        <v>0</v>
      </c>
      <c r="AB38" s="299">
        <v>0</v>
      </c>
      <c r="AC38" s="299">
        <v>0</v>
      </c>
      <c r="AD38" s="299">
        <f>E38+J38+O38+T38+Y38</f>
        <v>9352</v>
      </c>
    </row>
    <row r="39" spans="1:31" ht="93">
      <c r="A39" s="323" t="s">
        <v>237</v>
      </c>
      <c r="B39" s="330" t="s">
        <v>191</v>
      </c>
      <c r="C39" s="686"/>
      <c r="D39" s="322" t="s">
        <v>283</v>
      </c>
      <c r="E39" s="299">
        <f t="shared" si="12"/>
        <v>378</v>
      </c>
      <c r="F39" s="299">
        <v>378</v>
      </c>
      <c r="G39" s="299">
        <v>0</v>
      </c>
      <c r="H39" s="299">
        <v>0</v>
      </c>
      <c r="I39" s="299">
        <v>0</v>
      </c>
      <c r="J39" s="299">
        <f t="shared" si="13"/>
        <v>419</v>
      </c>
      <c r="K39" s="299">
        <f>324+95</f>
        <v>419</v>
      </c>
      <c r="L39" s="299">
        <v>0</v>
      </c>
      <c r="M39" s="299">
        <v>0</v>
      </c>
      <c r="N39" s="299">
        <v>0</v>
      </c>
      <c r="O39" s="299">
        <f t="shared" si="14"/>
        <v>495</v>
      </c>
      <c r="P39" s="299">
        <v>495</v>
      </c>
      <c r="Q39" s="299">
        <v>0</v>
      </c>
      <c r="R39" s="299">
        <v>0</v>
      </c>
      <c r="S39" s="299">
        <v>0</v>
      </c>
      <c r="T39" s="299">
        <f t="shared" si="15"/>
        <v>0</v>
      </c>
      <c r="U39" s="299">
        <v>0</v>
      </c>
      <c r="V39" s="299">
        <v>0</v>
      </c>
      <c r="W39" s="299">
        <v>0</v>
      </c>
      <c r="X39" s="299">
        <v>0</v>
      </c>
      <c r="Y39" s="299">
        <f t="shared" si="16"/>
        <v>0</v>
      </c>
      <c r="Z39" s="299">
        <v>0</v>
      </c>
      <c r="AA39" s="299">
        <v>0</v>
      </c>
      <c r="AB39" s="299">
        <v>0</v>
      </c>
      <c r="AC39" s="299">
        <v>0</v>
      </c>
      <c r="AD39" s="299">
        <f>E39+J39+O39+T39+Y39</f>
        <v>1292</v>
      </c>
    </row>
    <row r="40" spans="1:31" ht="93">
      <c r="A40" s="323" t="s">
        <v>238</v>
      </c>
      <c r="B40" s="330" t="s">
        <v>77</v>
      </c>
      <c r="C40" s="331" t="s">
        <v>94</v>
      </c>
      <c r="D40" s="322" t="s">
        <v>93</v>
      </c>
      <c r="E40" s="299">
        <f t="shared" si="12"/>
        <v>12</v>
      </c>
      <c r="F40" s="299">
        <v>12</v>
      </c>
      <c r="G40" s="299">
        <v>0</v>
      </c>
      <c r="H40" s="299">
        <v>0</v>
      </c>
      <c r="I40" s="299">
        <v>0</v>
      </c>
      <c r="J40" s="299">
        <f t="shared" si="13"/>
        <v>12</v>
      </c>
      <c r="K40" s="299">
        <v>12</v>
      </c>
      <c r="L40" s="299">
        <v>0</v>
      </c>
      <c r="M40" s="299">
        <v>0</v>
      </c>
      <c r="N40" s="299">
        <v>0</v>
      </c>
      <c r="O40" s="299">
        <f t="shared" si="14"/>
        <v>12</v>
      </c>
      <c r="P40" s="299">
        <v>12</v>
      </c>
      <c r="Q40" s="299">
        <v>0</v>
      </c>
      <c r="R40" s="299">
        <v>0</v>
      </c>
      <c r="S40" s="299">
        <v>0</v>
      </c>
      <c r="T40" s="299">
        <f t="shared" si="15"/>
        <v>0</v>
      </c>
      <c r="U40" s="299">
        <v>0</v>
      </c>
      <c r="V40" s="299">
        <v>0</v>
      </c>
      <c r="W40" s="299">
        <v>0</v>
      </c>
      <c r="X40" s="299">
        <v>0</v>
      </c>
      <c r="Y40" s="299">
        <f t="shared" si="16"/>
        <v>0</v>
      </c>
      <c r="Z40" s="299">
        <v>0</v>
      </c>
      <c r="AA40" s="299">
        <v>0</v>
      </c>
      <c r="AB40" s="299">
        <v>0</v>
      </c>
      <c r="AC40" s="299">
        <v>0</v>
      </c>
      <c r="AD40" s="299">
        <f t="shared" si="17"/>
        <v>36</v>
      </c>
    </row>
    <row r="41" spans="1:31" ht="93" customHeight="1">
      <c r="A41" s="323" t="s">
        <v>239</v>
      </c>
      <c r="B41" s="330" t="s">
        <v>265</v>
      </c>
      <c r="C41" s="661" t="s">
        <v>105</v>
      </c>
      <c r="D41" s="322" t="s">
        <v>168</v>
      </c>
      <c r="E41" s="299">
        <f t="shared" si="12"/>
        <v>50</v>
      </c>
      <c r="F41" s="299">
        <v>50</v>
      </c>
      <c r="G41" s="299">
        <v>0</v>
      </c>
      <c r="H41" s="299">
        <v>0</v>
      </c>
      <c r="I41" s="299">
        <v>0</v>
      </c>
      <c r="J41" s="299">
        <f t="shared" si="13"/>
        <v>0</v>
      </c>
      <c r="K41" s="299">
        <v>0</v>
      </c>
      <c r="L41" s="299">
        <v>0</v>
      </c>
      <c r="M41" s="299">
        <v>0</v>
      </c>
      <c r="N41" s="299">
        <v>0</v>
      </c>
      <c r="O41" s="299">
        <f t="shared" si="14"/>
        <v>0</v>
      </c>
      <c r="P41" s="299">
        <v>0</v>
      </c>
      <c r="Q41" s="299">
        <v>0</v>
      </c>
      <c r="R41" s="299">
        <v>0</v>
      </c>
      <c r="S41" s="299">
        <v>0</v>
      </c>
      <c r="T41" s="299">
        <f t="shared" si="15"/>
        <v>0</v>
      </c>
      <c r="U41" s="299">
        <v>0</v>
      </c>
      <c r="V41" s="299">
        <v>0</v>
      </c>
      <c r="W41" s="299">
        <v>0</v>
      </c>
      <c r="X41" s="299">
        <v>0</v>
      </c>
      <c r="Y41" s="299">
        <f t="shared" si="16"/>
        <v>0</v>
      </c>
      <c r="Z41" s="299">
        <v>0</v>
      </c>
      <c r="AA41" s="299">
        <v>0</v>
      </c>
      <c r="AB41" s="299">
        <v>0</v>
      </c>
      <c r="AC41" s="299">
        <v>0</v>
      </c>
      <c r="AD41" s="299">
        <f t="shared" si="17"/>
        <v>50</v>
      </c>
    </row>
    <row r="42" spans="1:31" ht="69.75">
      <c r="A42" s="323" t="s">
        <v>240</v>
      </c>
      <c r="B42" s="330" t="s">
        <v>111</v>
      </c>
      <c r="C42" s="662"/>
      <c r="D42" s="322" t="s">
        <v>168</v>
      </c>
      <c r="E42" s="299">
        <f t="shared" si="12"/>
        <v>50</v>
      </c>
      <c r="F42" s="299">
        <v>50</v>
      </c>
      <c r="G42" s="299">
        <v>0</v>
      </c>
      <c r="H42" s="299">
        <v>0</v>
      </c>
      <c r="I42" s="299">
        <v>0</v>
      </c>
      <c r="J42" s="299">
        <f t="shared" si="13"/>
        <v>50</v>
      </c>
      <c r="K42" s="299">
        <v>50</v>
      </c>
      <c r="L42" s="299">
        <v>0</v>
      </c>
      <c r="M42" s="299">
        <v>0</v>
      </c>
      <c r="N42" s="299">
        <v>0</v>
      </c>
      <c r="O42" s="299">
        <f t="shared" si="14"/>
        <v>50</v>
      </c>
      <c r="P42" s="299">
        <v>50</v>
      </c>
      <c r="Q42" s="299">
        <v>0</v>
      </c>
      <c r="R42" s="299">
        <v>0</v>
      </c>
      <c r="S42" s="299">
        <v>0</v>
      </c>
      <c r="T42" s="299">
        <f t="shared" si="15"/>
        <v>0</v>
      </c>
      <c r="U42" s="299">
        <v>0</v>
      </c>
      <c r="V42" s="299">
        <v>0</v>
      </c>
      <c r="W42" s="299">
        <v>0</v>
      </c>
      <c r="X42" s="299">
        <v>0</v>
      </c>
      <c r="Y42" s="299">
        <f t="shared" si="16"/>
        <v>0</v>
      </c>
      <c r="Z42" s="299">
        <v>0</v>
      </c>
      <c r="AA42" s="299">
        <v>0</v>
      </c>
      <c r="AB42" s="299">
        <v>0</v>
      </c>
      <c r="AC42" s="299">
        <v>0</v>
      </c>
      <c r="AD42" s="299">
        <f t="shared" si="17"/>
        <v>150</v>
      </c>
    </row>
    <row r="43" spans="1:31" ht="93">
      <c r="A43" s="323" t="s">
        <v>241</v>
      </c>
      <c r="B43" s="330" t="s">
        <v>112</v>
      </c>
      <c r="C43" s="662"/>
      <c r="D43" s="322" t="s">
        <v>93</v>
      </c>
      <c r="E43" s="299">
        <f t="shared" si="12"/>
        <v>810</v>
      </c>
      <c r="F43" s="299">
        <f>480+330</f>
        <v>810</v>
      </c>
      <c r="G43" s="299">
        <v>0</v>
      </c>
      <c r="H43" s="299">
        <v>0</v>
      </c>
      <c r="I43" s="299">
        <v>0</v>
      </c>
      <c r="J43" s="299">
        <f>K43+L43+M43+N43</f>
        <v>770</v>
      </c>
      <c r="K43" s="299">
        <f>720+50</f>
        <v>770</v>
      </c>
      <c r="L43" s="299">
        <v>0</v>
      </c>
      <c r="M43" s="299">
        <v>0</v>
      </c>
      <c r="N43" s="299">
        <v>0</v>
      </c>
      <c r="O43" s="299">
        <f t="shared" si="14"/>
        <v>720</v>
      </c>
      <c r="P43" s="299">
        <v>720</v>
      </c>
      <c r="Q43" s="299">
        <v>0</v>
      </c>
      <c r="R43" s="299">
        <v>0</v>
      </c>
      <c r="S43" s="299">
        <v>0</v>
      </c>
      <c r="T43" s="299">
        <f t="shared" si="15"/>
        <v>0</v>
      </c>
      <c r="U43" s="299">
        <v>0</v>
      </c>
      <c r="V43" s="299">
        <v>0</v>
      </c>
      <c r="W43" s="299">
        <v>0</v>
      </c>
      <c r="X43" s="299">
        <v>0</v>
      </c>
      <c r="Y43" s="299">
        <f t="shared" si="16"/>
        <v>0</v>
      </c>
      <c r="Z43" s="299">
        <v>0</v>
      </c>
      <c r="AA43" s="299">
        <v>0</v>
      </c>
      <c r="AB43" s="299">
        <v>0</v>
      </c>
      <c r="AC43" s="299">
        <v>0</v>
      </c>
      <c r="AD43" s="299">
        <f>E43+J43+O43+T43+Y43</f>
        <v>2300</v>
      </c>
    </row>
    <row r="44" spans="1:31" ht="116.25">
      <c r="A44" s="348" t="s">
        <v>242</v>
      </c>
      <c r="B44" s="330" t="s">
        <v>113</v>
      </c>
      <c r="C44" s="662"/>
      <c r="D44" s="322" t="s">
        <v>168</v>
      </c>
      <c r="E44" s="299">
        <f t="shared" si="12"/>
        <v>30</v>
      </c>
      <c r="F44" s="299">
        <v>30</v>
      </c>
      <c r="G44" s="299">
        <v>0</v>
      </c>
      <c r="H44" s="299">
        <v>0</v>
      </c>
      <c r="I44" s="299">
        <v>0</v>
      </c>
      <c r="J44" s="299">
        <f t="shared" si="13"/>
        <v>10</v>
      </c>
      <c r="K44" s="299">
        <v>10</v>
      </c>
      <c r="L44" s="299">
        <v>0</v>
      </c>
      <c r="M44" s="299">
        <v>0</v>
      </c>
      <c r="N44" s="299">
        <v>0</v>
      </c>
      <c r="O44" s="299">
        <f t="shared" si="14"/>
        <v>10</v>
      </c>
      <c r="P44" s="299">
        <v>10</v>
      </c>
      <c r="Q44" s="299">
        <v>0</v>
      </c>
      <c r="R44" s="299">
        <v>0</v>
      </c>
      <c r="S44" s="299">
        <v>0</v>
      </c>
      <c r="T44" s="299">
        <f t="shared" si="15"/>
        <v>0</v>
      </c>
      <c r="U44" s="299">
        <v>0</v>
      </c>
      <c r="V44" s="299">
        <v>0</v>
      </c>
      <c r="W44" s="299">
        <v>0</v>
      </c>
      <c r="X44" s="299">
        <v>0</v>
      </c>
      <c r="Y44" s="299">
        <f t="shared" si="16"/>
        <v>0</v>
      </c>
      <c r="Z44" s="299">
        <v>0</v>
      </c>
      <c r="AA44" s="299">
        <v>0</v>
      </c>
      <c r="AB44" s="299">
        <v>0</v>
      </c>
      <c r="AC44" s="299">
        <v>0</v>
      </c>
      <c r="AD44" s="299">
        <f t="shared" si="17"/>
        <v>50</v>
      </c>
    </row>
    <row r="45" spans="1:31" ht="69.75">
      <c r="A45" s="323" t="s">
        <v>243</v>
      </c>
      <c r="B45" s="330" t="s">
        <v>114</v>
      </c>
      <c r="C45" s="663"/>
      <c r="D45" s="322" t="s">
        <v>168</v>
      </c>
      <c r="E45" s="299">
        <f t="shared" si="12"/>
        <v>50</v>
      </c>
      <c r="F45" s="299">
        <v>50</v>
      </c>
      <c r="G45" s="299">
        <v>0</v>
      </c>
      <c r="H45" s="299">
        <v>0</v>
      </c>
      <c r="I45" s="299">
        <v>0</v>
      </c>
      <c r="J45" s="299">
        <f t="shared" si="13"/>
        <v>50</v>
      </c>
      <c r="K45" s="299">
        <v>50</v>
      </c>
      <c r="L45" s="299">
        <v>0</v>
      </c>
      <c r="M45" s="299">
        <v>0</v>
      </c>
      <c r="N45" s="299">
        <v>0</v>
      </c>
      <c r="O45" s="299">
        <f t="shared" si="14"/>
        <v>100</v>
      </c>
      <c r="P45" s="299">
        <v>100</v>
      </c>
      <c r="Q45" s="299">
        <v>0</v>
      </c>
      <c r="R45" s="299">
        <v>0</v>
      </c>
      <c r="S45" s="299">
        <v>0</v>
      </c>
      <c r="T45" s="299">
        <f t="shared" si="15"/>
        <v>0</v>
      </c>
      <c r="U45" s="299">
        <v>0</v>
      </c>
      <c r="V45" s="299">
        <v>0</v>
      </c>
      <c r="W45" s="299">
        <v>0</v>
      </c>
      <c r="X45" s="299">
        <v>0</v>
      </c>
      <c r="Y45" s="299">
        <f t="shared" si="16"/>
        <v>0</v>
      </c>
      <c r="Z45" s="299">
        <v>0</v>
      </c>
      <c r="AA45" s="299">
        <v>0</v>
      </c>
      <c r="AB45" s="299">
        <v>0</v>
      </c>
      <c r="AC45" s="299">
        <v>0</v>
      </c>
      <c r="AD45" s="299">
        <f t="shared" si="17"/>
        <v>200</v>
      </c>
    </row>
    <row r="46" spans="1:31" ht="69.75">
      <c r="A46" s="323" t="s">
        <v>244</v>
      </c>
      <c r="B46" s="330" t="s">
        <v>78</v>
      </c>
      <c r="C46" s="322" t="s">
        <v>18</v>
      </c>
      <c r="D46" s="322" t="s">
        <v>93</v>
      </c>
      <c r="E46" s="299">
        <f t="shared" si="12"/>
        <v>96</v>
      </c>
      <c r="F46" s="299">
        <f>96</f>
        <v>96</v>
      </c>
      <c r="G46" s="299">
        <v>0</v>
      </c>
      <c r="H46" s="299">
        <v>0</v>
      </c>
      <c r="I46" s="299">
        <v>0</v>
      </c>
      <c r="J46" s="299">
        <f t="shared" si="13"/>
        <v>43</v>
      </c>
      <c r="K46" s="299">
        <f>68-25</f>
        <v>43</v>
      </c>
      <c r="L46" s="299">
        <v>0</v>
      </c>
      <c r="M46" s="299">
        <v>0</v>
      </c>
      <c r="N46" s="299">
        <v>0</v>
      </c>
      <c r="O46" s="299">
        <f t="shared" si="14"/>
        <v>53</v>
      </c>
      <c r="P46" s="299">
        <v>53</v>
      </c>
      <c r="Q46" s="299">
        <v>0</v>
      </c>
      <c r="R46" s="299">
        <v>0</v>
      </c>
      <c r="S46" s="299">
        <v>0</v>
      </c>
      <c r="T46" s="299">
        <f t="shared" si="15"/>
        <v>0</v>
      </c>
      <c r="U46" s="299">
        <v>0</v>
      </c>
      <c r="V46" s="299">
        <v>0</v>
      </c>
      <c r="W46" s="299">
        <v>0</v>
      </c>
      <c r="X46" s="299">
        <v>0</v>
      </c>
      <c r="Y46" s="299">
        <f t="shared" si="16"/>
        <v>0</v>
      </c>
      <c r="Z46" s="299">
        <v>0</v>
      </c>
      <c r="AA46" s="299">
        <v>0</v>
      </c>
      <c r="AB46" s="299">
        <v>0</v>
      </c>
      <c r="AC46" s="299">
        <v>0</v>
      </c>
      <c r="AD46" s="299">
        <f t="shared" si="17"/>
        <v>192</v>
      </c>
    </row>
    <row r="47" spans="1:31" ht="93">
      <c r="A47" s="323" t="s">
        <v>245</v>
      </c>
      <c r="B47" s="330" t="s">
        <v>145</v>
      </c>
      <c r="C47" s="322" t="s">
        <v>94</v>
      </c>
      <c r="D47" s="322" t="s">
        <v>93</v>
      </c>
      <c r="E47" s="299">
        <f>F47+G47+H47+I47</f>
        <v>28325</v>
      </c>
      <c r="F47" s="299">
        <f>6567-902</f>
        <v>5665</v>
      </c>
      <c r="G47" s="299">
        <f>26268-3608</f>
        <v>22660</v>
      </c>
      <c r="H47" s="299">
        <v>0</v>
      </c>
      <c r="I47" s="299">
        <v>0</v>
      </c>
      <c r="J47" s="299">
        <f>K47+L47+M47+N47</f>
        <v>4455</v>
      </c>
      <c r="K47" s="299">
        <f>550+341</f>
        <v>891</v>
      </c>
      <c r="L47" s="299">
        <v>3564</v>
      </c>
      <c r="M47" s="299">
        <v>0</v>
      </c>
      <c r="N47" s="299">
        <v>0</v>
      </c>
      <c r="O47" s="299">
        <f>P47+Q47+R47+S47</f>
        <v>550</v>
      </c>
      <c r="P47" s="299">
        <v>550</v>
      </c>
      <c r="Q47" s="299">
        <v>0</v>
      </c>
      <c r="R47" s="299">
        <v>0</v>
      </c>
      <c r="S47" s="299">
        <v>0</v>
      </c>
      <c r="T47" s="299">
        <f>U47+V47+W47+X47</f>
        <v>0</v>
      </c>
      <c r="U47" s="299">
        <v>0</v>
      </c>
      <c r="V47" s="299">
        <v>0</v>
      </c>
      <c r="W47" s="299">
        <v>0</v>
      </c>
      <c r="X47" s="299">
        <v>0</v>
      </c>
      <c r="Y47" s="299">
        <f>Z47+AA47+AB47+AC47</f>
        <v>0</v>
      </c>
      <c r="Z47" s="299">
        <v>0</v>
      </c>
      <c r="AA47" s="299">
        <v>0</v>
      </c>
      <c r="AB47" s="299">
        <v>0</v>
      </c>
      <c r="AC47" s="299">
        <v>0</v>
      </c>
      <c r="AD47" s="299">
        <f>E47+J47+O47+T47+Y47</f>
        <v>33330</v>
      </c>
      <c r="AE47" s="349"/>
    </row>
    <row r="48" spans="1:31" ht="46.5">
      <c r="A48" s="350" t="s">
        <v>246</v>
      </c>
      <c r="B48" s="351" t="s">
        <v>87</v>
      </c>
      <c r="C48" s="419" t="s">
        <v>52</v>
      </c>
      <c r="D48" s="322" t="s">
        <v>93</v>
      </c>
      <c r="E48" s="299">
        <f>F48+G48+H48+I48</f>
        <v>384.8</v>
      </c>
      <c r="F48" s="299">
        <f>387-2.2</f>
        <v>384.8</v>
      </c>
      <c r="G48" s="299">
        <v>0</v>
      </c>
      <c r="H48" s="299">
        <v>0</v>
      </c>
      <c r="I48" s="299">
        <v>0</v>
      </c>
      <c r="J48" s="299">
        <f>K48+L48+M48+N48</f>
        <v>362.1</v>
      </c>
      <c r="K48" s="299">
        <f>387-24.9</f>
        <v>362.1</v>
      </c>
      <c r="L48" s="299">
        <v>0</v>
      </c>
      <c r="M48" s="299">
        <v>0</v>
      </c>
      <c r="N48" s="299">
        <v>0</v>
      </c>
      <c r="O48" s="299">
        <v>387</v>
      </c>
      <c r="P48" s="299">
        <v>387</v>
      </c>
      <c r="Q48" s="299">
        <v>0</v>
      </c>
      <c r="R48" s="299">
        <v>0</v>
      </c>
      <c r="S48" s="299">
        <v>0</v>
      </c>
      <c r="T48" s="299">
        <f>U48+V48+W48+X48</f>
        <v>0</v>
      </c>
      <c r="U48" s="299">
        <v>0</v>
      </c>
      <c r="V48" s="299">
        <v>0</v>
      </c>
      <c r="W48" s="299">
        <v>0</v>
      </c>
      <c r="X48" s="299">
        <v>0</v>
      </c>
      <c r="Y48" s="299">
        <f>Z48+AA48+AB48+AC48</f>
        <v>0</v>
      </c>
      <c r="Z48" s="299">
        <v>0</v>
      </c>
      <c r="AA48" s="299">
        <v>0</v>
      </c>
      <c r="AB48" s="299">
        <v>0</v>
      </c>
      <c r="AC48" s="299">
        <v>0</v>
      </c>
      <c r="AD48" s="299">
        <f t="shared" si="17"/>
        <v>1133.9000000000001</v>
      </c>
    </row>
    <row r="49" spans="1:32" ht="75">
      <c r="A49" s="350" t="s">
        <v>247</v>
      </c>
      <c r="B49" s="351" t="s">
        <v>132</v>
      </c>
      <c r="C49" s="419" t="s">
        <v>147</v>
      </c>
      <c r="D49" s="325">
        <v>2020</v>
      </c>
      <c r="E49" s="299">
        <f>F49+G49+H49+I49</f>
        <v>1248</v>
      </c>
      <c r="F49" s="299">
        <f>1248</f>
        <v>1248</v>
      </c>
      <c r="G49" s="299">
        <v>0</v>
      </c>
      <c r="H49" s="299">
        <v>0</v>
      </c>
      <c r="I49" s="299">
        <v>0</v>
      </c>
      <c r="J49" s="299">
        <f>K49+L49+M49+N49</f>
        <v>0</v>
      </c>
      <c r="K49" s="299">
        <v>0</v>
      </c>
      <c r="L49" s="299">
        <v>0</v>
      </c>
      <c r="M49" s="299">
        <v>0</v>
      </c>
      <c r="N49" s="299">
        <v>0</v>
      </c>
      <c r="O49" s="299">
        <f>P49+Q49+R49+S49</f>
        <v>0</v>
      </c>
      <c r="P49" s="299">
        <v>0</v>
      </c>
      <c r="Q49" s="299">
        <v>0</v>
      </c>
      <c r="R49" s="299">
        <v>0</v>
      </c>
      <c r="S49" s="299">
        <v>0</v>
      </c>
      <c r="T49" s="299">
        <f>U49+V49+W49+X49</f>
        <v>0</v>
      </c>
      <c r="U49" s="299">
        <v>0</v>
      </c>
      <c r="V49" s="299">
        <v>0</v>
      </c>
      <c r="W49" s="299">
        <v>0</v>
      </c>
      <c r="X49" s="299">
        <v>0</v>
      </c>
      <c r="Y49" s="299">
        <f>Z49+AA49+AB49+AC49</f>
        <v>0</v>
      </c>
      <c r="Z49" s="299">
        <v>0</v>
      </c>
      <c r="AA49" s="299">
        <v>0</v>
      </c>
      <c r="AB49" s="299">
        <v>0</v>
      </c>
      <c r="AC49" s="299">
        <v>0</v>
      </c>
      <c r="AD49" s="299">
        <f>E49+J49+O49+T49+Y49</f>
        <v>1248</v>
      </c>
    </row>
    <row r="50" spans="1:32" ht="23.25">
      <c r="A50" s="642" t="s">
        <v>25</v>
      </c>
      <c r="B50" s="643"/>
      <c r="C50" s="644"/>
      <c r="D50" s="347"/>
      <c r="E50" s="326">
        <f t="shared" ref="E50:K50" si="18">E51+E52</f>
        <v>38121.800000000003</v>
      </c>
      <c r="F50" s="326">
        <f t="shared" si="18"/>
        <v>15461.8</v>
      </c>
      <c r="G50" s="326">
        <f t="shared" si="18"/>
        <v>22660</v>
      </c>
      <c r="H50" s="326">
        <f t="shared" si="18"/>
        <v>0</v>
      </c>
      <c r="I50" s="326">
        <f t="shared" si="18"/>
        <v>0</v>
      </c>
      <c r="J50" s="326">
        <f>J52+J51</f>
        <v>11573.1</v>
      </c>
      <c r="K50" s="326">
        <f t="shared" si="18"/>
        <v>8009.1</v>
      </c>
      <c r="L50" s="326">
        <f>SUM(L35,L36:L48)</f>
        <v>3564</v>
      </c>
      <c r="M50" s="326">
        <f>SUM(M35,M36:M48)</f>
        <v>0</v>
      </c>
      <c r="N50" s="326">
        <f>SUM(N35,N36:N48)</f>
        <v>0</v>
      </c>
      <c r="O50" s="326">
        <f>O51+O52</f>
        <v>7716</v>
      </c>
      <c r="P50" s="326">
        <f>P51+P52</f>
        <v>7716</v>
      </c>
      <c r="Q50" s="326">
        <f>SUM(Q35,Q36:Q48)</f>
        <v>0</v>
      </c>
      <c r="R50" s="326">
        <f>SUM(R35,R36:R48)</f>
        <v>0</v>
      </c>
      <c r="S50" s="326">
        <f>SUM(S35,S36:S48)</f>
        <v>0</v>
      </c>
      <c r="T50" s="326">
        <f>T51+T52</f>
        <v>0</v>
      </c>
      <c r="U50" s="326">
        <f>U51+U52</f>
        <v>0</v>
      </c>
      <c r="V50" s="326">
        <f>SUM(V35,V36:V48)</f>
        <v>0</v>
      </c>
      <c r="W50" s="326">
        <f>SUM(W35,W36:W48)</f>
        <v>0</v>
      </c>
      <c r="X50" s="326">
        <f>SUM(X35,X36:X48)</f>
        <v>0</v>
      </c>
      <c r="Y50" s="326">
        <f>Y51+Y52</f>
        <v>0</v>
      </c>
      <c r="Z50" s="326">
        <f>Z51+Z52</f>
        <v>0</v>
      </c>
      <c r="AA50" s="326">
        <f>SUM(AA35,AA36:AA48)</f>
        <v>0</v>
      </c>
      <c r="AB50" s="326">
        <f>SUM(AB35,AB36:AB48)</f>
        <v>0</v>
      </c>
      <c r="AC50" s="326">
        <f>SUM(AC35,AC36:AC48)</f>
        <v>0</v>
      </c>
      <c r="AD50" s="326">
        <f>E50+J50+O50+T50+Y50</f>
        <v>57410.9</v>
      </c>
    </row>
    <row r="51" spans="1:32" ht="23.25">
      <c r="A51" s="338" t="s">
        <v>73</v>
      </c>
      <c r="B51" s="338"/>
      <c r="C51" s="410"/>
      <c r="D51" s="412"/>
      <c r="E51" s="353">
        <f t="shared" ref="E51:AC51" si="19">E48</f>
        <v>384.8</v>
      </c>
      <c r="F51" s="353">
        <f t="shared" si="19"/>
        <v>384.8</v>
      </c>
      <c r="G51" s="353">
        <v>0</v>
      </c>
      <c r="H51" s="353">
        <f t="shared" si="19"/>
        <v>0</v>
      </c>
      <c r="I51" s="353">
        <f t="shared" si="19"/>
        <v>0</v>
      </c>
      <c r="J51" s="353">
        <f t="shared" si="19"/>
        <v>362.1</v>
      </c>
      <c r="K51" s="353">
        <f t="shared" si="19"/>
        <v>362.1</v>
      </c>
      <c r="L51" s="353">
        <f t="shared" si="19"/>
        <v>0</v>
      </c>
      <c r="M51" s="353">
        <f t="shared" si="19"/>
        <v>0</v>
      </c>
      <c r="N51" s="353">
        <f t="shared" si="19"/>
        <v>0</v>
      </c>
      <c r="O51" s="353">
        <f t="shared" si="19"/>
        <v>387</v>
      </c>
      <c r="P51" s="353">
        <f t="shared" si="19"/>
        <v>387</v>
      </c>
      <c r="Q51" s="353">
        <f t="shared" si="19"/>
        <v>0</v>
      </c>
      <c r="R51" s="353">
        <f t="shared" si="19"/>
        <v>0</v>
      </c>
      <c r="S51" s="353">
        <f t="shared" si="19"/>
        <v>0</v>
      </c>
      <c r="T51" s="353">
        <f t="shared" si="19"/>
        <v>0</v>
      </c>
      <c r="U51" s="353">
        <f t="shared" si="19"/>
        <v>0</v>
      </c>
      <c r="V51" s="353">
        <f t="shared" si="19"/>
        <v>0</v>
      </c>
      <c r="W51" s="353">
        <f t="shared" si="19"/>
        <v>0</v>
      </c>
      <c r="X51" s="353">
        <f t="shared" si="19"/>
        <v>0</v>
      </c>
      <c r="Y51" s="353">
        <f t="shared" si="19"/>
        <v>0</v>
      </c>
      <c r="Z51" s="353">
        <f t="shared" si="19"/>
        <v>0</v>
      </c>
      <c r="AA51" s="353">
        <f t="shared" si="19"/>
        <v>0</v>
      </c>
      <c r="AB51" s="353">
        <f t="shared" si="19"/>
        <v>0</v>
      </c>
      <c r="AC51" s="353">
        <f t="shared" si="19"/>
        <v>0</v>
      </c>
      <c r="AD51" s="354">
        <f>E51+J51+O51+T51+Y51</f>
        <v>1133.9000000000001</v>
      </c>
    </row>
    <row r="52" spans="1:32" ht="23.25">
      <c r="A52" s="338" t="s">
        <v>135</v>
      </c>
      <c r="B52" s="338"/>
      <c r="C52" s="410"/>
      <c r="D52" s="412"/>
      <c r="E52" s="299">
        <f>E35+E36+E37+E38+E39+E40+E41+E42+E43+E44+E45+E46+E47+E49</f>
        <v>37737</v>
      </c>
      <c r="F52" s="299">
        <f>F35+F36+F37+F38+F39+F40+F41+F42+F43+F44+F45+F46+F47+F49</f>
        <v>15077</v>
      </c>
      <c r="G52" s="299">
        <v>22660</v>
      </c>
      <c r="H52" s="299">
        <f>0</f>
        <v>0</v>
      </c>
      <c r="I52" s="299">
        <v>0</v>
      </c>
      <c r="J52" s="299">
        <f>J35+J36+J37+J38+J39+J40+J41+J42+J43+J44+J45+J46+J47+J49</f>
        <v>11211</v>
      </c>
      <c r="K52" s="299">
        <f>K35+K36+K37+K38+K39+K40+K41+K42+K43+K44+K45+K46+K47+K49</f>
        <v>7647</v>
      </c>
      <c r="L52" s="299">
        <v>0</v>
      </c>
      <c r="M52" s="299">
        <v>0</v>
      </c>
      <c r="N52" s="299">
        <v>0</v>
      </c>
      <c r="O52" s="299">
        <f>O35+O36+O37+O38+O39+O40+O42+O41+O43+O44+O45+O46+O47+O49</f>
        <v>7329</v>
      </c>
      <c r="P52" s="299">
        <f>P35+P36+P37+P38+P39+P40+P41+P42+P43+P44+P45+P46+P47+P49</f>
        <v>7329</v>
      </c>
      <c r="Q52" s="299">
        <v>0</v>
      </c>
      <c r="R52" s="299">
        <v>0</v>
      </c>
      <c r="S52" s="299">
        <v>0</v>
      </c>
      <c r="T52" s="299">
        <f>T35+T36+T37+T38+T39+T40+T41+T42+T43+T44+T45+T46+T47+T49</f>
        <v>0</v>
      </c>
      <c r="U52" s="299">
        <f>U35+U36+U37+U38+U39+U40+U41+U42+U43+U44+U45+U46+U47+U49</f>
        <v>0</v>
      </c>
      <c r="V52" s="299">
        <v>0</v>
      </c>
      <c r="W52" s="299">
        <v>0</v>
      </c>
      <c r="X52" s="299">
        <v>0</v>
      </c>
      <c r="Y52" s="299">
        <f>Y35+Y36+Y37+Y38+Y39+Y40+Y41+Y42+Y43+Y44+Y45+Y46+Y47+Y49</f>
        <v>0</v>
      </c>
      <c r="Z52" s="299">
        <f>Z35+Z36+Z37+Z38+Z39+Z40+Z41+Z42+Z43+Z44+Z45+Z46+Z47+Z49</f>
        <v>0</v>
      </c>
      <c r="AA52" s="299">
        <v>0</v>
      </c>
      <c r="AB52" s="299">
        <v>0</v>
      </c>
      <c r="AC52" s="299">
        <v>0</v>
      </c>
      <c r="AD52" s="299">
        <f>E52+J52+O52+T52+Y52</f>
        <v>56277</v>
      </c>
    </row>
    <row r="53" spans="1:32" ht="23.25" customHeight="1">
      <c r="A53" s="322" t="s">
        <v>223</v>
      </c>
      <c r="B53" s="639" t="s">
        <v>248</v>
      </c>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1"/>
    </row>
    <row r="54" spans="1:32" ht="63" customHeight="1">
      <c r="A54" s="323" t="s">
        <v>27</v>
      </c>
      <c r="B54" s="330" t="s">
        <v>120</v>
      </c>
      <c r="C54" s="322" t="s">
        <v>94</v>
      </c>
      <c r="D54" s="322" t="s">
        <v>93</v>
      </c>
      <c r="E54" s="299">
        <f>F54+G54+H54+I54</f>
        <v>700</v>
      </c>
      <c r="F54" s="299">
        <f>700</f>
        <v>700</v>
      </c>
      <c r="G54" s="299">
        <v>0</v>
      </c>
      <c r="H54" s="299">
        <v>0</v>
      </c>
      <c r="I54" s="299">
        <v>0</v>
      </c>
      <c r="J54" s="299">
        <f>K54+L54+M54+N54</f>
        <v>498</v>
      </c>
      <c r="K54" s="299">
        <f>600-102</f>
        <v>498</v>
      </c>
      <c r="L54" s="299">
        <v>0</v>
      </c>
      <c r="M54" s="299">
        <v>0</v>
      </c>
      <c r="N54" s="299">
        <v>0</v>
      </c>
      <c r="O54" s="299">
        <f>P54+Q54+R54+S54</f>
        <v>600</v>
      </c>
      <c r="P54" s="299">
        <f>600</f>
        <v>600</v>
      </c>
      <c r="Q54" s="299">
        <v>0</v>
      </c>
      <c r="R54" s="299">
        <v>0</v>
      </c>
      <c r="S54" s="299">
        <v>0</v>
      </c>
      <c r="T54" s="299">
        <f>U54+V54+W54+X54</f>
        <v>0</v>
      </c>
      <c r="U54" s="299">
        <v>0</v>
      </c>
      <c r="V54" s="299">
        <v>0</v>
      </c>
      <c r="W54" s="299">
        <v>0</v>
      </c>
      <c r="X54" s="299">
        <v>0</v>
      </c>
      <c r="Y54" s="299">
        <f>Z54+AA54+AB54+AC54</f>
        <v>0</v>
      </c>
      <c r="Z54" s="299">
        <v>0</v>
      </c>
      <c r="AA54" s="299">
        <v>0</v>
      </c>
      <c r="AB54" s="299">
        <v>0</v>
      </c>
      <c r="AC54" s="299">
        <v>0</v>
      </c>
      <c r="AD54" s="299">
        <f>E54+J54+O54+T54+Y54</f>
        <v>1798</v>
      </c>
    </row>
    <row r="55" spans="1:32" ht="23.25">
      <c r="A55" s="642" t="s">
        <v>44</v>
      </c>
      <c r="B55" s="643"/>
      <c r="C55" s="644"/>
      <c r="D55" s="347"/>
      <c r="E55" s="326">
        <f t="shared" ref="E55:AD55" si="20">SUM(E54:E54)</f>
        <v>700</v>
      </c>
      <c r="F55" s="326">
        <f>SUM(F54)</f>
        <v>700</v>
      </c>
      <c r="G55" s="326">
        <f t="shared" si="20"/>
        <v>0</v>
      </c>
      <c r="H55" s="326">
        <f t="shared" si="20"/>
        <v>0</v>
      </c>
      <c r="I55" s="326">
        <f t="shared" si="20"/>
        <v>0</v>
      </c>
      <c r="J55" s="326">
        <f>J54</f>
        <v>498</v>
      </c>
      <c r="K55" s="326">
        <f t="shared" si="20"/>
        <v>498</v>
      </c>
      <c r="L55" s="326">
        <f t="shared" si="20"/>
        <v>0</v>
      </c>
      <c r="M55" s="326">
        <f t="shared" si="20"/>
        <v>0</v>
      </c>
      <c r="N55" s="326">
        <f t="shared" si="20"/>
        <v>0</v>
      </c>
      <c r="O55" s="326">
        <f t="shared" si="20"/>
        <v>600</v>
      </c>
      <c r="P55" s="326">
        <f t="shared" si="20"/>
        <v>600</v>
      </c>
      <c r="Q55" s="326">
        <f t="shared" si="20"/>
        <v>0</v>
      </c>
      <c r="R55" s="326">
        <f t="shared" si="20"/>
        <v>0</v>
      </c>
      <c r="S55" s="326">
        <f t="shared" si="20"/>
        <v>0</v>
      </c>
      <c r="T55" s="326">
        <f t="shared" si="20"/>
        <v>0</v>
      </c>
      <c r="U55" s="326">
        <f t="shared" si="20"/>
        <v>0</v>
      </c>
      <c r="V55" s="326">
        <f t="shared" si="20"/>
        <v>0</v>
      </c>
      <c r="W55" s="326">
        <f t="shared" si="20"/>
        <v>0</v>
      </c>
      <c r="X55" s="326">
        <f t="shared" si="20"/>
        <v>0</v>
      </c>
      <c r="Y55" s="326">
        <f t="shared" si="20"/>
        <v>0</v>
      </c>
      <c r="Z55" s="326">
        <f t="shared" si="20"/>
        <v>0</v>
      </c>
      <c r="AA55" s="326">
        <f t="shared" si="20"/>
        <v>0</v>
      </c>
      <c r="AB55" s="326">
        <f t="shared" si="20"/>
        <v>0</v>
      </c>
      <c r="AC55" s="326">
        <f t="shared" si="20"/>
        <v>0</v>
      </c>
      <c r="AD55" s="326">
        <f t="shared" si="20"/>
        <v>1798</v>
      </c>
    </row>
    <row r="56" spans="1:32" ht="23.25" customHeight="1">
      <c r="A56" s="322" t="s">
        <v>249</v>
      </c>
      <c r="B56" s="639" t="s">
        <v>250</v>
      </c>
      <c r="C56" s="640"/>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1"/>
    </row>
    <row r="57" spans="1:32" ht="111" customHeight="1">
      <c r="A57" s="648" t="s">
        <v>46</v>
      </c>
      <c r="B57" s="650" t="s">
        <v>291</v>
      </c>
      <c r="C57" s="322" t="s">
        <v>285</v>
      </c>
      <c r="D57" s="355">
        <v>2020</v>
      </c>
      <c r="E57" s="299">
        <f>F57+G57+H57+I57</f>
        <v>1449</v>
      </c>
      <c r="F57" s="299">
        <f>1656-207</f>
        <v>1449</v>
      </c>
      <c r="G57" s="299">
        <v>0</v>
      </c>
      <c r="H57" s="299">
        <v>0</v>
      </c>
      <c r="I57" s="299">
        <v>0</v>
      </c>
      <c r="J57" s="299">
        <f>K57+L57+M57+N57</f>
        <v>0</v>
      </c>
      <c r="K57" s="299">
        <v>0</v>
      </c>
      <c r="L57" s="299">
        <v>0</v>
      </c>
      <c r="M57" s="299">
        <v>0</v>
      </c>
      <c r="N57" s="299">
        <v>0</v>
      </c>
      <c r="O57" s="299">
        <f>P57+Q57+R57+S57</f>
        <v>0</v>
      </c>
      <c r="P57" s="299">
        <v>0</v>
      </c>
      <c r="Q57" s="299">
        <v>0</v>
      </c>
      <c r="R57" s="299">
        <v>0</v>
      </c>
      <c r="S57" s="299">
        <v>0</v>
      </c>
      <c r="T57" s="299">
        <f t="shared" ref="T57:T59" si="21">U57+V57+W57+X57</f>
        <v>0</v>
      </c>
      <c r="U57" s="299">
        <v>0</v>
      </c>
      <c r="V57" s="299">
        <v>0</v>
      </c>
      <c r="W57" s="299">
        <v>0</v>
      </c>
      <c r="X57" s="299">
        <v>0</v>
      </c>
      <c r="Y57" s="299">
        <f>Z57+AA57+AB57+AC57</f>
        <v>0</v>
      </c>
      <c r="Z57" s="299">
        <v>0</v>
      </c>
      <c r="AA57" s="299">
        <v>0</v>
      </c>
      <c r="AB57" s="299">
        <v>0</v>
      </c>
      <c r="AC57" s="299">
        <v>0</v>
      </c>
      <c r="AD57" s="299">
        <f>E57+I57+O57+T57+0</f>
        <v>1449</v>
      </c>
    </row>
    <row r="58" spans="1:32" ht="76.5" customHeight="1">
      <c r="A58" s="649"/>
      <c r="B58" s="651"/>
      <c r="C58" s="322" t="s">
        <v>286</v>
      </c>
      <c r="D58" s="355" t="s">
        <v>284</v>
      </c>
      <c r="E58" s="299">
        <f>F58+G58+H58+I58</f>
        <v>0</v>
      </c>
      <c r="F58" s="299">
        <v>0</v>
      </c>
      <c r="G58" s="299">
        <v>0</v>
      </c>
      <c r="H58" s="299">
        <v>0</v>
      </c>
      <c r="I58" s="299">
        <v>0</v>
      </c>
      <c r="J58" s="299">
        <f>K58+L58+M58+N58</f>
        <v>850</v>
      </c>
      <c r="K58" s="299">
        <f>1437-237-350</f>
        <v>850</v>
      </c>
      <c r="L58" s="299">
        <v>0</v>
      </c>
      <c r="M58" s="299">
        <v>0</v>
      </c>
      <c r="N58" s="299">
        <v>0</v>
      </c>
      <c r="O58" s="299">
        <f>P58+Q58+R58+S58</f>
        <v>1437</v>
      </c>
      <c r="P58" s="299">
        <f>1437</f>
        <v>1437</v>
      </c>
      <c r="Q58" s="299">
        <v>0</v>
      </c>
      <c r="R58" s="299">
        <v>0</v>
      </c>
      <c r="S58" s="299">
        <v>0</v>
      </c>
      <c r="T58" s="299">
        <f t="shared" si="21"/>
        <v>1437</v>
      </c>
      <c r="U58" s="299">
        <v>1437</v>
      </c>
      <c r="V58" s="299">
        <v>0</v>
      </c>
      <c r="W58" s="299">
        <v>0</v>
      </c>
      <c r="X58" s="299">
        <v>0</v>
      </c>
      <c r="Y58" s="299">
        <f>Z58+AA58+AB58+AC58</f>
        <v>1437</v>
      </c>
      <c r="Z58" s="299">
        <v>1437</v>
      </c>
      <c r="AA58" s="299">
        <v>0</v>
      </c>
      <c r="AB58" s="299">
        <v>0</v>
      </c>
      <c r="AC58" s="299">
        <v>0</v>
      </c>
      <c r="AD58" s="299">
        <f>E58+J58+O58+T58+Y58</f>
        <v>5161</v>
      </c>
    </row>
    <row r="59" spans="1:32" ht="69.75">
      <c r="A59" s="323" t="s">
        <v>251</v>
      </c>
      <c r="B59" s="330" t="s">
        <v>292</v>
      </c>
      <c r="C59" s="322" t="s">
        <v>52</v>
      </c>
      <c r="D59" s="322" t="s">
        <v>93</v>
      </c>
      <c r="E59" s="299">
        <f>F59+G59+H59+I59</f>
        <v>55</v>
      </c>
      <c r="F59" s="299">
        <f>86-31</f>
        <v>55</v>
      </c>
      <c r="G59" s="299">
        <v>0</v>
      </c>
      <c r="H59" s="299">
        <v>0</v>
      </c>
      <c r="I59" s="299">
        <v>0</v>
      </c>
      <c r="J59" s="299">
        <f>K59+L59+M59+N59</f>
        <v>60.5</v>
      </c>
      <c r="K59" s="299">
        <f>70-9.5</f>
        <v>60.5</v>
      </c>
      <c r="L59" s="299">
        <v>0</v>
      </c>
      <c r="M59" s="299">
        <v>0</v>
      </c>
      <c r="N59" s="299">
        <v>0</v>
      </c>
      <c r="O59" s="299">
        <v>153</v>
      </c>
      <c r="P59" s="299">
        <f>153</f>
        <v>153</v>
      </c>
      <c r="Q59" s="299">
        <v>0</v>
      </c>
      <c r="R59" s="299">
        <v>0</v>
      </c>
      <c r="S59" s="299">
        <v>0</v>
      </c>
      <c r="T59" s="299">
        <f t="shared" si="21"/>
        <v>153</v>
      </c>
      <c r="U59" s="299">
        <v>153</v>
      </c>
      <c r="V59" s="299">
        <v>0</v>
      </c>
      <c r="W59" s="299">
        <v>0</v>
      </c>
      <c r="X59" s="299">
        <v>0</v>
      </c>
      <c r="Y59" s="299">
        <f>Z59+AA59+AB59+AC59</f>
        <v>153</v>
      </c>
      <c r="Z59" s="299">
        <v>153</v>
      </c>
      <c r="AA59" s="299">
        <v>0</v>
      </c>
      <c r="AB59" s="299">
        <v>0</v>
      </c>
      <c r="AC59" s="299">
        <v>0</v>
      </c>
      <c r="AD59" s="299">
        <f>E59+J59+O59+T59+Y59</f>
        <v>574.5</v>
      </c>
    </row>
    <row r="60" spans="1:32" ht="23.25">
      <c r="A60" s="338" t="s">
        <v>73</v>
      </c>
      <c r="B60" s="338"/>
      <c r="C60" s="410"/>
      <c r="D60" s="347"/>
      <c r="E60" s="299">
        <f>E59</f>
        <v>55</v>
      </c>
      <c r="F60" s="299">
        <f>F59</f>
        <v>55</v>
      </c>
      <c r="G60" s="299">
        <v>0</v>
      </c>
      <c r="H60" s="299">
        <v>0</v>
      </c>
      <c r="I60" s="299">
        <v>0</v>
      </c>
      <c r="J60" s="299">
        <f>K60+L60+M60+N60</f>
        <v>910.5</v>
      </c>
      <c r="K60" s="299">
        <f>K58+K59</f>
        <v>910.5</v>
      </c>
      <c r="L60" s="299">
        <v>0</v>
      </c>
      <c r="M60" s="299">
        <v>0</v>
      </c>
      <c r="N60" s="299">
        <v>0</v>
      </c>
      <c r="O60" s="299">
        <f>P60+Q60+R60+S60</f>
        <v>1590</v>
      </c>
      <c r="P60" s="299">
        <f>P58+P59</f>
        <v>1590</v>
      </c>
      <c r="Q60" s="299">
        <v>0</v>
      </c>
      <c r="R60" s="299">
        <v>0</v>
      </c>
      <c r="S60" s="299">
        <v>0</v>
      </c>
      <c r="T60" s="299">
        <f>T58+T59</f>
        <v>1590</v>
      </c>
      <c r="U60" s="299">
        <f>U58+U59</f>
        <v>1590</v>
      </c>
      <c r="V60" s="299">
        <v>0</v>
      </c>
      <c r="W60" s="299">
        <v>0</v>
      </c>
      <c r="X60" s="299">
        <v>0</v>
      </c>
      <c r="Y60" s="299">
        <f>Y58+Y59</f>
        <v>1590</v>
      </c>
      <c r="Z60" s="299">
        <f>Z58+Z59</f>
        <v>1590</v>
      </c>
      <c r="AA60" s="299">
        <v>0</v>
      </c>
      <c r="AB60" s="299">
        <v>0</v>
      </c>
      <c r="AC60" s="299">
        <v>0</v>
      </c>
      <c r="AD60" s="299">
        <f>AD58+AD59</f>
        <v>5735.5</v>
      </c>
    </row>
    <row r="61" spans="1:32" ht="23.25">
      <c r="A61" s="338" t="s">
        <v>135</v>
      </c>
      <c r="B61" s="338"/>
      <c r="C61" s="410"/>
      <c r="D61" s="347"/>
      <c r="E61" s="299">
        <f>F61+G61+H61+I61</f>
        <v>1449</v>
      </c>
      <c r="F61" s="299">
        <f>F57</f>
        <v>1449</v>
      </c>
      <c r="G61" s="299">
        <v>0</v>
      </c>
      <c r="H61" s="299">
        <v>0</v>
      </c>
      <c r="I61" s="299">
        <v>0</v>
      </c>
      <c r="J61" s="299">
        <v>0</v>
      </c>
      <c r="K61" s="299">
        <v>0</v>
      </c>
      <c r="L61" s="299">
        <v>0</v>
      </c>
      <c r="M61" s="299">
        <v>0</v>
      </c>
      <c r="N61" s="299">
        <v>0</v>
      </c>
      <c r="O61" s="299">
        <v>0</v>
      </c>
      <c r="P61" s="299">
        <v>0</v>
      </c>
      <c r="Q61" s="299">
        <v>0</v>
      </c>
      <c r="R61" s="299">
        <v>0</v>
      </c>
      <c r="S61" s="299">
        <v>0</v>
      </c>
      <c r="T61" s="299">
        <v>0</v>
      </c>
      <c r="U61" s="299">
        <v>0</v>
      </c>
      <c r="V61" s="299">
        <v>0</v>
      </c>
      <c r="W61" s="299">
        <v>0</v>
      </c>
      <c r="X61" s="299">
        <v>0</v>
      </c>
      <c r="Y61" s="299">
        <v>0</v>
      </c>
      <c r="Z61" s="299">
        <v>0</v>
      </c>
      <c r="AA61" s="299">
        <v>0</v>
      </c>
      <c r="AB61" s="299">
        <v>0</v>
      </c>
      <c r="AC61" s="299">
        <v>0</v>
      </c>
      <c r="AD61" s="299">
        <f>AD57</f>
        <v>1449</v>
      </c>
    </row>
    <row r="62" spans="1:32" s="349" customFormat="1" ht="22.5">
      <c r="A62" s="356"/>
      <c r="B62" s="356" t="s">
        <v>303</v>
      </c>
      <c r="C62" s="357"/>
      <c r="D62" s="358"/>
      <c r="E62" s="326">
        <f>F62+G62+H62+I62</f>
        <v>1504</v>
      </c>
      <c r="F62" s="326">
        <f>F60+F61</f>
        <v>1504</v>
      </c>
      <c r="G62" s="326">
        <v>0</v>
      </c>
      <c r="H62" s="326">
        <v>0</v>
      </c>
      <c r="I62" s="326">
        <v>0</v>
      </c>
      <c r="J62" s="326">
        <f>K62+L62+M62+N62</f>
        <v>910.5</v>
      </c>
      <c r="K62" s="326">
        <f>K60+K61</f>
        <v>910.5</v>
      </c>
      <c r="L62" s="326">
        <v>0</v>
      </c>
      <c r="M62" s="326">
        <v>0</v>
      </c>
      <c r="N62" s="326">
        <v>0</v>
      </c>
      <c r="O62" s="326">
        <f>P62+Q62+R62+S62</f>
        <v>1590</v>
      </c>
      <c r="P62" s="326">
        <f>P60+P61</f>
        <v>1590</v>
      </c>
      <c r="Q62" s="326">
        <v>0</v>
      </c>
      <c r="R62" s="326">
        <v>0</v>
      </c>
      <c r="S62" s="326">
        <v>0</v>
      </c>
      <c r="T62" s="326">
        <f>U62+V62+W62+X62</f>
        <v>1590</v>
      </c>
      <c r="U62" s="326">
        <f>U60+U61</f>
        <v>1590</v>
      </c>
      <c r="V62" s="326">
        <v>0</v>
      </c>
      <c r="W62" s="326">
        <v>0</v>
      </c>
      <c r="X62" s="326">
        <v>0</v>
      </c>
      <c r="Y62" s="326">
        <f>Z62+AA62+AB62+AC62</f>
        <v>1590</v>
      </c>
      <c r="Z62" s="326">
        <f>Z60+Z61</f>
        <v>1590</v>
      </c>
      <c r="AA62" s="326">
        <v>0</v>
      </c>
      <c r="AB62" s="326">
        <v>0</v>
      </c>
      <c r="AC62" s="326">
        <v>0</v>
      </c>
      <c r="AD62" s="326">
        <f>E62+J62+O62+T62+Y62</f>
        <v>7184.5</v>
      </c>
    </row>
    <row r="63" spans="1:32" ht="23.25">
      <c r="A63" s="322" t="s">
        <v>224</v>
      </c>
      <c r="B63" s="639" t="s">
        <v>278</v>
      </c>
      <c r="C63" s="640"/>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1"/>
    </row>
    <row r="64" spans="1:32" ht="87.75" customHeight="1">
      <c r="A64" s="323" t="s">
        <v>48</v>
      </c>
      <c r="B64" s="333" t="s">
        <v>108</v>
      </c>
      <c r="C64" s="322" t="s">
        <v>94</v>
      </c>
      <c r="D64" s="322" t="s">
        <v>93</v>
      </c>
      <c r="E64" s="299">
        <f>F64+G64+H64+I64</f>
        <v>766</v>
      </c>
      <c r="F64" s="299">
        <f>409+357</f>
        <v>766</v>
      </c>
      <c r="G64" s="299">
        <v>0</v>
      </c>
      <c r="H64" s="299">
        <v>0</v>
      </c>
      <c r="I64" s="299">
        <v>0</v>
      </c>
      <c r="J64" s="299">
        <f>K64+L64+M64+N64</f>
        <v>628</v>
      </c>
      <c r="K64" s="299">
        <f>655-27</f>
        <v>628</v>
      </c>
      <c r="L64" s="299">
        <v>0</v>
      </c>
      <c r="M64" s="299">
        <v>0</v>
      </c>
      <c r="N64" s="299">
        <v>0</v>
      </c>
      <c r="O64" s="299">
        <f>P64+Q64+R64+S64</f>
        <v>509.8</v>
      </c>
      <c r="P64" s="299">
        <f>533-23.2</f>
        <v>509.8</v>
      </c>
      <c r="Q64" s="299">
        <v>0</v>
      </c>
      <c r="R64" s="299">
        <v>0</v>
      </c>
      <c r="S64" s="299">
        <v>0</v>
      </c>
      <c r="T64" s="299">
        <v>0</v>
      </c>
      <c r="U64" s="299">
        <v>0</v>
      </c>
      <c r="V64" s="299">
        <v>0</v>
      </c>
      <c r="W64" s="299">
        <v>0</v>
      </c>
      <c r="X64" s="299">
        <v>0</v>
      </c>
      <c r="Y64" s="299">
        <f>Z64+AA64+AB64+AC64</f>
        <v>0</v>
      </c>
      <c r="Z64" s="299">
        <v>0</v>
      </c>
      <c r="AA64" s="299">
        <v>0</v>
      </c>
      <c r="AB64" s="299">
        <v>0</v>
      </c>
      <c r="AC64" s="299">
        <v>0</v>
      </c>
      <c r="AD64" s="299">
        <f>E64+J64+O64+T64+Y64</f>
        <v>1903.8</v>
      </c>
      <c r="AF64" s="316" t="s">
        <v>131</v>
      </c>
    </row>
    <row r="65" spans="1:30">
      <c r="A65" s="652" t="s">
        <v>49</v>
      </c>
      <c r="B65" s="653"/>
      <c r="C65" s="654"/>
      <c r="D65" s="347"/>
      <c r="E65" s="326">
        <f t="shared" ref="E65:AD65" si="22">SUM(E64:E64)</f>
        <v>766</v>
      </c>
      <c r="F65" s="326">
        <f>SUM(F64)</f>
        <v>766</v>
      </c>
      <c r="G65" s="326">
        <f t="shared" si="22"/>
        <v>0</v>
      </c>
      <c r="H65" s="326">
        <f t="shared" si="22"/>
        <v>0</v>
      </c>
      <c r="I65" s="326">
        <f t="shared" si="22"/>
        <v>0</v>
      </c>
      <c r="J65" s="326">
        <f>J64</f>
        <v>628</v>
      </c>
      <c r="K65" s="326">
        <f t="shared" si="22"/>
        <v>628</v>
      </c>
      <c r="L65" s="326">
        <f t="shared" si="22"/>
        <v>0</v>
      </c>
      <c r="M65" s="326">
        <f t="shared" si="22"/>
        <v>0</v>
      </c>
      <c r="N65" s="326">
        <f t="shared" si="22"/>
        <v>0</v>
      </c>
      <c r="O65" s="326">
        <f t="shared" si="22"/>
        <v>509.8</v>
      </c>
      <c r="P65" s="326">
        <f t="shared" si="22"/>
        <v>509.8</v>
      </c>
      <c r="Q65" s="326">
        <f t="shared" si="22"/>
        <v>0</v>
      </c>
      <c r="R65" s="326">
        <f t="shared" si="22"/>
        <v>0</v>
      </c>
      <c r="S65" s="326">
        <f t="shared" si="22"/>
        <v>0</v>
      </c>
      <c r="T65" s="326">
        <f t="shared" si="22"/>
        <v>0</v>
      </c>
      <c r="U65" s="326">
        <f t="shared" si="22"/>
        <v>0</v>
      </c>
      <c r="V65" s="326">
        <f t="shared" si="22"/>
        <v>0</v>
      </c>
      <c r="W65" s="326">
        <f t="shared" si="22"/>
        <v>0</v>
      </c>
      <c r="X65" s="326">
        <f t="shared" si="22"/>
        <v>0</v>
      </c>
      <c r="Y65" s="326">
        <f t="shared" si="22"/>
        <v>0</v>
      </c>
      <c r="Z65" s="326">
        <f t="shared" si="22"/>
        <v>0</v>
      </c>
      <c r="AA65" s="326">
        <f t="shared" si="22"/>
        <v>0</v>
      </c>
      <c r="AB65" s="326">
        <f t="shared" si="22"/>
        <v>0</v>
      </c>
      <c r="AC65" s="326">
        <f t="shared" si="22"/>
        <v>0</v>
      </c>
      <c r="AD65" s="326">
        <f t="shared" si="22"/>
        <v>1903.8</v>
      </c>
    </row>
    <row r="66" spans="1:30" ht="23.25" customHeight="1">
      <c r="A66" s="347" t="s">
        <v>252</v>
      </c>
      <c r="B66" s="639" t="s">
        <v>279</v>
      </c>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1"/>
    </row>
    <row r="67" spans="1:30" ht="93.75">
      <c r="A67" s="347" t="s">
        <v>50</v>
      </c>
      <c r="B67" s="333" t="s">
        <v>115</v>
      </c>
      <c r="C67" s="322" t="s">
        <v>106</v>
      </c>
      <c r="D67" s="322" t="s">
        <v>93</v>
      </c>
      <c r="E67" s="299">
        <f>F67+G67+H67+I67</f>
        <v>25286</v>
      </c>
      <c r="F67" s="299">
        <f>27786-2500</f>
        <v>25286</v>
      </c>
      <c r="G67" s="299">
        <v>0</v>
      </c>
      <c r="H67" s="299">
        <v>0</v>
      </c>
      <c r="I67" s="299">
        <v>0</v>
      </c>
      <c r="J67" s="299">
        <f>K67+L67+M67+N67</f>
        <v>29781</v>
      </c>
      <c r="K67" s="299">
        <f>40120-110-10229</f>
        <v>29781</v>
      </c>
      <c r="L67" s="299">
        <v>0</v>
      </c>
      <c r="M67" s="299">
        <v>0</v>
      </c>
      <c r="N67" s="299">
        <v>0</v>
      </c>
      <c r="O67" s="299">
        <f>P67+Q67+R67+S67</f>
        <v>29104</v>
      </c>
      <c r="P67" s="299">
        <v>29104</v>
      </c>
      <c r="Q67" s="299">
        <v>0</v>
      </c>
      <c r="R67" s="299">
        <v>0</v>
      </c>
      <c r="S67" s="299">
        <v>0</v>
      </c>
      <c r="T67" s="299">
        <f>U67+V67+W67+X67</f>
        <v>0</v>
      </c>
      <c r="U67" s="299">
        <v>0</v>
      </c>
      <c r="V67" s="299">
        <v>0</v>
      </c>
      <c r="W67" s="299">
        <v>0</v>
      </c>
      <c r="X67" s="299">
        <v>0</v>
      </c>
      <c r="Y67" s="299">
        <f>Z67+AA67+AB67+AC67</f>
        <v>0</v>
      </c>
      <c r="Z67" s="299">
        <v>0</v>
      </c>
      <c r="AA67" s="299">
        <v>0</v>
      </c>
      <c r="AB67" s="299">
        <v>0</v>
      </c>
      <c r="AC67" s="299">
        <v>0</v>
      </c>
      <c r="AD67" s="299">
        <f>E67+J67+O67+T67+Y67</f>
        <v>84171</v>
      </c>
    </row>
    <row r="68" spans="1:30" ht="23.25">
      <c r="A68" s="642" t="s">
        <v>53</v>
      </c>
      <c r="B68" s="643"/>
      <c r="C68" s="644"/>
      <c r="D68" s="347"/>
      <c r="E68" s="326">
        <f t="shared" ref="E68:AD68" si="23">SUM(E67:E67)</f>
        <v>25286</v>
      </c>
      <c r="F68" s="326">
        <f>SUM(F67)</f>
        <v>25286</v>
      </c>
      <c r="G68" s="326">
        <f t="shared" si="23"/>
        <v>0</v>
      </c>
      <c r="H68" s="326">
        <f t="shared" si="23"/>
        <v>0</v>
      </c>
      <c r="I68" s="326">
        <f t="shared" si="23"/>
        <v>0</v>
      </c>
      <c r="J68" s="326">
        <f>J67</f>
        <v>29781</v>
      </c>
      <c r="K68" s="326">
        <f t="shared" si="23"/>
        <v>29781</v>
      </c>
      <c r="L68" s="326">
        <f t="shared" si="23"/>
        <v>0</v>
      </c>
      <c r="M68" s="326">
        <f t="shared" si="23"/>
        <v>0</v>
      </c>
      <c r="N68" s="326">
        <f t="shared" si="23"/>
        <v>0</v>
      </c>
      <c r="O68" s="326">
        <f t="shared" si="23"/>
        <v>29104</v>
      </c>
      <c r="P68" s="326">
        <f t="shared" si="23"/>
        <v>29104</v>
      </c>
      <c r="Q68" s="326">
        <f t="shared" si="23"/>
        <v>0</v>
      </c>
      <c r="R68" s="326">
        <f t="shared" si="23"/>
        <v>0</v>
      </c>
      <c r="S68" s="326">
        <f t="shared" si="23"/>
        <v>0</v>
      </c>
      <c r="T68" s="326">
        <f t="shared" si="23"/>
        <v>0</v>
      </c>
      <c r="U68" s="326">
        <f t="shared" si="23"/>
        <v>0</v>
      </c>
      <c r="V68" s="326">
        <f t="shared" si="23"/>
        <v>0</v>
      </c>
      <c r="W68" s="326">
        <f t="shared" si="23"/>
        <v>0</v>
      </c>
      <c r="X68" s="326">
        <f t="shared" si="23"/>
        <v>0</v>
      </c>
      <c r="Y68" s="326">
        <f t="shared" si="23"/>
        <v>0</v>
      </c>
      <c r="Z68" s="326">
        <f t="shared" si="23"/>
        <v>0</v>
      </c>
      <c r="AA68" s="326">
        <f t="shared" si="23"/>
        <v>0</v>
      </c>
      <c r="AB68" s="326">
        <f t="shared" si="23"/>
        <v>0</v>
      </c>
      <c r="AC68" s="326">
        <f t="shared" si="23"/>
        <v>0</v>
      </c>
      <c r="AD68" s="326">
        <f t="shared" si="23"/>
        <v>84171</v>
      </c>
    </row>
    <row r="69" spans="1:30" ht="23.25" customHeight="1">
      <c r="A69" s="347" t="s">
        <v>254</v>
      </c>
      <c r="B69" s="639" t="s">
        <v>280</v>
      </c>
      <c r="C69" s="640"/>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1"/>
    </row>
    <row r="70" spans="1:30" ht="37.5">
      <c r="A70" s="347" t="s">
        <v>55</v>
      </c>
      <c r="B70" s="328" t="s">
        <v>96</v>
      </c>
      <c r="C70" s="322" t="s">
        <v>94</v>
      </c>
      <c r="D70" s="322" t="s">
        <v>93</v>
      </c>
      <c r="E70" s="299">
        <f>F70+G70+H70+I70</f>
        <v>7420</v>
      </c>
      <c r="F70" s="299">
        <f>6486+934</f>
        <v>7420</v>
      </c>
      <c r="G70" s="299">
        <v>0</v>
      </c>
      <c r="H70" s="299">
        <v>0</v>
      </c>
      <c r="I70" s="299">
        <v>0</v>
      </c>
      <c r="J70" s="299">
        <f>K70+L70+M70+N70</f>
        <v>6270</v>
      </c>
      <c r="K70" s="299">
        <f>7350-300-780</f>
        <v>6270</v>
      </c>
      <c r="L70" s="299">
        <v>0</v>
      </c>
      <c r="M70" s="299">
        <v>0</v>
      </c>
      <c r="N70" s="299">
        <v>0</v>
      </c>
      <c r="O70" s="299">
        <f>P70+Q70+R70+S70</f>
        <v>7050</v>
      </c>
      <c r="P70" s="299">
        <f>7050</f>
        <v>7050</v>
      </c>
      <c r="Q70" s="299">
        <v>0</v>
      </c>
      <c r="R70" s="299">
        <v>0</v>
      </c>
      <c r="S70" s="299">
        <v>0</v>
      </c>
      <c r="T70" s="299">
        <f>U70+V70+W70+X70</f>
        <v>0</v>
      </c>
      <c r="U70" s="299">
        <v>0</v>
      </c>
      <c r="V70" s="299">
        <v>0</v>
      </c>
      <c r="W70" s="299">
        <v>0</v>
      </c>
      <c r="X70" s="299">
        <v>0</v>
      </c>
      <c r="Y70" s="299">
        <f>Z70+AA70+AB70+AC70</f>
        <v>0</v>
      </c>
      <c r="Z70" s="299">
        <v>0</v>
      </c>
      <c r="AA70" s="299">
        <v>0</v>
      </c>
      <c r="AB70" s="299">
        <v>0</v>
      </c>
      <c r="AC70" s="299">
        <v>0</v>
      </c>
      <c r="AD70" s="299">
        <f>E70+J70+O70+T70+Y70</f>
        <v>20740</v>
      </c>
    </row>
    <row r="71" spans="1:30" ht="69.75">
      <c r="A71" s="347" t="s">
        <v>256</v>
      </c>
      <c r="B71" s="333" t="s">
        <v>209</v>
      </c>
      <c r="C71" s="322" t="s">
        <v>94</v>
      </c>
      <c r="D71" s="322" t="s">
        <v>93</v>
      </c>
      <c r="E71" s="299">
        <f>SUM(F71:I71)</f>
        <v>681</v>
      </c>
      <c r="F71" s="299">
        <v>681</v>
      </c>
      <c r="G71" s="299">
        <v>0</v>
      </c>
      <c r="H71" s="299">
        <v>0</v>
      </c>
      <c r="I71" s="299">
        <v>0</v>
      </c>
      <c r="J71" s="299">
        <f>K71+L71+M71+N71</f>
        <v>558</v>
      </c>
      <c r="K71" s="299">
        <f>684-126</f>
        <v>558</v>
      </c>
      <c r="L71" s="299">
        <v>0</v>
      </c>
      <c r="M71" s="299">
        <v>0</v>
      </c>
      <c r="N71" s="299">
        <v>0</v>
      </c>
      <c r="O71" s="299">
        <f>P71+Q71+R71+S71</f>
        <v>612</v>
      </c>
      <c r="P71" s="299">
        <f>612</f>
        <v>612</v>
      </c>
      <c r="Q71" s="299">
        <v>0</v>
      </c>
      <c r="R71" s="299">
        <v>0</v>
      </c>
      <c r="S71" s="299">
        <v>0</v>
      </c>
      <c r="T71" s="299">
        <f>U71+V71+W71+X71</f>
        <v>0</v>
      </c>
      <c r="U71" s="299">
        <v>0</v>
      </c>
      <c r="V71" s="299">
        <v>0</v>
      </c>
      <c r="W71" s="299">
        <v>0</v>
      </c>
      <c r="X71" s="299">
        <v>0</v>
      </c>
      <c r="Y71" s="299">
        <f>Z71+AA71+AB71+AC71</f>
        <v>0</v>
      </c>
      <c r="Z71" s="299">
        <v>0</v>
      </c>
      <c r="AA71" s="299">
        <v>0</v>
      </c>
      <c r="AB71" s="299">
        <v>0</v>
      </c>
      <c r="AC71" s="299">
        <v>0</v>
      </c>
      <c r="AD71" s="299">
        <f>E71+J71+O71+T71+Y71</f>
        <v>1851</v>
      </c>
    </row>
    <row r="72" spans="1:30" ht="116.25">
      <c r="A72" s="347" t="s">
        <v>257</v>
      </c>
      <c r="B72" s="333" t="s">
        <v>271</v>
      </c>
      <c r="C72" s="322" t="s">
        <v>266</v>
      </c>
      <c r="D72" s="322">
        <v>2020</v>
      </c>
      <c r="E72" s="299">
        <f>F72+G72+H72+I72</f>
        <v>774</v>
      </c>
      <c r="F72" s="299">
        <v>774</v>
      </c>
      <c r="G72" s="299">
        <v>0</v>
      </c>
      <c r="H72" s="299">
        <v>0</v>
      </c>
      <c r="I72" s="299">
        <v>0</v>
      </c>
      <c r="J72" s="299">
        <f>K72+L72+M72+N72</f>
        <v>350</v>
      </c>
      <c r="K72" s="299">
        <v>350</v>
      </c>
      <c r="L72" s="299">
        <v>0</v>
      </c>
      <c r="M72" s="299">
        <v>0</v>
      </c>
      <c r="N72" s="299">
        <v>0</v>
      </c>
      <c r="O72" s="299">
        <f>P72+Q72+R72+S72</f>
        <v>360</v>
      </c>
      <c r="P72" s="299">
        <v>360</v>
      </c>
      <c r="Q72" s="299">
        <v>0</v>
      </c>
      <c r="R72" s="299">
        <v>0</v>
      </c>
      <c r="S72" s="299">
        <v>0</v>
      </c>
      <c r="T72" s="299">
        <f>U72+V72+W72+X72</f>
        <v>0</v>
      </c>
      <c r="U72" s="299">
        <v>0</v>
      </c>
      <c r="V72" s="299">
        <v>0</v>
      </c>
      <c r="W72" s="299">
        <v>0</v>
      </c>
      <c r="X72" s="299">
        <v>0</v>
      </c>
      <c r="Y72" s="299">
        <f>Z72+AA72+AB72+AC72</f>
        <v>0</v>
      </c>
      <c r="Z72" s="299">
        <v>0</v>
      </c>
      <c r="AA72" s="299">
        <v>0</v>
      </c>
      <c r="AB72" s="299">
        <v>0</v>
      </c>
      <c r="AC72" s="299">
        <v>0</v>
      </c>
      <c r="AD72" s="299">
        <f>E72+J72+O72+T72+Y72</f>
        <v>1484</v>
      </c>
    </row>
    <row r="73" spans="1:30" ht="23.25">
      <c r="A73" s="642" t="s">
        <v>56</v>
      </c>
      <c r="B73" s="643"/>
      <c r="C73" s="644"/>
      <c r="D73" s="347"/>
      <c r="E73" s="326">
        <f>E70+E71+E72</f>
        <v>8875</v>
      </c>
      <c r="F73" s="326">
        <f>F70+F71+F72</f>
        <v>8875</v>
      </c>
      <c r="G73" s="326">
        <f>SUM(G70:G70)</f>
        <v>0</v>
      </c>
      <c r="H73" s="326">
        <f>SUM(H70:H70)</f>
        <v>0</v>
      </c>
      <c r="I73" s="326">
        <f>SUM(I70:I70)</f>
        <v>0</v>
      </c>
      <c r="J73" s="326">
        <f>J70+J71+J72</f>
        <v>7178</v>
      </c>
      <c r="K73" s="326">
        <f>K70+K71+K72</f>
        <v>7178</v>
      </c>
      <c r="L73" s="326">
        <f>SUM(L70:L70)</f>
        <v>0</v>
      </c>
      <c r="M73" s="326">
        <f>SUM(M70:M70)</f>
        <v>0</v>
      </c>
      <c r="N73" s="326">
        <f>SUM(N70:N70)</f>
        <v>0</v>
      </c>
      <c r="O73" s="326">
        <f>O70+O71+O72</f>
        <v>8022</v>
      </c>
      <c r="P73" s="326">
        <f>P70+P71+P72</f>
        <v>8022</v>
      </c>
      <c r="Q73" s="326">
        <f>SUM(Q70:Q70)</f>
        <v>0</v>
      </c>
      <c r="R73" s="326">
        <f>SUM(R70:R70)</f>
        <v>0</v>
      </c>
      <c r="S73" s="326">
        <f>SUM(S70:S70)</f>
        <v>0</v>
      </c>
      <c r="T73" s="326">
        <f>T70+T71+T72</f>
        <v>0</v>
      </c>
      <c r="U73" s="326">
        <f>U70+U71+U72</f>
        <v>0</v>
      </c>
      <c r="V73" s="326">
        <f>SUM(V70:V70)</f>
        <v>0</v>
      </c>
      <c r="W73" s="326">
        <f>SUM(W70:W70)</f>
        <v>0</v>
      </c>
      <c r="X73" s="326">
        <f>SUM(X70:X70)</f>
        <v>0</v>
      </c>
      <c r="Y73" s="326">
        <f>Y70+Y71+Y72</f>
        <v>0</v>
      </c>
      <c r="Z73" s="326">
        <f>Z70+Z71+Z72</f>
        <v>0</v>
      </c>
      <c r="AA73" s="326">
        <f>SUM(AA70:AA70)</f>
        <v>0</v>
      </c>
      <c r="AB73" s="326">
        <f>SUM(AB70:AB70)</f>
        <v>0</v>
      </c>
      <c r="AC73" s="326">
        <f>SUM(AC70:AC70)</f>
        <v>0</v>
      </c>
      <c r="AD73" s="326">
        <f>SUM(AD70:AD72)</f>
        <v>24075</v>
      </c>
    </row>
    <row r="74" spans="1:30" ht="23.25">
      <c r="A74" s="338" t="s">
        <v>135</v>
      </c>
      <c r="B74" s="338"/>
      <c r="C74" s="410"/>
      <c r="D74" s="412"/>
      <c r="E74" s="353">
        <f>E70+E71+E72</f>
        <v>8875</v>
      </c>
      <c r="F74" s="353">
        <f>F70+F71+F72</f>
        <v>8875</v>
      </c>
      <c r="G74" s="353">
        <v>0</v>
      </c>
      <c r="H74" s="353">
        <v>0</v>
      </c>
      <c r="I74" s="353">
        <v>0</v>
      </c>
      <c r="J74" s="353">
        <f>J70+J71+J72</f>
        <v>7178</v>
      </c>
      <c r="K74" s="353">
        <f>K70+K71+K72</f>
        <v>7178</v>
      </c>
      <c r="L74" s="353">
        <v>0</v>
      </c>
      <c r="M74" s="353">
        <v>0</v>
      </c>
      <c r="N74" s="353">
        <v>0</v>
      </c>
      <c r="O74" s="353">
        <f>O73</f>
        <v>8022</v>
      </c>
      <c r="P74" s="353">
        <f>P70+P71+P72</f>
        <v>8022</v>
      </c>
      <c r="Q74" s="353">
        <v>0</v>
      </c>
      <c r="R74" s="353">
        <v>0</v>
      </c>
      <c r="S74" s="353">
        <v>0</v>
      </c>
      <c r="T74" s="353">
        <f>T70+T71+T72</f>
        <v>0</v>
      </c>
      <c r="U74" s="353">
        <f>U70+U71+U72</f>
        <v>0</v>
      </c>
      <c r="V74" s="353">
        <v>0</v>
      </c>
      <c r="W74" s="353">
        <v>0</v>
      </c>
      <c r="X74" s="353">
        <v>0</v>
      </c>
      <c r="Y74" s="353">
        <f>Y70+Y71+Y72</f>
        <v>0</v>
      </c>
      <c r="Z74" s="353">
        <f>Z70+Z71+Z72</f>
        <v>0</v>
      </c>
      <c r="AA74" s="353">
        <v>0</v>
      </c>
      <c r="AB74" s="353">
        <v>0</v>
      </c>
      <c r="AC74" s="353">
        <v>0</v>
      </c>
      <c r="AD74" s="354">
        <f>AD70+AD71</f>
        <v>22591</v>
      </c>
    </row>
    <row r="75" spans="1:30" ht="23.25">
      <c r="A75" s="347" t="s">
        <v>97</v>
      </c>
      <c r="B75" s="639" t="s">
        <v>281</v>
      </c>
      <c r="C75" s="640"/>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1"/>
    </row>
    <row r="76" spans="1:30" ht="116.25">
      <c r="A76" s="359" t="s">
        <v>57</v>
      </c>
      <c r="B76" s="328" t="s">
        <v>290</v>
      </c>
      <c r="C76" s="322" t="s">
        <v>73</v>
      </c>
      <c r="D76" s="322" t="s">
        <v>93</v>
      </c>
      <c r="E76" s="299">
        <f xml:space="preserve"> SUM(F76:I76)</f>
        <v>136.19999999999999</v>
      </c>
      <c r="F76" s="299">
        <f>74.6+61.6</f>
        <v>136.19999999999999</v>
      </c>
      <c r="G76" s="299">
        <v>0</v>
      </c>
      <c r="H76" s="299">
        <v>0</v>
      </c>
      <c r="I76" s="299">
        <v>0</v>
      </c>
      <c r="J76" s="299">
        <f xml:space="preserve"> SUM(K76:N76)</f>
        <v>137.5</v>
      </c>
      <c r="K76" s="299">
        <f>142-4.5</f>
        <v>137.5</v>
      </c>
      <c r="L76" s="299">
        <v>0</v>
      </c>
      <c r="M76" s="299">
        <v>0</v>
      </c>
      <c r="N76" s="299">
        <v>0</v>
      </c>
      <c r="O76" s="299">
        <f xml:space="preserve"> SUM(P76:S76)</f>
        <v>142</v>
      </c>
      <c r="P76" s="299">
        <v>142</v>
      </c>
      <c r="Q76" s="299">
        <v>0</v>
      </c>
      <c r="R76" s="299">
        <v>0</v>
      </c>
      <c r="S76" s="299">
        <v>0</v>
      </c>
      <c r="T76" s="299">
        <f xml:space="preserve"> SUM(U76:X76)</f>
        <v>142</v>
      </c>
      <c r="U76" s="299">
        <v>142</v>
      </c>
      <c r="V76" s="299">
        <v>0</v>
      </c>
      <c r="W76" s="299">
        <v>0</v>
      </c>
      <c r="X76" s="299">
        <v>0</v>
      </c>
      <c r="Y76" s="299">
        <f xml:space="preserve"> SUM(Z76:AC76)</f>
        <v>142</v>
      </c>
      <c r="Z76" s="299">
        <v>142</v>
      </c>
      <c r="AA76" s="299">
        <v>0</v>
      </c>
      <c r="AB76" s="299">
        <v>0</v>
      </c>
      <c r="AC76" s="299">
        <v>0</v>
      </c>
      <c r="AD76" s="299">
        <f>E76+J76+O76+T76+Y76</f>
        <v>699.7</v>
      </c>
    </row>
    <row r="77" spans="1:30" ht="23.25">
      <c r="A77" s="642" t="s">
        <v>58</v>
      </c>
      <c r="B77" s="643"/>
      <c r="C77" s="644"/>
      <c r="D77" s="347"/>
      <c r="E77" s="326">
        <f>E76</f>
        <v>136.19999999999999</v>
      </c>
      <c r="F77" s="326">
        <f>F76</f>
        <v>136.19999999999999</v>
      </c>
      <c r="G77" s="326">
        <v>0</v>
      </c>
      <c r="H77" s="326">
        <v>0</v>
      </c>
      <c r="I77" s="326">
        <v>0</v>
      </c>
      <c r="J77" s="326">
        <f t="shared" ref="J77:AC77" si="24">J76</f>
        <v>137.5</v>
      </c>
      <c r="K77" s="326">
        <f t="shared" si="24"/>
        <v>137.5</v>
      </c>
      <c r="L77" s="326">
        <f t="shared" si="24"/>
        <v>0</v>
      </c>
      <c r="M77" s="326">
        <f t="shared" si="24"/>
        <v>0</v>
      </c>
      <c r="N77" s="326">
        <f t="shared" si="24"/>
        <v>0</v>
      </c>
      <c r="O77" s="326">
        <f t="shared" si="24"/>
        <v>142</v>
      </c>
      <c r="P77" s="326">
        <f t="shared" si="24"/>
        <v>142</v>
      </c>
      <c r="Q77" s="326">
        <f t="shared" si="24"/>
        <v>0</v>
      </c>
      <c r="R77" s="326">
        <f t="shared" si="24"/>
        <v>0</v>
      </c>
      <c r="S77" s="326">
        <f t="shared" si="24"/>
        <v>0</v>
      </c>
      <c r="T77" s="326">
        <f t="shared" si="24"/>
        <v>142</v>
      </c>
      <c r="U77" s="326">
        <f t="shared" si="24"/>
        <v>142</v>
      </c>
      <c r="V77" s="326">
        <f t="shared" si="24"/>
        <v>0</v>
      </c>
      <c r="W77" s="326">
        <f t="shared" si="24"/>
        <v>0</v>
      </c>
      <c r="X77" s="326">
        <f t="shared" si="24"/>
        <v>0</v>
      </c>
      <c r="Y77" s="326">
        <f t="shared" si="24"/>
        <v>142</v>
      </c>
      <c r="Z77" s="326">
        <f t="shared" si="24"/>
        <v>142</v>
      </c>
      <c r="AA77" s="326">
        <f t="shared" si="24"/>
        <v>0</v>
      </c>
      <c r="AB77" s="326">
        <f t="shared" si="24"/>
        <v>0</v>
      </c>
      <c r="AC77" s="326">
        <f t="shared" si="24"/>
        <v>0</v>
      </c>
      <c r="AD77" s="326">
        <f>E77+J77+O77+T77+Y77</f>
        <v>699.7</v>
      </c>
    </row>
    <row r="78" spans="1:30" ht="23.25" customHeight="1">
      <c r="A78" s="411">
        <v>10</v>
      </c>
      <c r="B78" s="645" t="s">
        <v>259</v>
      </c>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7"/>
    </row>
    <row r="79" spans="1:30" ht="93">
      <c r="A79" s="360" t="s">
        <v>59</v>
      </c>
      <c r="B79" s="328" t="s">
        <v>186</v>
      </c>
      <c r="C79" s="417" t="s">
        <v>107</v>
      </c>
      <c r="D79" s="322" t="s">
        <v>93</v>
      </c>
      <c r="E79" s="300">
        <v>500</v>
      </c>
      <c r="F79" s="300">
        <v>500</v>
      </c>
      <c r="G79" s="300">
        <v>0</v>
      </c>
      <c r="H79" s="300">
        <v>0</v>
      </c>
      <c r="I79" s="300">
        <v>0</v>
      </c>
      <c r="J79" s="300">
        <f>K79+L79+M79+N79</f>
        <v>12</v>
      </c>
      <c r="K79" s="300">
        <f>24-12</f>
        <v>12</v>
      </c>
      <c r="L79" s="300">
        <v>0</v>
      </c>
      <c r="M79" s="300">
        <v>0</v>
      </c>
      <c r="N79" s="300">
        <v>0</v>
      </c>
      <c r="O79" s="300">
        <v>0</v>
      </c>
      <c r="P79" s="300">
        <v>0</v>
      </c>
      <c r="Q79" s="300">
        <v>0</v>
      </c>
      <c r="R79" s="300">
        <v>0</v>
      </c>
      <c r="S79" s="300">
        <v>0</v>
      </c>
      <c r="T79" s="300">
        <f t="shared" ref="T79:T81" si="25">U79+V79+W79+X79</f>
        <v>0</v>
      </c>
      <c r="U79" s="300">
        <v>0</v>
      </c>
      <c r="V79" s="300">
        <v>0</v>
      </c>
      <c r="W79" s="300">
        <v>0</v>
      </c>
      <c r="X79" s="300">
        <v>0</v>
      </c>
      <c r="Y79" s="300">
        <f>Z79+AA79+AB79+AC79</f>
        <v>0</v>
      </c>
      <c r="Z79" s="300">
        <v>0</v>
      </c>
      <c r="AA79" s="300">
        <v>0</v>
      </c>
      <c r="AB79" s="300">
        <v>0</v>
      </c>
      <c r="AC79" s="300">
        <v>0</v>
      </c>
      <c r="AD79" s="300">
        <f>E79+J79+O79+T79+Y79</f>
        <v>512</v>
      </c>
    </row>
    <row r="80" spans="1:30" ht="75">
      <c r="A80" s="360" t="s">
        <v>98</v>
      </c>
      <c r="B80" s="333" t="s">
        <v>159</v>
      </c>
      <c r="C80" s="362" t="s">
        <v>107</v>
      </c>
      <c r="D80" s="322" t="s">
        <v>93</v>
      </c>
      <c r="E80" s="300">
        <v>2880</v>
      </c>
      <c r="F80" s="300">
        <v>2880</v>
      </c>
      <c r="G80" s="300">
        <v>0</v>
      </c>
      <c r="H80" s="300">
        <v>0</v>
      </c>
      <c r="I80" s="300">
        <v>0</v>
      </c>
      <c r="J80" s="300">
        <f>K80+L80+M80+N80</f>
        <v>2730</v>
      </c>
      <c r="K80" s="300">
        <f>2880-150</f>
        <v>2730</v>
      </c>
      <c r="L80" s="300">
        <v>0</v>
      </c>
      <c r="M80" s="300">
        <v>0</v>
      </c>
      <c r="N80" s="300">
        <v>0</v>
      </c>
      <c r="O80" s="300">
        <v>0</v>
      </c>
      <c r="P80" s="300">
        <v>0</v>
      </c>
      <c r="Q80" s="300">
        <v>0</v>
      </c>
      <c r="R80" s="300">
        <v>0</v>
      </c>
      <c r="S80" s="300">
        <v>0</v>
      </c>
      <c r="T80" s="300">
        <f t="shared" si="25"/>
        <v>0</v>
      </c>
      <c r="U80" s="300">
        <v>0</v>
      </c>
      <c r="V80" s="300">
        <v>0</v>
      </c>
      <c r="W80" s="300">
        <v>0</v>
      </c>
      <c r="X80" s="300">
        <v>0</v>
      </c>
      <c r="Y80" s="300">
        <f>Z80+AA80+AB80+AC80</f>
        <v>0</v>
      </c>
      <c r="Z80" s="300">
        <v>0</v>
      </c>
      <c r="AA80" s="300">
        <v>0</v>
      </c>
      <c r="AB80" s="300">
        <v>0</v>
      </c>
      <c r="AC80" s="300">
        <v>0</v>
      </c>
      <c r="AD80" s="300">
        <f>E80+J80+O80+T80+Y80</f>
        <v>5610</v>
      </c>
    </row>
    <row r="81" spans="1:30" ht="23.25">
      <c r="A81" s="642" t="s">
        <v>60</v>
      </c>
      <c r="B81" s="643"/>
      <c r="C81" s="644"/>
      <c r="D81" s="360"/>
      <c r="E81" s="363">
        <f>E79+E80</f>
        <v>3380</v>
      </c>
      <c r="F81" s="363">
        <f>SUM(F79:F80)</f>
        <v>3380</v>
      </c>
      <c r="G81" s="363">
        <f>G79</f>
        <v>0</v>
      </c>
      <c r="H81" s="363">
        <f>I79</f>
        <v>0</v>
      </c>
      <c r="I81" s="363">
        <f t="shared" ref="I81:V81" si="26">I79</f>
        <v>0</v>
      </c>
      <c r="J81" s="363">
        <f>K81+L81+M81+N81</f>
        <v>2742</v>
      </c>
      <c r="K81" s="363">
        <f>K79+K80</f>
        <v>2742</v>
      </c>
      <c r="L81" s="363">
        <f t="shared" si="26"/>
        <v>0</v>
      </c>
      <c r="M81" s="363">
        <f t="shared" si="26"/>
        <v>0</v>
      </c>
      <c r="N81" s="363">
        <f t="shared" si="26"/>
        <v>0</v>
      </c>
      <c r="O81" s="363">
        <f t="shared" ref="O81" si="27">P81+Q81+R81+S81</f>
        <v>0</v>
      </c>
      <c r="P81" s="363">
        <f>P79+P80</f>
        <v>0</v>
      </c>
      <c r="Q81" s="363">
        <f t="shared" si="26"/>
        <v>0</v>
      </c>
      <c r="R81" s="363">
        <f t="shared" si="26"/>
        <v>0</v>
      </c>
      <c r="S81" s="363">
        <f t="shared" si="26"/>
        <v>0</v>
      </c>
      <c r="T81" s="363">
        <f t="shared" si="25"/>
        <v>0</v>
      </c>
      <c r="U81" s="363">
        <f>T79+T80</f>
        <v>0</v>
      </c>
      <c r="V81" s="363">
        <f t="shared" si="26"/>
        <v>0</v>
      </c>
      <c r="W81" s="363">
        <f>V79</f>
        <v>0</v>
      </c>
      <c r="X81" s="363">
        <f t="shared" ref="X81:AC81" si="28">X79</f>
        <v>0</v>
      </c>
      <c r="Y81" s="363">
        <f>Z81+AA81+AB81+AC81</f>
        <v>0</v>
      </c>
      <c r="Z81" s="363">
        <f>Z79+Z80</f>
        <v>0</v>
      </c>
      <c r="AA81" s="363">
        <f t="shared" si="28"/>
        <v>0</v>
      </c>
      <c r="AB81" s="363">
        <f t="shared" si="28"/>
        <v>0</v>
      </c>
      <c r="AC81" s="363">
        <f t="shared" si="28"/>
        <v>0</v>
      </c>
      <c r="AD81" s="363">
        <f>E81+J81+O81+T81+Y81</f>
        <v>6122</v>
      </c>
    </row>
    <row r="82" spans="1:30" ht="23.25" customHeight="1">
      <c r="A82" s="672" t="s">
        <v>304</v>
      </c>
      <c r="B82" s="673"/>
      <c r="C82" s="674"/>
      <c r="D82" s="360"/>
      <c r="E82" s="363">
        <f>F82+G82+H82+I82</f>
        <v>157092.37000000002</v>
      </c>
      <c r="F82" s="363">
        <f>F27+F33+F50+F55+F62+F65+F68+F73+F77+F81</f>
        <v>108956.7</v>
      </c>
      <c r="G82" s="363">
        <f>G27+G33+G50+G55+G62+G65+G68+G73+G77+G81</f>
        <v>45966</v>
      </c>
      <c r="H82" s="363">
        <f>H27+H33+H50+H55+H62+H65+H68+H73+H77+H81</f>
        <v>0</v>
      </c>
      <c r="I82" s="363">
        <f>I27+I33+I50+I55+I62+I65+I68+I73+I77+I81</f>
        <v>2169.67</v>
      </c>
      <c r="J82" s="363">
        <f>K82+L82+M82+N82</f>
        <v>121069.1</v>
      </c>
      <c r="K82" s="363">
        <f>K27+K33+K50+K55+K62+K65+K68+K73+K77+K81</f>
        <v>94437.1</v>
      </c>
      <c r="L82" s="363">
        <f>L27+L33+L50+L55+L62+L65+L68+L73+L77+L81</f>
        <v>26632</v>
      </c>
      <c r="M82" s="363">
        <f>M27+M33+M50+M55+M62+M65+M68+M73+M77+M81</f>
        <v>0</v>
      </c>
      <c r="N82" s="363">
        <f>N27+N33+N50+N55+N62+N65+N68+N73+N77+N81</f>
        <v>0</v>
      </c>
      <c r="O82" s="363">
        <f>P82+Q82+R82+S82</f>
        <v>133292.32</v>
      </c>
      <c r="P82" s="363">
        <f>P27+P33+P50+P55+P62+P65+P68+P73+P77+P81</f>
        <v>108196.8</v>
      </c>
      <c r="Q82" s="363">
        <f>Q27+Q33+Q50+Q55+Q62+Q65+Q68+Q73+Q77+Q81</f>
        <v>25095.52</v>
      </c>
      <c r="R82" s="363">
        <f>R27+R33+R50+R55+R62+R65+R68+R73+R77+R81</f>
        <v>0</v>
      </c>
      <c r="S82" s="363">
        <f>S27+S33+S50+S55+S62+S65+S68+S73+S77+S81</f>
        <v>0</v>
      </c>
      <c r="T82" s="363">
        <f>U82+V82+W82+X82</f>
        <v>25809</v>
      </c>
      <c r="U82" s="363">
        <f>U27+U33+U50+U55+U62+U65+U68+U73+U77+U81</f>
        <v>1732</v>
      </c>
      <c r="V82" s="363">
        <f>V27+V33+V50+V55+V62+V65+V68+V73+V77+V81</f>
        <v>24077</v>
      </c>
      <c r="W82" s="363">
        <f>W27+W33+W50+W55+W62+W65+W68+W73+W77+W81</f>
        <v>0</v>
      </c>
      <c r="X82" s="363">
        <f>X27+X33+X50+X55+X62+X65+X68+X73+X77+X81</f>
        <v>0</v>
      </c>
      <c r="Y82" s="363">
        <f>Z82+AA82+AB82+AC82</f>
        <v>25809</v>
      </c>
      <c r="Z82" s="363">
        <f>Z27+Z33+Z50+Z55+Z62+Z65+Z68+Z73+Z77+Z81</f>
        <v>1732</v>
      </c>
      <c r="AA82" s="363">
        <f>AA27+AA33+AA50+AA55+AA62+AA65+AA68+AA73+AA77+AA81</f>
        <v>24077</v>
      </c>
      <c r="AB82" s="363">
        <f>AB27+AB33+AB50+AB55+AB62+AB65+AB68+AB73+AB77+AB81</f>
        <v>0</v>
      </c>
      <c r="AC82" s="363">
        <f>AC27+AC33+AC50+AC55+AC62+AC65+AC68+AC73+AC77+AC81</f>
        <v>0</v>
      </c>
      <c r="AD82" s="363">
        <f>E82+J82+O82+T82+Y82</f>
        <v>463071.79000000004</v>
      </c>
    </row>
    <row r="83" spans="1:30">
      <c r="C83" s="315">
        <v>2020</v>
      </c>
      <c r="E83" s="364"/>
    </row>
    <row r="84" spans="1:30" ht="225">
      <c r="A84" s="365" t="s">
        <v>201</v>
      </c>
      <c r="B84" s="366" t="s">
        <v>134</v>
      </c>
      <c r="C84" s="364">
        <f>E29+E33+E52+E55+E61+E65+E68+E74+E81</f>
        <v>96915</v>
      </c>
      <c r="F84" s="364"/>
      <c r="J84" s="364"/>
      <c r="O84" s="364"/>
      <c r="T84" s="364"/>
      <c r="Y84" s="364"/>
      <c r="AC84" s="364"/>
    </row>
    <row r="85" spans="1:30">
      <c r="B85" s="366" t="s">
        <v>137</v>
      </c>
      <c r="C85" s="364">
        <f>E30+E51+E60+E77</f>
        <v>23882</v>
      </c>
      <c r="J85" s="364"/>
      <c r="O85" s="364"/>
      <c r="T85" s="364"/>
      <c r="Y85" s="364"/>
      <c r="AC85" s="364"/>
    </row>
    <row r="86" spans="1:30">
      <c r="B86" s="366" t="s">
        <v>138</v>
      </c>
      <c r="C86" s="364">
        <f>E28</f>
        <v>36295.369999999995</v>
      </c>
      <c r="J86" s="364"/>
      <c r="O86" s="364"/>
      <c r="T86" s="364"/>
      <c r="Y86" s="364"/>
      <c r="AC86" s="364"/>
    </row>
    <row r="87" spans="1:30">
      <c r="C87" s="364"/>
      <c r="J87" s="364"/>
      <c r="O87" s="364"/>
      <c r="T87" s="364"/>
      <c r="Y87" s="364"/>
      <c r="AC87" s="364"/>
    </row>
    <row r="88" spans="1:30">
      <c r="B88" s="366"/>
      <c r="C88" s="364">
        <f>C84+C85+C86</f>
        <v>157092.37</v>
      </c>
      <c r="D88" s="315" t="s">
        <v>305</v>
      </c>
      <c r="J88" s="364"/>
      <c r="K88" s="364"/>
      <c r="O88" s="364"/>
      <c r="T88" s="364"/>
      <c r="Y88" s="364"/>
      <c r="AC88" s="364"/>
    </row>
    <row r="89" spans="1:30">
      <c r="J89" s="364"/>
      <c r="O89" s="364"/>
      <c r="T89" s="364"/>
      <c r="Y89" s="364"/>
      <c r="AC89" s="364"/>
    </row>
    <row r="90" spans="1:30">
      <c r="C90" s="364"/>
      <c r="J90" s="364"/>
      <c r="O90" s="364"/>
      <c r="T90" s="364"/>
      <c r="Y90" s="364"/>
    </row>
    <row r="92" spans="1:30">
      <c r="B92" s="366" t="s">
        <v>195</v>
      </c>
      <c r="C92" s="364" t="e">
        <f>#REF!+#REF!+#REF!+#REF!+#REF!</f>
        <v>#REF!</v>
      </c>
    </row>
    <row r="93" spans="1:30">
      <c r="B93" s="367" t="s">
        <v>196</v>
      </c>
      <c r="C93" s="364" t="e">
        <f>#REF!+#REF!+#REF!+#REF!+#REF!</f>
        <v>#REF!</v>
      </c>
      <c r="D93" s="315" t="s">
        <v>301</v>
      </c>
      <c r="E93" s="364">
        <f>F82+K82+P82+U82+Z82</f>
        <v>315054.59999999998</v>
      </c>
      <c r="F93" s="315" t="s">
        <v>306</v>
      </c>
      <c r="H93" s="364"/>
      <c r="R93" s="315" t="s">
        <v>302</v>
      </c>
      <c r="T93" s="364" t="e">
        <f>C93-3</f>
        <v>#REF!</v>
      </c>
    </row>
    <row r="94" spans="1:30">
      <c r="B94" s="367" t="s">
        <v>197</v>
      </c>
      <c r="C94" s="364">
        <f>G82+L82+Q82+V82+AA82</f>
        <v>145847.52000000002</v>
      </c>
    </row>
    <row r="95" spans="1:30">
      <c r="C95" s="364" t="e">
        <f>C92+C93+C94</f>
        <v>#REF!</v>
      </c>
      <c r="D95" s="315" t="s">
        <v>301</v>
      </c>
      <c r="AC95" s="364"/>
    </row>
    <row r="96" spans="1:30">
      <c r="C96" s="364">
        <f>E82+J82+O82+T82+Y82</f>
        <v>463071.79000000004</v>
      </c>
      <c r="D96" s="315" t="s">
        <v>307</v>
      </c>
    </row>
    <row r="97" spans="2:25">
      <c r="B97" s="364" t="e">
        <f>127165-#REF!</f>
        <v>#REF!</v>
      </c>
    </row>
    <row r="99" spans="2:25">
      <c r="Y99" s="368"/>
    </row>
    <row r="102" spans="2:25">
      <c r="D102" s="368"/>
      <c r="E102" s="368"/>
    </row>
    <row r="103" spans="2:25">
      <c r="D103" s="368"/>
      <c r="E103" s="368"/>
    </row>
    <row r="108" spans="2:25">
      <c r="D108" s="364" t="e">
        <f>#REF!+#REF!+#REF!+#REF!+#REF!</f>
        <v>#REF!</v>
      </c>
    </row>
  </sheetData>
  <mergeCells count="40">
    <mergeCell ref="Z3:AD3"/>
    <mergeCell ref="V4:AD4"/>
    <mergeCell ref="A5:AD5"/>
    <mergeCell ref="A7:A9"/>
    <mergeCell ref="B7:B9"/>
    <mergeCell ref="C7:C9"/>
    <mergeCell ref="D7:D9"/>
    <mergeCell ref="E7:AD7"/>
    <mergeCell ref="E8:I8"/>
    <mergeCell ref="J8:N8"/>
    <mergeCell ref="C38:C39"/>
    <mergeCell ref="O8:S8"/>
    <mergeCell ref="T8:X8"/>
    <mergeCell ref="Y8:AC8"/>
    <mergeCell ref="AD8:AD9"/>
    <mergeCell ref="A11:AD11"/>
    <mergeCell ref="B12:AD12"/>
    <mergeCell ref="C13:C14"/>
    <mergeCell ref="A27:C27"/>
    <mergeCell ref="B31:AD31"/>
    <mergeCell ref="A33:C33"/>
    <mergeCell ref="B34:AD34"/>
    <mergeCell ref="A73:C73"/>
    <mergeCell ref="C41:C45"/>
    <mergeCell ref="A50:C50"/>
    <mergeCell ref="B53:AD53"/>
    <mergeCell ref="A55:C55"/>
    <mergeCell ref="B56:AD56"/>
    <mergeCell ref="A57:A58"/>
    <mergeCell ref="B57:B58"/>
    <mergeCell ref="B63:AD63"/>
    <mergeCell ref="A65:C65"/>
    <mergeCell ref="B66:AD66"/>
    <mergeCell ref="A68:C68"/>
    <mergeCell ref="B69:AD69"/>
    <mergeCell ref="B75:AD75"/>
    <mergeCell ref="A77:C77"/>
    <mergeCell ref="B78:AD78"/>
    <mergeCell ref="A81:C81"/>
    <mergeCell ref="A82:C82"/>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dimension ref="A1:AF109"/>
  <sheetViews>
    <sheetView view="pageBreakPreview" topLeftCell="D64" zoomScale="50" zoomScaleSheetLayoutView="50" workbookViewId="0">
      <selection activeCell="AD84" sqref="AD84"/>
    </sheetView>
  </sheetViews>
  <sheetFormatPr defaultRowHeight="18.75"/>
  <cols>
    <col min="1" max="1" width="6.140625" style="405" customWidth="1"/>
    <col min="2" max="2" width="188" style="315" customWidth="1"/>
    <col min="3" max="3" width="42.42578125" style="315" customWidth="1"/>
    <col min="4" max="4" width="23.5703125" style="315" customWidth="1"/>
    <col min="5" max="5" width="21.28515625" style="315" customWidth="1"/>
    <col min="6" max="6" width="22.42578125" style="315" customWidth="1"/>
    <col min="7" max="7" width="16.140625" style="315" customWidth="1"/>
    <col min="8" max="9" width="16.85546875" style="315" customWidth="1"/>
    <col min="10" max="10" width="21.140625" style="315" customWidth="1"/>
    <col min="11" max="11" width="18.140625" style="315" customWidth="1"/>
    <col min="12" max="12" width="15" style="315" customWidth="1"/>
    <col min="13" max="13" width="14.7109375" style="315" customWidth="1"/>
    <col min="14" max="14" width="14.28515625" style="315" customWidth="1"/>
    <col min="15" max="15" width="17.140625" style="315" customWidth="1"/>
    <col min="16" max="16" width="18.7109375" style="315" customWidth="1"/>
    <col min="17" max="17" width="17.28515625" style="315" customWidth="1"/>
    <col min="18" max="18" width="19" style="315" customWidth="1"/>
    <col min="19" max="19" width="13" style="315" customWidth="1"/>
    <col min="20" max="20" width="16.42578125" style="315" customWidth="1"/>
    <col min="21" max="21" width="12.7109375" style="315" customWidth="1"/>
    <col min="22" max="22" width="11.85546875" style="315" customWidth="1"/>
    <col min="23" max="23" width="11.7109375" style="315" customWidth="1"/>
    <col min="24" max="24" width="10.28515625" style="315" customWidth="1"/>
    <col min="25" max="25" width="18" style="315" customWidth="1"/>
    <col min="26" max="26" width="14.5703125" style="315" customWidth="1"/>
    <col min="27" max="27" width="13" style="315" customWidth="1"/>
    <col min="28" max="28" width="12.7109375" style="315" customWidth="1"/>
    <col min="29" max="29" width="14.28515625" style="315" customWidth="1"/>
    <col min="30" max="30" width="17.7109375" style="315" customWidth="1"/>
    <col min="31" max="16384" width="9.140625" style="316"/>
  </cols>
  <sheetData>
    <row r="1" spans="1:30">
      <c r="Z1" s="315" t="s">
        <v>260</v>
      </c>
    </row>
    <row r="2" spans="1:30">
      <c r="Z2" s="315" t="s">
        <v>261</v>
      </c>
    </row>
    <row r="3" spans="1:30">
      <c r="L3" s="403"/>
      <c r="M3" s="403"/>
      <c r="N3" s="403"/>
      <c r="O3" s="403"/>
      <c r="P3" s="403"/>
      <c r="Q3" s="403"/>
      <c r="R3" s="403"/>
      <c r="S3" s="403"/>
      <c r="T3" s="403"/>
      <c r="U3" s="403"/>
      <c r="V3" s="403"/>
      <c r="W3" s="403"/>
      <c r="X3" s="403"/>
      <c r="Y3" s="403"/>
      <c r="Z3" s="675" t="s">
        <v>262</v>
      </c>
      <c r="AA3" s="675"/>
      <c r="AB3" s="675"/>
      <c r="AC3" s="675"/>
      <c r="AD3" s="675"/>
    </row>
    <row r="4" spans="1:30">
      <c r="V4" s="676" t="s">
        <v>272</v>
      </c>
      <c r="W4" s="676"/>
      <c r="X4" s="676"/>
      <c r="Y4" s="676"/>
      <c r="Z4" s="676"/>
      <c r="AA4" s="676"/>
      <c r="AB4" s="676"/>
      <c r="AC4" s="676"/>
      <c r="AD4" s="676"/>
    </row>
    <row r="5" spans="1:30">
      <c r="A5" s="677" t="s">
        <v>0</v>
      </c>
      <c r="B5" s="677"/>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row>
    <row r="7" spans="1:30" ht="19.5">
      <c r="A7" s="664" t="s">
        <v>1</v>
      </c>
      <c r="B7" s="664" t="s">
        <v>219</v>
      </c>
      <c r="C7" s="664" t="s">
        <v>2</v>
      </c>
      <c r="D7" s="664" t="s">
        <v>3</v>
      </c>
      <c r="E7" s="679" t="s">
        <v>273</v>
      </c>
      <c r="F7" s="680"/>
      <c r="G7" s="680"/>
      <c r="H7" s="680"/>
      <c r="I7" s="680"/>
      <c r="J7" s="680"/>
      <c r="K7" s="680"/>
      <c r="L7" s="680"/>
      <c r="M7" s="680"/>
      <c r="N7" s="680"/>
      <c r="O7" s="680"/>
      <c r="P7" s="680"/>
      <c r="Q7" s="680"/>
      <c r="R7" s="680"/>
      <c r="S7" s="680"/>
      <c r="T7" s="680"/>
      <c r="U7" s="680"/>
      <c r="V7" s="680"/>
      <c r="W7" s="680"/>
      <c r="X7" s="680"/>
      <c r="Y7" s="680"/>
      <c r="Z7" s="680"/>
      <c r="AA7" s="680"/>
      <c r="AB7" s="680"/>
      <c r="AC7" s="680"/>
      <c r="AD7" s="681"/>
    </row>
    <row r="8" spans="1:30">
      <c r="A8" s="678"/>
      <c r="B8" s="678"/>
      <c r="C8" s="678"/>
      <c r="D8" s="678"/>
      <c r="E8" s="682" t="s">
        <v>88</v>
      </c>
      <c r="F8" s="683"/>
      <c r="G8" s="683"/>
      <c r="H8" s="683"/>
      <c r="I8" s="684"/>
      <c r="J8" s="682" t="s">
        <v>89</v>
      </c>
      <c r="K8" s="683"/>
      <c r="L8" s="683"/>
      <c r="M8" s="683"/>
      <c r="N8" s="684"/>
      <c r="O8" s="682" t="s">
        <v>90</v>
      </c>
      <c r="P8" s="683"/>
      <c r="Q8" s="683"/>
      <c r="R8" s="683"/>
      <c r="S8" s="684"/>
      <c r="T8" s="682" t="s">
        <v>91</v>
      </c>
      <c r="U8" s="683"/>
      <c r="V8" s="683"/>
      <c r="W8" s="683"/>
      <c r="X8" s="684"/>
      <c r="Y8" s="682" t="s">
        <v>92</v>
      </c>
      <c r="Z8" s="683"/>
      <c r="AA8" s="683"/>
      <c r="AB8" s="683"/>
      <c r="AC8" s="684"/>
      <c r="AD8" s="664" t="s">
        <v>5</v>
      </c>
    </row>
    <row r="9" spans="1:30" ht="87.75">
      <c r="A9" s="665"/>
      <c r="B9" s="665"/>
      <c r="C9" s="665"/>
      <c r="D9" s="665"/>
      <c r="E9" s="402" t="s">
        <v>6</v>
      </c>
      <c r="F9" s="319" t="s">
        <v>7</v>
      </c>
      <c r="G9" s="319" t="s">
        <v>8</v>
      </c>
      <c r="H9" s="319" t="s">
        <v>9</v>
      </c>
      <c r="I9" s="320" t="s">
        <v>10</v>
      </c>
      <c r="J9" s="402" t="s">
        <v>6</v>
      </c>
      <c r="K9" s="319" t="s">
        <v>7</v>
      </c>
      <c r="L9" s="319" t="s">
        <v>8</v>
      </c>
      <c r="M9" s="319" t="s">
        <v>9</v>
      </c>
      <c r="N9" s="320" t="s">
        <v>10</v>
      </c>
      <c r="O9" s="402" t="s">
        <v>6</v>
      </c>
      <c r="P9" s="319" t="s">
        <v>7</v>
      </c>
      <c r="Q9" s="319" t="s">
        <v>8</v>
      </c>
      <c r="R9" s="319" t="s">
        <v>9</v>
      </c>
      <c r="S9" s="320" t="s">
        <v>10</v>
      </c>
      <c r="T9" s="402" t="s">
        <v>6</v>
      </c>
      <c r="U9" s="319" t="s">
        <v>7</v>
      </c>
      <c r="V9" s="319" t="s">
        <v>8</v>
      </c>
      <c r="W9" s="319" t="s">
        <v>9</v>
      </c>
      <c r="X9" s="320" t="s">
        <v>10</v>
      </c>
      <c r="Y9" s="402" t="s">
        <v>6</v>
      </c>
      <c r="Z9" s="319" t="s">
        <v>7</v>
      </c>
      <c r="AA9" s="319" t="s">
        <v>8</v>
      </c>
      <c r="AB9" s="319" t="s">
        <v>9</v>
      </c>
      <c r="AC9" s="320" t="s">
        <v>10</v>
      </c>
      <c r="AD9" s="665"/>
    </row>
    <row r="10" spans="1:30">
      <c r="A10" s="321">
        <v>1</v>
      </c>
      <c r="B10" s="321">
        <v>2</v>
      </c>
      <c r="C10" s="321">
        <v>3</v>
      </c>
      <c r="D10" s="321">
        <v>4</v>
      </c>
      <c r="E10" s="321">
        <v>5</v>
      </c>
      <c r="F10" s="321">
        <v>6</v>
      </c>
      <c r="G10" s="321">
        <v>7</v>
      </c>
      <c r="H10" s="321">
        <v>8</v>
      </c>
      <c r="I10" s="321">
        <v>9</v>
      </c>
      <c r="J10" s="321">
        <v>10</v>
      </c>
      <c r="K10" s="321">
        <v>11</v>
      </c>
      <c r="L10" s="321">
        <v>12</v>
      </c>
      <c r="M10" s="321">
        <v>13</v>
      </c>
      <c r="N10" s="321">
        <v>14</v>
      </c>
      <c r="O10" s="321">
        <v>15</v>
      </c>
      <c r="P10" s="321">
        <v>16</v>
      </c>
      <c r="Q10" s="321">
        <v>17</v>
      </c>
      <c r="R10" s="321">
        <v>18</v>
      </c>
      <c r="S10" s="321">
        <v>19</v>
      </c>
      <c r="T10" s="321">
        <v>20</v>
      </c>
      <c r="U10" s="321">
        <v>21</v>
      </c>
      <c r="V10" s="321">
        <v>22</v>
      </c>
      <c r="W10" s="321">
        <v>23</v>
      </c>
      <c r="X10" s="321">
        <v>24</v>
      </c>
      <c r="Y10" s="321">
        <v>25</v>
      </c>
      <c r="Z10" s="321">
        <v>26</v>
      </c>
      <c r="AA10" s="321">
        <v>27</v>
      </c>
      <c r="AB10" s="321">
        <v>28</v>
      </c>
      <c r="AC10" s="321">
        <v>29</v>
      </c>
      <c r="AD10" s="321">
        <v>30</v>
      </c>
    </row>
    <row r="11" spans="1:30">
      <c r="A11" s="666" t="s">
        <v>274</v>
      </c>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8"/>
    </row>
    <row r="12" spans="1:30" ht="23.25">
      <c r="A12" s="322" t="s">
        <v>221</v>
      </c>
      <c r="B12" s="669" t="s">
        <v>275</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1"/>
    </row>
    <row r="13" spans="1:30" ht="93">
      <c r="A13" s="323" t="s">
        <v>12</v>
      </c>
      <c r="B13" s="324" t="s">
        <v>81</v>
      </c>
      <c r="C13" s="661" t="s">
        <v>14</v>
      </c>
      <c r="D13" s="325" t="s">
        <v>93</v>
      </c>
      <c r="E13" s="298">
        <f>SUM(F13:I13)</f>
        <v>28350</v>
      </c>
      <c r="F13" s="298">
        <f>43350-15000</f>
        <v>28350</v>
      </c>
      <c r="G13" s="298">
        <v>0</v>
      </c>
      <c r="H13" s="298">
        <v>0</v>
      </c>
      <c r="I13" s="298">
        <v>0</v>
      </c>
      <c r="J13" s="298">
        <f>K13+L13+M13+N13</f>
        <v>26292</v>
      </c>
      <c r="K13" s="298">
        <f>19722+15778-9208</f>
        <v>26292</v>
      </c>
      <c r="L13" s="298">
        <v>0</v>
      </c>
      <c r="M13" s="299">
        <v>0</v>
      </c>
      <c r="N13" s="299">
        <v>0</v>
      </c>
      <c r="O13" s="299">
        <f>P13+Q13+R13+S13</f>
        <v>42513</v>
      </c>
      <c r="P13" s="299">
        <v>42513</v>
      </c>
      <c r="Q13" s="299">
        <v>0</v>
      </c>
      <c r="R13" s="299">
        <v>0</v>
      </c>
      <c r="S13" s="299">
        <v>0</v>
      </c>
      <c r="T13" s="299">
        <f>U13+V13+W13+X13</f>
        <v>0</v>
      </c>
      <c r="U13" s="299">
        <v>0</v>
      </c>
      <c r="V13" s="299">
        <v>0</v>
      </c>
      <c r="W13" s="299">
        <v>0</v>
      </c>
      <c r="X13" s="299">
        <v>0</v>
      </c>
      <c r="Y13" s="299">
        <f>Z13+AA13+AB13+AC13</f>
        <v>0</v>
      </c>
      <c r="Z13" s="299">
        <v>0</v>
      </c>
      <c r="AA13" s="299">
        <v>0</v>
      </c>
      <c r="AB13" s="299">
        <v>0</v>
      </c>
      <c r="AC13" s="299">
        <v>0</v>
      </c>
      <c r="AD13" s="326">
        <f t="shared" ref="AD13:AD18" si="0">E13+J13+O13+T13+Y13</f>
        <v>97155</v>
      </c>
    </row>
    <row r="14" spans="1:30" ht="116.25">
      <c r="A14" s="323" t="s">
        <v>13</v>
      </c>
      <c r="B14" s="327" t="s">
        <v>268</v>
      </c>
      <c r="C14" s="663"/>
      <c r="D14" s="325" t="s">
        <v>93</v>
      </c>
      <c r="E14" s="298">
        <f>SUM(F14:I14)</f>
        <v>7359</v>
      </c>
      <c r="F14" s="298">
        <f>12748-5387-2060</f>
        <v>5301</v>
      </c>
      <c r="G14" s="298">
        <v>0</v>
      </c>
      <c r="H14" s="298">
        <v>0</v>
      </c>
      <c r="I14" s="298">
        <f>4602-2544</f>
        <v>2058</v>
      </c>
      <c r="J14" s="298">
        <v>0</v>
      </c>
      <c r="K14" s="298">
        <v>0</v>
      </c>
      <c r="L14" s="298">
        <v>0</v>
      </c>
      <c r="M14" s="299">
        <v>0</v>
      </c>
      <c r="N14" s="299">
        <v>0</v>
      </c>
      <c r="O14" s="299">
        <v>0</v>
      </c>
      <c r="P14" s="299">
        <v>0</v>
      </c>
      <c r="Q14" s="299">
        <v>0</v>
      </c>
      <c r="R14" s="299">
        <v>0</v>
      </c>
      <c r="S14" s="299">
        <v>0</v>
      </c>
      <c r="T14" s="299">
        <f>U14+V14+W14+X14</f>
        <v>0</v>
      </c>
      <c r="U14" s="299">
        <v>0</v>
      </c>
      <c r="V14" s="299">
        <v>0</v>
      </c>
      <c r="W14" s="299">
        <v>0</v>
      </c>
      <c r="X14" s="299">
        <v>0</v>
      </c>
      <c r="Y14" s="299">
        <f>Z14+AA14+AB14+AC14</f>
        <v>0</v>
      </c>
      <c r="Z14" s="299">
        <v>0</v>
      </c>
      <c r="AA14" s="299">
        <v>0</v>
      </c>
      <c r="AB14" s="299">
        <v>0</v>
      </c>
      <c r="AC14" s="299">
        <v>0</v>
      </c>
      <c r="AD14" s="326">
        <f t="shared" si="0"/>
        <v>7359</v>
      </c>
    </row>
    <row r="15" spans="1:30" ht="93">
      <c r="A15" s="323" t="s">
        <v>15</v>
      </c>
      <c r="B15" s="328" t="s">
        <v>117</v>
      </c>
      <c r="C15" s="401" t="s">
        <v>218</v>
      </c>
      <c r="D15" s="322" t="s">
        <v>93</v>
      </c>
      <c r="E15" s="298">
        <f>F15+G15+H15+I15</f>
        <v>8260</v>
      </c>
      <c r="F15" s="298">
        <f>8260</f>
        <v>8260</v>
      </c>
      <c r="G15" s="298">
        <v>0</v>
      </c>
      <c r="H15" s="298">
        <v>0</v>
      </c>
      <c r="I15" s="298">
        <v>0</v>
      </c>
      <c r="J15" s="298">
        <f>K15+L15+M15+N15</f>
        <v>11513</v>
      </c>
      <c r="K15" s="298">
        <v>11513</v>
      </c>
      <c r="L15" s="298">
        <v>0</v>
      </c>
      <c r="M15" s="299">
        <v>0</v>
      </c>
      <c r="N15" s="299">
        <v>0</v>
      </c>
      <c r="O15" s="299">
        <f>P15+Q15+R15+S15</f>
        <v>10547</v>
      </c>
      <c r="P15" s="299">
        <v>10547</v>
      </c>
      <c r="Q15" s="299">
        <v>0</v>
      </c>
      <c r="R15" s="299">
        <v>0</v>
      </c>
      <c r="S15" s="299">
        <v>0</v>
      </c>
      <c r="T15" s="299">
        <f>U15+V15+W15+X15</f>
        <v>0</v>
      </c>
      <c r="U15" s="299">
        <v>0</v>
      </c>
      <c r="V15" s="299">
        <v>0</v>
      </c>
      <c r="W15" s="299">
        <v>0</v>
      </c>
      <c r="X15" s="299">
        <v>0</v>
      </c>
      <c r="Y15" s="299">
        <f>Z15+AA15+AB15+AC15</f>
        <v>0</v>
      </c>
      <c r="Z15" s="299">
        <v>0</v>
      </c>
      <c r="AA15" s="299">
        <v>0</v>
      </c>
      <c r="AB15" s="299">
        <v>0</v>
      </c>
      <c r="AC15" s="299">
        <v>0</v>
      </c>
      <c r="AD15" s="326">
        <f t="shared" si="0"/>
        <v>30320</v>
      </c>
    </row>
    <row r="16" spans="1:30" ht="93">
      <c r="A16" s="323" t="s">
        <v>16</v>
      </c>
      <c r="B16" s="330" t="s">
        <v>270</v>
      </c>
      <c r="C16" s="331" t="s">
        <v>14</v>
      </c>
      <c r="D16" s="322" t="s">
        <v>93</v>
      </c>
      <c r="E16" s="298">
        <f>F16+G16+H16+I16</f>
        <v>586.36999999999978</v>
      </c>
      <c r="F16" s="298">
        <f>3300-2825.3</f>
        <v>474.69999999999982</v>
      </c>
      <c r="G16" s="298">
        <v>0</v>
      </c>
      <c r="H16" s="298">
        <v>0</v>
      </c>
      <c r="I16" s="298">
        <f>775-663.33</f>
        <v>111.66999999999996</v>
      </c>
      <c r="J16" s="298">
        <v>0</v>
      </c>
      <c r="K16" s="298">
        <v>0</v>
      </c>
      <c r="L16" s="298">
        <v>0</v>
      </c>
      <c r="M16" s="299">
        <v>0</v>
      </c>
      <c r="N16" s="299">
        <v>0</v>
      </c>
      <c r="O16" s="299">
        <v>0</v>
      </c>
      <c r="P16" s="299">
        <v>0</v>
      </c>
      <c r="Q16" s="299">
        <v>0</v>
      </c>
      <c r="R16" s="299">
        <v>0</v>
      </c>
      <c r="S16" s="299">
        <v>0</v>
      </c>
      <c r="T16" s="299">
        <v>0</v>
      </c>
      <c r="U16" s="299">
        <v>0</v>
      </c>
      <c r="V16" s="299">
        <v>0</v>
      </c>
      <c r="W16" s="299">
        <v>0</v>
      </c>
      <c r="X16" s="299">
        <v>0</v>
      </c>
      <c r="Y16" s="299">
        <v>0</v>
      </c>
      <c r="Z16" s="299">
        <v>0</v>
      </c>
      <c r="AA16" s="299">
        <v>0</v>
      </c>
      <c r="AB16" s="299">
        <v>0</v>
      </c>
      <c r="AC16" s="299">
        <v>0</v>
      </c>
      <c r="AD16" s="326">
        <f t="shared" si="0"/>
        <v>586.36999999999978</v>
      </c>
    </row>
    <row r="17" spans="1:31" ht="37.5">
      <c r="A17" s="323" t="s">
        <v>17</v>
      </c>
      <c r="B17" s="330" t="s">
        <v>210</v>
      </c>
      <c r="C17" s="401" t="s">
        <v>94</v>
      </c>
      <c r="D17" s="332">
        <v>2020</v>
      </c>
      <c r="E17" s="298">
        <f t="shared" ref="E17:E22" si="1">F17+G17+H17+I17</f>
        <v>1192</v>
      </c>
      <c r="F17" s="298">
        <v>1192</v>
      </c>
      <c r="G17" s="298">
        <v>0</v>
      </c>
      <c r="H17" s="298">
        <v>0</v>
      </c>
      <c r="I17" s="298">
        <v>0</v>
      </c>
      <c r="J17" s="298">
        <f t="shared" ref="J17:J22" si="2">K17+L17+M17+N17</f>
        <v>0</v>
      </c>
      <c r="K17" s="298">
        <v>0</v>
      </c>
      <c r="L17" s="298">
        <v>0</v>
      </c>
      <c r="M17" s="299">
        <v>0</v>
      </c>
      <c r="N17" s="299">
        <v>0</v>
      </c>
      <c r="O17" s="299">
        <f>P17+Q17+R17+S17</f>
        <v>0</v>
      </c>
      <c r="P17" s="299">
        <v>0</v>
      </c>
      <c r="Q17" s="299">
        <v>0</v>
      </c>
      <c r="R17" s="299">
        <v>0</v>
      </c>
      <c r="S17" s="299">
        <v>0</v>
      </c>
      <c r="T17" s="299">
        <f>U17+V17+W17+X17</f>
        <v>0</v>
      </c>
      <c r="U17" s="299">
        <v>0</v>
      </c>
      <c r="V17" s="299">
        <v>0</v>
      </c>
      <c r="W17" s="299">
        <v>0</v>
      </c>
      <c r="X17" s="299">
        <v>0</v>
      </c>
      <c r="Y17" s="299">
        <f>Z17+AA17+AB17+AC17</f>
        <v>0</v>
      </c>
      <c r="Z17" s="299">
        <v>0</v>
      </c>
      <c r="AA17" s="299">
        <v>0</v>
      </c>
      <c r="AB17" s="299">
        <v>0</v>
      </c>
      <c r="AC17" s="299">
        <v>0</v>
      </c>
      <c r="AD17" s="299">
        <f t="shared" si="0"/>
        <v>1192</v>
      </c>
    </row>
    <row r="18" spans="1:31" ht="46.5">
      <c r="A18" s="323" t="s">
        <v>163</v>
      </c>
      <c r="B18" s="330" t="s">
        <v>121</v>
      </c>
      <c r="C18" s="401" t="s">
        <v>94</v>
      </c>
      <c r="D18" s="332" t="s">
        <v>164</v>
      </c>
      <c r="E18" s="298">
        <f t="shared" si="1"/>
        <v>6060</v>
      </c>
      <c r="F18" s="298">
        <f>6183-123</f>
        <v>6060</v>
      </c>
      <c r="G18" s="298">
        <v>0</v>
      </c>
      <c r="H18" s="298">
        <v>0</v>
      </c>
      <c r="I18" s="298">
        <v>0</v>
      </c>
      <c r="J18" s="298">
        <f t="shared" si="2"/>
        <v>5586</v>
      </c>
      <c r="K18" s="298">
        <f>5832-126-120</f>
        <v>5586</v>
      </c>
      <c r="L18" s="298">
        <v>0</v>
      </c>
      <c r="M18" s="299">
        <v>0</v>
      </c>
      <c r="N18" s="299">
        <v>0</v>
      </c>
      <c r="O18" s="334">
        <f>P18+Q18+R18+S18</f>
        <v>5700</v>
      </c>
      <c r="P18" s="334">
        <f>5760-60</f>
        <v>5700</v>
      </c>
      <c r="Q18" s="299">
        <v>0</v>
      </c>
      <c r="R18" s="299">
        <v>0</v>
      </c>
      <c r="S18" s="299">
        <v>0</v>
      </c>
      <c r="T18" s="299">
        <f>U18+V18+W18+X18</f>
        <v>0</v>
      </c>
      <c r="U18" s="299">
        <v>0</v>
      </c>
      <c r="V18" s="299">
        <v>0</v>
      </c>
      <c r="W18" s="299">
        <v>0</v>
      </c>
      <c r="X18" s="299">
        <v>0</v>
      </c>
      <c r="Y18" s="299">
        <f>Z18+AA18+AB18+AC18</f>
        <v>0</v>
      </c>
      <c r="Z18" s="299">
        <v>0</v>
      </c>
      <c r="AA18" s="299">
        <v>0</v>
      </c>
      <c r="AB18" s="299">
        <v>0</v>
      </c>
      <c r="AC18" s="299">
        <v>0</v>
      </c>
      <c r="AD18" s="299">
        <f t="shared" si="0"/>
        <v>17346</v>
      </c>
    </row>
    <row r="19" spans="1:31" ht="37.5">
      <c r="A19" s="323" t="s">
        <v>182</v>
      </c>
      <c r="B19" s="333" t="s">
        <v>124</v>
      </c>
      <c r="C19" s="401" t="s">
        <v>94</v>
      </c>
      <c r="D19" s="332" t="s">
        <v>282</v>
      </c>
      <c r="E19" s="298">
        <f t="shared" si="1"/>
        <v>785</v>
      </c>
      <c r="F19" s="298">
        <v>785</v>
      </c>
      <c r="G19" s="298">
        <v>0</v>
      </c>
      <c r="H19" s="298">
        <v>0</v>
      </c>
      <c r="I19" s="298">
        <v>0</v>
      </c>
      <c r="J19" s="298">
        <f t="shared" si="2"/>
        <v>90</v>
      </c>
      <c r="K19" s="298">
        <v>90</v>
      </c>
      <c r="L19" s="298">
        <v>0</v>
      </c>
      <c r="M19" s="299">
        <v>0</v>
      </c>
      <c r="N19" s="299">
        <v>0</v>
      </c>
      <c r="O19" s="299">
        <v>0</v>
      </c>
      <c r="P19" s="299">
        <v>0</v>
      </c>
      <c r="Q19" s="299">
        <v>0</v>
      </c>
      <c r="R19" s="299">
        <v>0</v>
      </c>
      <c r="S19" s="299">
        <v>0</v>
      </c>
      <c r="T19" s="299">
        <v>0</v>
      </c>
      <c r="U19" s="299">
        <v>0</v>
      </c>
      <c r="V19" s="299">
        <v>0</v>
      </c>
      <c r="W19" s="299">
        <v>0</v>
      </c>
      <c r="X19" s="299">
        <v>0</v>
      </c>
      <c r="Y19" s="299">
        <v>0</v>
      </c>
      <c r="Z19" s="299">
        <v>0</v>
      </c>
      <c r="AA19" s="299">
        <v>0</v>
      </c>
      <c r="AB19" s="299">
        <v>0</v>
      </c>
      <c r="AC19" s="299">
        <v>0</v>
      </c>
      <c r="AD19" s="299">
        <f>E19+J19+O19+T19+Y19</f>
        <v>875</v>
      </c>
    </row>
    <row r="20" spans="1:31" ht="46.5">
      <c r="A20" s="323" t="s">
        <v>208</v>
      </c>
      <c r="B20" s="333" t="s">
        <v>126</v>
      </c>
      <c r="C20" s="401" t="s">
        <v>94</v>
      </c>
      <c r="D20" s="332">
        <v>2020</v>
      </c>
      <c r="E20" s="298">
        <f t="shared" si="1"/>
        <v>110</v>
      </c>
      <c r="F20" s="298">
        <v>110</v>
      </c>
      <c r="G20" s="298">
        <v>0</v>
      </c>
      <c r="H20" s="298">
        <v>0</v>
      </c>
      <c r="I20" s="298">
        <v>0</v>
      </c>
      <c r="J20" s="298">
        <f t="shared" si="2"/>
        <v>0</v>
      </c>
      <c r="K20" s="298">
        <v>0</v>
      </c>
      <c r="L20" s="298">
        <v>0</v>
      </c>
      <c r="M20" s="299">
        <v>0</v>
      </c>
      <c r="N20" s="299">
        <v>0</v>
      </c>
      <c r="O20" s="299">
        <f t="shared" ref="O20:O26" si="3">P20+Q20+R20+S20</f>
        <v>0</v>
      </c>
      <c r="P20" s="299">
        <v>0</v>
      </c>
      <c r="Q20" s="299">
        <v>0</v>
      </c>
      <c r="R20" s="299">
        <v>0</v>
      </c>
      <c r="S20" s="299">
        <v>0</v>
      </c>
      <c r="T20" s="299">
        <f t="shared" ref="T20:T26" si="4">U20+V20+W20+X20</f>
        <v>0</v>
      </c>
      <c r="U20" s="299">
        <v>0</v>
      </c>
      <c r="V20" s="299">
        <v>0</v>
      </c>
      <c r="W20" s="299">
        <v>0</v>
      </c>
      <c r="X20" s="299">
        <v>0</v>
      </c>
      <c r="Y20" s="299">
        <f>Z20+AA20+AB20+AC20</f>
        <v>0</v>
      </c>
      <c r="Z20" s="299">
        <v>0</v>
      </c>
      <c r="AA20" s="299">
        <v>0</v>
      </c>
      <c r="AB20" s="299">
        <v>0</v>
      </c>
      <c r="AC20" s="299">
        <v>0</v>
      </c>
      <c r="AD20" s="299">
        <f t="shared" ref="AD20:AD26" si="5">E20+J20+O20+T20+Y20</f>
        <v>110</v>
      </c>
    </row>
    <row r="21" spans="1:31" ht="69.75">
      <c r="A21" s="323" t="s">
        <v>211</v>
      </c>
      <c r="B21" s="333" t="s">
        <v>122</v>
      </c>
      <c r="C21" s="401" t="s">
        <v>94</v>
      </c>
      <c r="D21" s="332">
        <v>2020</v>
      </c>
      <c r="E21" s="298">
        <f t="shared" si="1"/>
        <v>53</v>
      </c>
      <c r="F21" s="298">
        <v>53</v>
      </c>
      <c r="G21" s="298">
        <v>0</v>
      </c>
      <c r="H21" s="298">
        <v>0</v>
      </c>
      <c r="I21" s="298">
        <v>0</v>
      </c>
      <c r="J21" s="298">
        <f t="shared" si="2"/>
        <v>0</v>
      </c>
      <c r="K21" s="298">
        <v>0</v>
      </c>
      <c r="L21" s="298">
        <v>0</v>
      </c>
      <c r="M21" s="299">
        <v>0</v>
      </c>
      <c r="N21" s="299">
        <v>0</v>
      </c>
      <c r="O21" s="299">
        <f t="shared" si="3"/>
        <v>0</v>
      </c>
      <c r="P21" s="299">
        <v>0</v>
      </c>
      <c r="Q21" s="299">
        <v>0</v>
      </c>
      <c r="R21" s="299">
        <v>0</v>
      </c>
      <c r="S21" s="299">
        <v>0</v>
      </c>
      <c r="T21" s="299">
        <f t="shared" si="4"/>
        <v>0</v>
      </c>
      <c r="U21" s="299">
        <v>0</v>
      </c>
      <c r="V21" s="299">
        <v>0</v>
      </c>
      <c r="W21" s="299">
        <v>0</v>
      </c>
      <c r="X21" s="299">
        <v>0</v>
      </c>
      <c r="Y21" s="299">
        <f>Z21+AA21+AB21+AC21</f>
        <v>0</v>
      </c>
      <c r="Z21" s="299">
        <v>0</v>
      </c>
      <c r="AA21" s="299">
        <v>0</v>
      </c>
      <c r="AB21" s="299">
        <v>0</v>
      </c>
      <c r="AC21" s="299">
        <v>0</v>
      </c>
      <c r="AD21" s="299">
        <f t="shared" si="5"/>
        <v>53</v>
      </c>
    </row>
    <row r="22" spans="1:31" ht="46.5">
      <c r="A22" s="323" t="s">
        <v>212</v>
      </c>
      <c r="B22" s="333" t="s">
        <v>123</v>
      </c>
      <c r="C22" s="401" t="s">
        <v>94</v>
      </c>
      <c r="D22" s="332">
        <v>2020</v>
      </c>
      <c r="E22" s="298">
        <f t="shared" si="1"/>
        <v>130</v>
      </c>
      <c r="F22" s="298">
        <f>112+18</f>
        <v>130</v>
      </c>
      <c r="G22" s="298">
        <v>0</v>
      </c>
      <c r="H22" s="298">
        <v>0</v>
      </c>
      <c r="I22" s="298">
        <v>0</v>
      </c>
      <c r="J22" s="298">
        <f t="shared" si="2"/>
        <v>0</v>
      </c>
      <c r="K22" s="298">
        <v>0</v>
      </c>
      <c r="L22" s="298">
        <v>0</v>
      </c>
      <c r="M22" s="299">
        <v>0</v>
      </c>
      <c r="N22" s="299">
        <v>0</v>
      </c>
      <c r="O22" s="299">
        <f t="shared" si="3"/>
        <v>0</v>
      </c>
      <c r="P22" s="299">
        <v>0</v>
      </c>
      <c r="Q22" s="299">
        <v>0</v>
      </c>
      <c r="R22" s="299">
        <v>0</v>
      </c>
      <c r="S22" s="299">
        <v>0</v>
      </c>
      <c r="T22" s="299">
        <f t="shared" si="4"/>
        <v>0</v>
      </c>
      <c r="U22" s="299">
        <v>0</v>
      </c>
      <c r="V22" s="299">
        <v>0</v>
      </c>
      <c r="W22" s="299">
        <v>0</v>
      </c>
      <c r="X22" s="299">
        <v>0</v>
      </c>
      <c r="Y22" s="299">
        <f>Z22+AA22+AB22+AC22</f>
        <v>0</v>
      </c>
      <c r="Z22" s="299">
        <v>0</v>
      </c>
      <c r="AA22" s="299">
        <v>0</v>
      </c>
      <c r="AB22" s="299">
        <v>0</v>
      </c>
      <c r="AC22" s="299">
        <v>0</v>
      </c>
      <c r="AD22" s="299">
        <f t="shared" si="5"/>
        <v>130</v>
      </c>
    </row>
    <row r="23" spans="1:31" ht="46.5">
      <c r="A23" s="323" t="s">
        <v>213</v>
      </c>
      <c r="B23" s="333" t="s">
        <v>125</v>
      </c>
      <c r="C23" s="401" t="s">
        <v>94</v>
      </c>
      <c r="D23" s="332" t="s">
        <v>164</v>
      </c>
      <c r="E23" s="298">
        <v>120</v>
      </c>
      <c r="F23" s="298">
        <v>120</v>
      </c>
      <c r="G23" s="298">
        <v>0</v>
      </c>
      <c r="H23" s="298">
        <v>0</v>
      </c>
      <c r="I23" s="298">
        <v>0</v>
      </c>
      <c r="J23" s="298">
        <f>K23+L23+M23+N23</f>
        <v>0</v>
      </c>
      <c r="K23" s="298">
        <f>60-60</f>
        <v>0</v>
      </c>
      <c r="L23" s="298">
        <v>0</v>
      </c>
      <c r="M23" s="299">
        <v>0</v>
      </c>
      <c r="N23" s="299">
        <v>0</v>
      </c>
      <c r="O23" s="334">
        <f t="shared" si="3"/>
        <v>120</v>
      </c>
      <c r="P23" s="334">
        <f>60+60</f>
        <v>120</v>
      </c>
      <c r="Q23" s="299">
        <v>0</v>
      </c>
      <c r="R23" s="299">
        <v>0</v>
      </c>
      <c r="S23" s="299">
        <v>0</v>
      </c>
      <c r="T23" s="299">
        <f t="shared" si="4"/>
        <v>0</v>
      </c>
      <c r="U23" s="299">
        <v>0</v>
      </c>
      <c r="V23" s="299">
        <v>0</v>
      </c>
      <c r="W23" s="299">
        <v>0</v>
      </c>
      <c r="X23" s="299">
        <v>0</v>
      </c>
      <c r="Y23" s="299">
        <f>Z23+AA23+AB23+AC23</f>
        <v>0</v>
      </c>
      <c r="Z23" s="299">
        <v>0</v>
      </c>
      <c r="AA23" s="299">
        <v>0</v>
      </c>
      <c r="AB23" s="299">
        <v>0</v>
      </c>
      <c r="AC23" s="299">
        <v>0</v>
      </c>
      <c r="AD23" s="299">
        <f t="shared" si="5"/>
        <v>240</v>
      </c>
    </row>
    <row r="24" spans="1:31" ht="37.5">
      <c r="A24" s="369" t="s">
        <v>214</v>
      </c>
      <c r="B24" s="370" t="s">
        <v>205</v>
      </c>
      <c r="C24" s="371" t="s">
        <v>52</v>
      </c>
      <c r="D24" s="372" t="s">
        <v>287</v>
      </c>
      <c r="E24" s="373">
        <v>23068</v>
      </c>
      <c r="F24" s="373">
        <v>0</v>
      </c>
      <c r="G24" s="373">
        <v>23068</v>
      </c>
      <c r="H24" s="373">
        <v>0</v>
      </c>
      <c r="I24" s="373">
        <v>0</v>
      </c>
      <c r="J24" s="373">
        <f>K24+L24+M24+N24</f>
        <v>22592</v>
      </c>
      <c r="K24" s="373">
        <v>0</v>
      </c>
      <c r="L24" s="373">
        <f>23742-1150</f>
        <v>22592</v>
      </c>
      <c r="M24" s="374">
        <v>0</v>
      </c>
      <c r="N24" s="374">
        <v>0</v>
      </c>
      <c r="O24" s="299">
        <f t="shared" si="3"/>
        <v>25095.52</v>
      </c>
      <c r="P24" s="299">
        <v>0</v>
      </c>
      <c r="Q24" s="299">
        <f>24077+1018.52</f>
        <v>25095.52</v>
      </c>
      <c r="R24" s="374">
        <v>0</v>
      </c>
      <c r="S24" s="374">
        <v>0</v>
      </c>
      <c r="T24" s="374">
        <f t="shared" si="4"/>
        <v>24077</v>
      </c>
      <c r="U24" s="374">
        <v>0</v>
      </c>
      <c r="V24" s="374">
        <v>24077</v>
      </c>
      <c r="W24" s="374">
        <v>0</v>
      </c>
      <c r="X24" s="374">
        <v>0</v>
      </c>
      <c r="Y24" s="374">
        <f>Z24+AA24+AB24+AC24</f>
        <v>24077</v>
      </c>
      <c r="Z24" s="374">
        <v>0</v>
      </c>
      <c r="AA24" s="374">
        <v>24077</v>
      </c>
      <c r="AB24" s="374">
        <v>0</v>
      </c>
      <c r="AC24" s="374">
        <v>0</v>
      </c>
      <c r="AD24" s="374">
        <f>E24+J24+O24+T24+Y24</f>
        <v>118909.52</v>
      </c>
    </row>
    <row r="25" spans="1:31" ht="46.5">
      <c r="A25" s="369" t="s">
        <v>215</v>
      </c>
      <c r="B25" s="370" t="s">
        <v>198</v>
      </c>
      <c r="C25" s="371" t="s">
        <v>52</v>
      </c>
      <c r="D25" s="372" t="s">
        <v>309</v>
      </c>
      <c r="E25" s="373">
        <v>238</v>
      </c>
      <c r="F25" s="375">
        <v>0</v>
      </c>
      <c r="G25" s="373">
        <v>238</v>
      </c>
      <c r="H25" s="373">
        <v>0</v>
      </c>
      <c r="I25" s="373">
        <v>0</v>
      </c>
      <c r="J25" s="373">
        <f>K25+L25+M25+N25</f>
        <v>476</v>
      </c>
      <c r="K25" s="373">
        <v>0</v>
      </c>
      <c r="L25" s="373">
        <v>476</v>
      </c>
      <c r="M25" s="374">
        <v>0</v>
      </c>
      <c r="N25" s="374">
        <v>0</v>
      </c>
      <c r="O25" s="334">
        <f t="shared" si="3"/>
        <v>476</v>
      </c>
      <c r="P25" s="334">
        <v>0</v>
      </c>
      <c r="Q25" s="334">
        <v>476</v>
      </c>
      <c r="R25" s="374">
        <v>0</v>
      </c>
      <c r="S25" s="374">
        <v>0</v>
      </c>
      <c r="T25" s="374">
        <f t="shared" si="4"/>
        <v>0</v>
      </c>
      <c r="U25" s="374">
        <v>0</v>
      </c>
      <c r="V25" s="374">
        <v>0</v>
      </c>
      <c r="W25" s="374">
        <v>0</v>
      </c>
      <c r="X25" s="374">
        <v>0</v>
      </c>
      <c r="Y25" s="374">
        <v>0</v>
      </c>
      <c r="Z25" s="374">
        <v>0</v>
      </c>
      <c r="AA25" s="374">
        <v>0</v>
      </c>
      <c r="AB25" s="374">
        <v>0</v>
      </c>
      <c r="AC25" s="374">
        <v>0</v>
      </c>
      <c r="AD25" s="374">
        <f>E25+J25+O25+T25+Y25</f>
        <v>1190</v>
      </c>
    </row>
    <row r="26" spans="1:31" ht="46.5">
      <c r="A26" s="369" t="s">
        <v>216</v>
      </c>
      <c r="B26" s="376" t="s">
        <v>217</v>
      </c>
      <c r="C26" s="371" t="s">
        <v>94</v>
      </c>
      <c r="D26" s="372">
        <v>2020</v>
      </c>
      <c r="E26" s="373">
        <f>F26+G26+H26+I26</f>
        <v>120</v>
      </c>
      <c r="F26" s="373">
        <f>300-180</f>
        <v>120</v>
      </c>
      <c r="G26" s="373">
        <v>0</v>
      </c>
      <c r="H26" s="373">
        <v>0</v>
      </c>
      <c r="I26" s="373">
        <v>0</v>
      </c>
      <c r="J26" s="373">
        <f>K26+L26+M26+N26</f>
        <v>0</v>
      </c>
      <c r="K26" s="373">
        <v>0</v>
      </c>
      <c r="L26" s="373">
        <v>0</v>
      </c>
      <c r="M26" s="374">
        <v>0</v>
      </c>
      <c r="N26" s="374">
        <v>0</v>
      </c>
      <c r="O26" s="374">
        <f t="shared" si="3"/>
        <v>0</v>
      </c>
      <c r="P26" s="374">
        <v>0</v>
      </c>
      <c r="Q26" s="374">
        <v>0</v>
      </c>
      <c r="R26" s="374">
        <v>0</v>
      </c>
      <c r="S26" s="374">
        <v>0</v>
      </c>
      <c r="T26" s="374">
        <f t="shared" si="4"/>
        <v>0</v>
      </c>
      <c r="U26" s="374">
        <v>0</v>
      </c>
      <c r="V26" s="374">
        <v>0</v>
      </c>
      <c r="W26" s="374">
        <v>0</v>
      </c>
      <c r="X26" s="374">
        <v>0</v>
      </c>
      <c r="Y26" s="374">
        <f>Z26+AA26+AB26+AC26</f>
        <v>0</v>
      </c>
      <c r="Z26" s="374">
        <v>0</v>
      </c>
      <c r="AA26" s="374">
        <v>0</v>
      </c>
      <c r="AB26" s="374">
        <v>0</v>
      </c>
      <c r="AC26" s="374">
        <v>0</v>
      </c>
      <c r="AD26" s="374">
        <f t="shared" si="5"/>
        <v>120</v>
      </c>
    </row>
    <row r="27" spans="1:31" ht="23.25">
      <c r="A27" s="687" t="s">
        <v>19</v>
      </c>
      <c r="B27" s="688"/>
      <c r="C27" s="689"/>
      <c r="D27" s="377"/>
      <c r="E27" s="378">
        <f>E28+E29+E30</f>
        <v>76431.37</v>
      </c>
      <c r="F27" s="378">
        <f>SUM(F13:F26)</f>
        <v>50955.7</v>
      </c>
      <c r="G27" s="378">
        <f>G28+G29+G30</f>
        <v>23306</v>
      </c>
      <c r="H27" s="378">
        <f>SUM(H13:H17)</f>
        <v>0</v>
      </c>
      <c r="I27" s="378">
        <f>SUM(I13:I17)</f>
        <v>2169.67</v>
      </c>
      <c r="J27" s="378">
        <f>J28+J29+J30</f>
        <v>66549</v>
      </c>
      <c r="K27" s="378">
        <f>K28+K29</f>
        <v>43481</v>
      </c>
      <c r="L27" s="378">
        <f>L13+L14+L15+L16+L17+L18+L19+L20+L21+L22+L23+L24+L25+L26</f>
        <v>23068</v>
      </c>
      <c r="M27" s="378">
        <f>SUM(M13:M17)</f>
        <v>0</v>
      </c>
      <c r="N27" s="378">
        <f>SUM(N13:N17)</f>
        <v>0</v>
      </c>
      <c r="O27" s="378">
        <f>P27+Q27+R27+S27</f>
        <v>84451.520000000004</v>
      </c>
      <c r="P27" s="378">
        <f>P28+P29</f>
        <v>58880</v>
      </c>
      <c r="Q27" s="378">
        <f>Q28+Q29+Q30</f>
        <v>25571.52</v>
      </c>
      <c r="R27" s="378">
        <f>SUM(R13:R17)</f>
        <v>0</v>
      </c>
      <c r="S27" s="378">
        <f>SUM(S13:S17)</f>
        <v>0</v>
      </c>
      <c r="T27" s="378">
        <f>SUM(T13:T26)</f>
        <v>24077</v>
      </c>
      <c r="U27" s="378">
        <f>SUM(U13:U26)</f>
        <v>0</v>
      </c>
      <c r="V27" s="378">
        <f>V28+V29+V30</f>
        <v>24077</v>
      </c>
      <c r="W27" s="378">
        <f>SUM(W13:W16)</f>
        <v>0</v>
      </c>
      <c r="X27" s="378">
        <f>SUM(X13:X16)</f>
        <v>0</v>
      </c>
      <c r="Y27" s="378">
        <v>24077</v>
      </c>
      <c r="Z27" s="378">
        <f>Z28+Z29+Z30</f>
        <v>0</v>
      </c>
      <c r="AA27" s="378">
        <f>AA28+AA29+AA30</f>
        <v>24077</v>
      </c>
      <c r="AB27" s="378">
        <f>SUM(AB13:AB17)</f>
        <v>0</v>
      </c>
      <c r="AC27" s="378">
        <f>SUM(AC13:AC17)</f>
        <v>0</v>
      </c>
      <c r="AD27" s="378">
        <f>AD28+AD29+AD30</f>
        <v>275585.89</v>
      </c>
    </row>
    <row r="28" spans="1:31" ht="23.25">
      <c r="A28" s="379" t="s">
        <v>14</v>
      </c>
      <c r="B28" s="407"/>
      <c r="C28" s="408"/>
      <c r="D28" s="380"/>
      <c r="E28" s="374">
        <f>F28+G28+H28+I28</f>
        <v>36295.369999999995</v>
      </c>
      <c r="F28" s="374">
        <f>F13+F14+F16</f>
        <v>34125.699999999997</v>
      </c>
      <c r="G28" s="374">
        <f>G13+G14+G16</f>
        <v>0</v>
      </c>
      <c r="H28" s="374">
        <f>G13+G14+G16</f>
        <v>0</v>
      </c>
      <c r="I28" s="374">
        <f>I14+I16</f>
        <v>2169.67</v>
      </c>
      <c r="J28" s="374">
        <f t="shared" ref="J28:V28" si="6">J13+J14+J16</f>
        <v>26292</v>
      </c>
      <c r="K28" s="374">
        <f t="shared" si="6"/>
        <v>26292</v>
      </c>
      <c r="L28" s="374">
        <f t="shared" si="6"/>
        <v>0</v>
      </c>
      <c r="M28" s="374">
        <f t="shared" si="6"/>
        <v>0</v>
      </c>
      <c r="N28" s="374">
        <f t="shared" si="6"/>
        <v>0</v>
      </c>
      <c r="O28" s="374">
        <f t="shared" si="6"/>
        <v>42513</v>
      </c>
      <c r="P28" s="374">
        <f t="shared" si="6"/>
        <v>42513</v>
      </c>
      <c r="Q28" s="374">
        <f t="shared" si="6"/>
        <v>0</v>
      </c>
      <c r="R28" s="374">
        <f t="shared" si="6"/>
        <v>0</v>
      </c>
      <c r="S28" s="374">
        <f t="shared" si="6"/>
        <v>0</v>
      </c>
      <c r="T28" s="374">
        <f t="shared" si="6"/>
        <v>0</v>
      </c>
      <c r="U28" s="374">
        <f t="shared" si="6"/>
        <v>0</v>
      </c>
      <c r="V28" s="374">
        <f t="shared" si="6"/>
        <v>0</v>
      </c>
      <c r="W28" s="374">
        <f>W13+W14+W16</f>
        <v>0</v>
      </c>
      <c r="X28" s="374">
        <f t="shared" ref="X28:AC28" si="7">X13+X14+X16</f>
        <v>0</v>
      </c>
      <c r="Y28" s="374">
        <f t="shared" si="7"/>
        <v>0</v>
      </c>
      <c r="Z28" s="374">
        <f>Z13+Z14+Z16</f>
        <v>0</v>
      </c>
      <c r="AA28" s="374">
        <f t="shared" si="7"/>
        <v>0</v>
      </c>
      <c r="AB28" s="374">
        <f t="shared" si="7"/>
        <v>0</v>
      </c>
      <c r="AC28" s="374">
        <f t="shared" si="7"/>
        <v>0</v>
      </c>
      <c r="AD28" s="374">
        <f>E28+J28+O28+T28+Y28</f>
        <v>105100.37</v>
      </c>
    </row>
    <row r="29" spans="1:31" ht="23.25">
      <c r="A29" s="379" t="s">
        <v>135</v>
      </c>
      <c r="B29" s="381"/>
      <c r="C29" s="382"/>
      <c r="D29" s="380"/>
      <c r="E29" s="374">
        <f>E15+E17+E18+E19+E20+E21+E22+E23+E26</f>
        <v>16830</v>
      </c>
      <c r="F29" s="374">
        <f>F15+F17+F18+F19+F20+F21+F22+F23+F26</f>
        <v>16830</v>
      </c>
      <c r="G29" s="374">
        <f>G15+G16</f>
        <v>0</v>
      </c>
      <c r="H29" s="374">
        <f>H15+H17+H18+H19+H20+H21+H22+H23+H26</f>
        <v>0</v>
      </c>
      <c r="I29" s="374">
        <f>I15+I17+I17+I18+I19+I20+I21+I22+I23+I26</f>
        <v>0</v>
      </c>
      <c r="J29" s="374">
        <f>J15+J17+J18+J19+J20+J21+J22+J23+J26</f>
        <v>17189</v>
      </c>
      <c r="K29" s="374">
        <f>K15+K17+K18+K19+K20+K21+K22+K23+K26</f>
        <v>17189</v>
      </c>
      <c r="L29" s="374">
        <f>L15+L17+L18+L19+L20+L21+L22+L23+L26</f>
        <v>0</v>
      </c>
      <c r="M29" s="374">
        <f>M24+M25</f>
        <v>0</v>
      </c>
      <c r="N29" s="374">
        <f>N24+N25</f>
        <v>0</v>
      </c>
      <c r="O29" s="374">
        <f>O15+O17+O18+O19+O20+O21+O22+O23+O26</f>
        <v>16367</v>
      </c>
      <c r="P29" s="374">
        <f>P15+P17+P18+P19+P20+P21+P22+P23+P26</f>
        <v>16367</v>
      </c>
      <c r="Q29" s="374">
        <f t="shared" ref="Q29:AC29" si="8">Q15+Q17+Q18+Q19+Q20+Q21+Q22+Q23+Q26</f>
        <v>0</v>
      </c>
      <c r="R29" s="374">
        <f t="shared" si="8"/>
        <v>0</v>
      </c>
      <c r="S29" s="374">
        <f t="shared" si="8"/>
        <v>0</v>
      </c>
      <c r="T29" s="374">
        <f t="shared" si="8"/>
        <v>0</v>
      </c>
      <c r="U29" s="374">
        <f>U15+U17+U18+U19+U20+U21+U22+U23+U26</f>
        <v>0</v>
      </c>
      <c r="V29" s="374">
        <f t="shared" si="8"/>
        <v>0</v>
      </c>
      <c r="W29" s="374">
        <f t="shared" si="8"/>
        <v>0</v>
      </c>
      <c r="X29" s="374">
        <f t="shared" si="8"/>
        <v>0</v>
      </c>
      <c r="Y29" s="374">
        <f t="shared" si="8"/>
        <v>0</v>
      </c>
      <c r="Z29" s="374">
        <f>Z15+Z17+Z18+Z19+Z20+Z21+Z22+Z23+Z26</f>
        <v>0</v>
      </c>
      <c r="AA29" s="374">
        <f t="shared" si="8"/>
        <v>0</v>
      </c>
      <c r="AB29" s="374">
        <f t="shared" si="8"/>
        <v>0</v>
      </c>
      <c r="AC29" s="374">
        <f t="shared" si="8"/>
        <v>0</v>
      </c>
      <c r="AD29" s="374">
        <f>E29+J29+O29+T29+Y29</f>
        <v>50386</v>
      </c>
      <c r="AE29" s="344"/>
    </row>
    <row r="30" spans="1:31" ht="23.25">
      <c r="A30" s="407" t="s">
        <v>73</v>
      </c>
      <c r="B30" s="408"/>
      <c r="C30" s="408"/>
      <c r="D30" s="383"/>
      <c r="E30" s="374">
        <f t="shared" ref="E30:S30" si="9">E24+E25</f>
        <v>23306</v>
      </c>
      <c r="F30" s="374">
        <f t="shared" si="9"/>
        <v>0</v>
      </c>
      <c r="G30" s="374">
        <f t="shared" si="9"/>
        <v>23306</v>
      </c>
      <c r="H30" s="374">
        <f t="shared" si="9"/>
        <v>0</v>
      </c>
      <c r="I30" s="374">
        <f t="shared" si="9"/>
        <v>0</v>
      </c>
      <c r="J30" s="374">
        <f t="shared" si="9"/>
        <v>23068</v>
      </c>
      <c r="K30" s="374">
        <f t="shared" si="9"/>
        <v>0</v>
      </c>
      <c r="L30" s="374">
        <f t="shared" si="9"/>
        <v>23068</v>
      </c>
      <c r="M30" s="374">
        <f t="shared" si="9"/>
        <v>0</v>
      </c>
      <c r="N30" s="374">
        <f t="shared" si="9"/>
        <v>0</v>
      </c>
      <c r="O30" s="374">
        <f t="shared" si="9"/>
        <v>25571.52</v>
      </c>
      <c r="P30" s="374">
        <f t="shared" si="9"/>
        <v>0</v>
      </c>
      <c r="Q30" s="374">
        <f>Q24+Q25</f>
        <v>25571.52</v>
      </c>
      <c r="R30" s="374">
        <f t="shared" si="9"/>
        <v>0</v>
      </c>
      <c r="S30" s="374">
        <f t="shared" si="9"/>
        <v>0</v>
      </c>
      <c r="T30" s="374">
        <f>T24+T25</f>
        <v>24077</v>
      </c>
      <c r="U30" s="374">
        <f>U25+U24</f>
        <v>0</v>
      </c>
      <c r="V30" s="374">
        <f>V24+V25</f>
        <v>24077</v>
      </c>
      <c r="W30" s="374">
        <f t="shared" ref="W30:AC30" si="10">W24+W25</f>
        <v>0</v>
      </c>
      <c r="X30" s="374">
        <f t="shared" si="10"/>
        <v>0</v>
      </c>
      <c r="Y30" s="374">
        <f t="shared" si="10"/>
        <v>24077</v>
      </c>
      <c r="Z30" s="374">
        <f t="shared" si="10"/>
        <v>0</v>
      </c>
      <c r="AA30" s="374">
        <f t="shared" si="10"/>
        <v>24077</v>
      </c>
      <c r="AB30" s="374">
        <f t="shared" si="10"/>
        <v>0</v>
      </c>
      <c r="AC30" s="374">
        <f t="shared" si="10"/>
        <v>0</v>
      </c>
      <c r="AD30" s="374">
        <f>E30+J30+O30+T30+Y30</f>
        <v>120099.52</v>
      </c>
      <c r="AE30" s="344"/>
    </row>
    <row r="31" spans="1:31" ht="23.25">
      <c r="A31" s="384" t="s">
        <v>222</v>
      </c>
      <c r="B31" s="690" t="s">
        <v>308</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2"/>
    </row>
    <row r="32" spans="1:31" ht="93">
      <c r="A32" s="323" t="s">
        <v>21</v>
      </c>
      <c r="B32" s="346" t="s">
        <v>192</v>
      </c>
      <c r="C32" s="322" t="s">
        <v>94</v>
      </c>
      <c r="D32" s="322" t="s">
        <v>93</v>
      </c>
      <c r="E32" s="299">
        <f>F32+G32+H32+I32</f>
        <v>1892</v>
      </c>
      <c r="F32" s="299">
        <f>2664-772</f>
        <v>1892</v>
      </c>
      <c r="G32" s="299">
        <v>0</v>
      </c>
      <c r="H32" s="299">
        <v>0</v>
      </c>
      <c r="I32" s="299">
        <v>0</v>
      </c>
      <c r="J32" s="299">
        <f>K32+L32+M32+N32</f>
        <v>1072</v>
      </c>
      <c r="K32" s="299">
        <f>1892-286-534</f>
        <v>1072</v>
      </c>
      <c r="L32" s="299">
        <v>0</v>
      </c>
      <c r="M32" s="299">
        <v>0</v>
      </c>
      <c r="N32" s="299">
        <v>0</v>
      </c>
      <c r="O32" s="334">
        <f>P32+Q32+R32+S32</f>
        <v>1168</v>
      </c>
      <c r="P32" s="334">
        <f>1633-465</f>
        <v>1168</v>
      </c>
      <c r="Q32" s="334">
        <v>0</v>
      </c>
      <c r="R32" s="334">
        <v>0</v>
      </c>
      <c r="S32" s="299">
        <v>0</v>
      </c>
      <c r="T32" s="299">
        <f>U32+V32+W32+X32</f>
        <v>0</v>
      </c>
      <c r="U32" s="299">
        <v>0</v>
      </c>
      <c r="V32" s="299">
        <v>0</v>
      </c>
      <c r="W32" s="299">
        <v>0</v>
      </c>
      <c r="X32" s="299">
        <v>0</v>
      </c>
      <c r="Y32" s="299">
        <f>Z32+AA32+AB32+AC32</f>
        <v>0</v>
      </c>
      <c r="Z32" s="299">
        <v>0</v>
      </c>
      <c r="AA32" s="299">
        <v>0</v>
      </c>
      <c r="AB32" s="299">
        <v>0</v>
      </c>
      <c r="AC32" s="299">
        <v>0</v>
      </c>
      <c r="AD32" s="299">
        <f>E32+J32+O32+T32+Y32</f>
        <v>4132</v>
      </c>
    </row>
    <row r="33" spans="1:31" ht="20.25">
      <c r="A33" s="655" t="s">
        <v>22</v>
      </c>
      <c r="B33" s="656"/>
      <c r="C33" s="657"/>
      <c r="D33" s="347"/>
      <c r="E33" s="326">
        <f>E32</f>
        <v>1892</v>
      </c>
      <c r="F33" s="326">
        <f>SUM(F32)</f>
        <v>1892</v>
      </c>
      <c r="G33" s="326">
        <f t="shared" ref="G33:AD33" si="11">SUM(G32:G32)</f>
        <v>0</v>
      </c>
      <c r="H33" s="326">
        <f t="shared" si="11"/>
        <v>0</v>
      </c>
      <c r="I33" s="326">
        <f t="shared" si="11"/>
        <v>0</v>
      </c>
      <c r="J33" s="326">
        <f>J32</f>
        <v>1072</v>
      </c>
      <c r="K33" s="326">
        <f t="shared" si="11"/>
        <v>1072</v>
      </c>
      <c r="L33" s="326">
        <f t="shared" si="11"/>
        <v>0</v>
      </c>
      <c r="M33" s="326">
        <f t="shared" si="11"/>
        <v>0</v>
      </c>
      <c r="N33" s="326">
        <f t="shared" si="11"/>
        <v>0</v>
      </c>
      <c r="O33" s="326">
        <f t="shared" si="11"/>
        <v>1168</v>
      </c>
      <c r="P33" s="326">
        <f t="shared" si="11"/>
        <v>1168</v>
      </c>
      <c r="Q33" s="326">
        <f t="shared" si="11"/>
        <v>0</v>
      </c>
      <c r="R33" s="326">
        <f t="shared" si="11"/>
        <v>0</v>
      </c>
      <c r="S33" s="326">
        <f t="shared" si="11"/>
        <v>0</v>
      </c>
      <c r="T33" s="326">
        <f t="shared" si="11"/>
        <v>0</v>
      </c>
      <c r="U33" s="326">
        <f t="shared" si="11"/>
        <v>0</v>
      </c>
      <c r="V33" s="326">
        <f t="shared" si="11"/>
        <v>0</v>
      </c>
      <c r="W33" s="326">
        <f t="shared" si="11"/>
        <v>0</v>
      </c>
      <c r="X33" s="326">
        <f t="shared" si="11"/>
        <v>0</v>
      </c>
      <c r="Y33" s="326">
        <f t="shared" si="11"/>
        <v>0</v>
      </c>
      <c r="Z33" s="326">
        <f t="shared" si="11"/>
        <v>0</v>
      </c>
      <c r="AA33" s="326">
        <f t="shared" si="11"/>
        <v>0</v>
      </c>
      <c r="AB33" s="326">
        <f t="shared" si="11"/>
        <v>0</v>
      </c>
      <c r="AC33" s="326">
        <f t="shared" si="11"/>
        <v>0</v>
      </c>
      <c r="AD33" s="326">
        <f t="shared" si="11"/>
        <v>4132</v>
      </c>
    </row>
    <row r="34" spans="1:31" ht="20.25">
      <c r="A34" s="322" t="s">
        <v>229</v>
      </c>
      <c r="B34" s="658" t="s">
        <v>277</v>
      </c>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60"/>
    </row>
    <row r="35" spans="1:31" ht="46.5">
      <c r="A35" s="323" t="s">
        <v>24</v>
      </c>
      <c r="B35" s="346" t="s">
        <v>288</v>
      </c>
      <c r="C35" s="331" t="s">
        <v>94</v>
      </c>
      <c r="D35" s="322" t="s">
        <v>93</v>
      </c>
      <c r="E35" s="299">
        <f>F35+G35+H35+I35</f>
        <v>2949</v>
      </c>
      <c r="F35" s="299">
        <v>2949</v>
      </c>
      <c r="G35" s="299">
        <v>0</v>
      </c>
      <c r="H35" s="299">
        <v>0</v>
      </c>
      <c r="I35" s="299">
        <v>0</v>
      </c>
      <c r="J35" s="299">
        <f>K35+L35+M35+N35</f>
        <v>2313</v>
      </c>
      <c r="K35" s="299">
        <f>1775+587-49</f>
        <v>2313</v>
      </c>
      <c r="L35" s="299">
        <v>0</v>
      </c>
      <c r="M35" s="299">
        <v>0</v>
      </c>
      <c r="N35" s="299">
        <v>0</v>
      </c>
      <c r="O35" s="334">
        <f xml:space="preserve"> SUM(P35:S35)</f>
        <v>2122</v>
      </c>
      <c r="P35" s="334">
        <f>2362-240</f>
        <v>2122</v>
      </c>
      <c r="Q35" s="299">
        <f>SUM(Q36,Q37,Q38,Q39)</f>
        <v>0</v>
      </c>
      <c r="R35" s="299">
        <f>SUM(R36,R37,R38,R39)</f>
        <v>0</v>
      </c>
      <c r="S35" s="299">
        <f>SUM(S36,S37,S38,S39)</f>
        <v>0</v>
      </c>
      <c r="T35" s="299">
        <f xml:space="preserve"> SUM(U35:X35)</f>
        <v>0</v>
      </c>
      <c r="U35" s="299">
        <v>0</v>
      </c>
      <c r="V35" s="299">
        <f>SUM(V36,V37,V38,V39)</f>
        <v>0</v>
      </c>
      <c r="W35" s="299">
        <f>SUM(W36,W37,W38,W39)</f>
        <v>0</v>
      </c>
      <c r="X35" s="299">
        <f>SUM(X36,X37,X38,X39)</f>
        <v>0</v>
      </c>
      <c r="Y35" s="299">
        <f xml:space="preserve"> SUM(Z35:AC35)</f>
        <v>0</v>
      </c>
      <c r="Z35" s="299">
        <v>0</v>
      </c>
      <c r="AA35" s="299">
        <f>SUM(AA36,AA37,AA38,AA39)</f>
        <v>0</v>
      </c>
      <c r="AB35" s="299">
        <f>SUM(AB36,AB37,AB38,AB39)</f>
        <v>0</v>
      </c>
      <c r="AC35" s="299">
        <f>SUM(AC36,AC37,AC38,AC39)</f>
        <v>0</v>
      </c>
      <c r="AD35" s="299">
        <f>E35+J35+O35+T35+Y35</f>
        <v>7384</v>
      </c>
    </row>
    <row r="36" spans="1:31" ht="139.5">
      <c r="A36" s="323" t="s">
        <v>151</v>
      </c>
      <c r="B36" s="330" t="s">
        <v>76</v>
      </c>
      <c r="C36" s="331" t="s">
        <v>94</v>
      </c>
      <c r="D36" s="322" t="s">
        <v>93</v>
      </c>
      <c r="E36" s="299">
        <f t="shared" ref="E36:E46" si="12">F36+G36+H36+I36</f>
        <v>9</v>
      </c>
      <c r="F36" s="299">
        <v>9</v>
      </c>
      <c r="G36" s="299">
        <v>0</v>
      </c>
      <c r="H36" s="299">
        <v>0</v>
      </c>
      <c r="I36" s="299">
        <v>0</v>
      </c>
      <c r="J36" s="299">
        <f t="shared" ref="J36:J46" si="13">K36+L36+M36+N36</f>
        <v>9</v>
      </c>
      <c r="K36" s="299">
        <v>9</v>
      </c>
      <c r="L36" s="299">
        <v>0</v>
      </c>
      <c r="M36" s="299">
        <v>0</v>
      </c>
      <c r="N36" s="299">
        <v>0</v>
      </c>
      <c r="O36" s="299">
        <f t="shared" ref="O36:O46" si="14">P36+Q36+R36+S36</f>
        <v>9</v>
      </c>
      <c r="P36" s="299">
        <v>9</v>
      </c>
      <c r="Q36" s="299">
        <v>0</v>
      </c>
      <c r="R36" s="299">
        <v>0</v>
      </c>
      <c r="S36" s="299">
        <v>0</v>
      </c>
      <c r="T36" s="299">
        <f t="shared" ref="T36:T46" si="15">U36+V36+W36+X36</f>
        <v>0</v>
      </c>
      <c r="U36" s="299">
        <v>0</v>
      </c>
      <c r="V36" s="299">
        <v>0</v>
      </c>
      <c r="W36" s="299">
        <v>0</v>
      </c>
      <c r="X36" s="299">
        <v>0</v>
      </c>
      <c r="Y36" s="299">
        <f t="shared" ref="Y36:Y46" si="16">Z36+AA36+AB36+AC36</f>
        <v>0</v>
      </c>
      <c r="Z36" s="299">
        <v>0</v>
      </c>
      <c r="AA36" s="299">
        <v>0</v>
      </c>
      <c r="AB36" s="299">
        <v>0</v>
      </c>
      <c r="AC36" s="299">
        <v>0</v>
      </c>
      <c r="AD36" s="299">
        <f t="shared" ref="AD36:AD46" si="17">E36+J36+O36+T36+Y36</f>
        <v>27</v>
      </c>
    </row>
    <row r="37" spans="1:31" ht="37.5">
      <c r="A37" s="323" t="s">
        <v>235</v>
      </c>
      <c r="B37" s="330" t="s">
        <v>71</v>
      </c>
      <c r="C37" s="322" t="s">
        <v>94</v>
      </c>
      <c r="D37" s="322" t="s">
        <v>168</v>
      </c>
      <c r="E37" s="299">
        <f t="shared" si="12"/>
        <v>426</v>
      </c>
      <c r="F37" s="299">
        <v>426</v>
      </c>
      <c r="G37" s="299">
        <v>0</v>
      </c>
      <c r="H37" s="299">
        <v>0</v>
      </c>
      <c r="I37" s="299">
        <v>0</v>
      </c>
      <c r="J37" s="299">
        <f t="shared" si="13"/>
        <v>0</v>
      </c>
      <c r="K37" s="299">
        <v>0</v>
      </c>
      <c r="L37" s="299">
        <v>0</v>
      </c>
      <c r="M37" s="299">
        <v>0</v>
      </c>
      <c r="N37" s="299">
        <v>0</v>
      </c>
      <c r="O37" s="299">
        <f t="shared" si="14"/>
        <v>0</v>
      </c>
      <c r="P37" s="299">
        <v>0</v>
      </c>
      <c r="Q37" s="299">
        <v>0</v>
      </c>
      <c r="R37" s="299">
        <v>0</v>
      </c>
      <c r="S37" s="299">
        <v>0</v>
      </c>
      <c r="T37" s="299">
        <f t="shared" si="15"/>
        <v>0</v>
      </c>
      <c r="U37" s="299">
        <v>0</v>
      </c>
      <c r="V37" s="299">
        <v>0</v>
      </c>
      <c r="W37" s="299">
        <v>0</v>
      </c>
      <c r="X37" s="299">
        <v>0</v>
      </c>
      <c r="Y37" s="299">
        <f t="shared" si="16"/>
        <v>0</v>
      </c>
      <c r="Z37" s="299">
        <v>0</v>
      </c>
      <c r="AA37" s="299">
        <v>0</v>
      </c>
      <c r="AB37" s="299">
        <v>0</v>
      </c>
      <c r="AC37" s="299">
        <v>0</v>
      </c>
      <c r="AD37" s="299">
        <f>E37+J37+O37+T37+Y37</f>
        <v>426</v>
      </c>
    </row>
    <row r="38" spans="1:31" ht="23.25">
      <c r="A38" s="323" t="s">
        <v>236</v>
      </c>
      <c r="B38" s="330" t="s">
        <v>110</v>
      </c>
      <c r="C38" s="685" t="s">
        <v>105</v>
      </c>
      <c r="D38" s="322" t="s">
        <v>93</v>
      </c>
      <c r="E38" s="299">
        <f t="shared" si="12"/>
        <v>3304</v>
      </c>
      <c r="F38" s="299">
        <v>3304</v>
      </c>
      <c r="G38" s="299">
        <v>0</v>
      </c>
      <c r="H38" s="299">
        <v>0</v>
      </c>
      <c r="I38" s="299">
        <v>0</v>
      </c>
      <c r="J38" s="299">
        <f t="shared" si="13"/>
        <v>3080</v>
      </c>
      <c r="K38" s="299">
        <f>3304-224</f>
        <v>3080</v>
      </c>
      <c r="L38" s="299">
        <v>0</v>
      </c>
      <c r="M38" s="299">
        <v>0</v>
      </c>
      <c r="N38" s="299">
        <v>0</v>
      </c>
      <c r="O38" s="299">
        <f t="shared" si="14"/>
        <v>2968</v>
      </c>
      <c r="P38" s="299">
        <v>2968</v>
      </c>
      <c r="Q38" s="299">
        <v>0</v>
      </c>
      <c r="R38" s="299">
        <v>0</v>
      </c>
      <c r="S38" s="299">
        <v>0</v>
      </c>
      <c r="T38" s="299">
        <f t="shared" si="15"/>
        <v>0</v>
      </c>
      <c r="U38" s="299">
        <v>0</v>
      </c>
      <c r="V38" s="299">
        <v>0</v>
      </c>
      <c r="W38" s="299">
        <v>0</v>
      </c>
      <c r="X38" s="299">
        <v>0</v>
      </c>
      <c r="Y38" s="299">
        <f t="shared" si="16"/>
        <v>0</v>
      </c>
      <c r="Z38" s="299">
        <v>0</v>
      </c>
      <c r="AA38" s="299">
        <v>0</v>
      </c>
      <c r="AB38" s="299">
        <v>0</v>
      </c>
      <c r="AC38" s="299">
        <v>0</v>
      </c>
      <c r="AD38" s="299">
        <f>E38+J38+O38+T38+Y38</f>
        <v>9352</v>
      </c>
    </row>
    <row r="39" spans="1:31" ht="93">
      <c r="A39" s="323" t="s">
        <v>237</v>
      </c>
      <c r="B39" s="330" t="s">
        <v>191</v>
      </c>
      <c r="C39" s="686"/>
      <c r="D39" s="322" t="s">
        <v>283</v>
      </c>
      <c r="E39" s="299">
        <f t="shared" si="12"/>
        <v>378</v>
      </c>
      <c r="F39" s="299">
        <v>378</v>
      </c>
      <c r="G39" s="299">
        <v>0</v>
      </c>
      <c r="H39" s="299">
        <v>0</v>
      </c>
      <c r="I39" s="299">
        <v>0</v>
      </c>
      <c r="J39" s="299">
        <f t="shared" si="13"/>
        <v>419</v>
      </c>
      <c r="K39" s="299">
        <f>324+95</f>
        <v>419</v>
      </c>
      <c r="L39" s="299">
        <v>0</v>
      </c>
      <c r="M39" s="299">
        <v>0</v>
      </c>
      <c r="N39" s="299">
        <v>0</v>
      </c>
      <c r="O39" s="299">
        <f t="shared" si="14"/>
        <v>495</v>
      </c>
      <c r="P39" s="299">
        <v>495</v>
      </c>
      <c r="Q39" s="299">
        <v>0</v>
      </c>
      <c r="R39" s="299">
        <v>0</v>
      </c>
      <c r="S39" s="299">
        <v>0</v>
      </c>
      <c r="T39" s="299">
        <f t="shared" si="15"/>
        <v>0</v>
      </c>
      <c r="U39" s="299">
        <v>0</v>
      </c>
      <c r="V39" s="299">
        <v>0</v>
      </c>
      <c r="W39" s="299">
        <v>0</v>
      </c>
      <c r="X39" s="299">
        <v>0</v>
      </c>
      <c r="Y39" s="299">
        <f t="shared" si="16"/>
        <v>0</v>
      </c>
      <c r="Z39" s="299">
        <v>0</v>
      </c>
      <c r="AA39" s="299">
        <v>0</v>
      </c>
      <c r="AB39" s="299">
        <v>0</v>
      </c>
      <c r="AC39" s="299">
        <v>0</v>
      </c>
      <c r="AD39" s="299">
        <f>E39+J39+O39+T39+Y39</f>
        <v>1292</v>
      </c>
    </row>
    <row r="40" spans="1:31" ht="93">
      <c r="A40" s="323" t="s">
        <v>238</v>
      </c>
      <c r="B40" s="330" t="s">
        <v>77</v>
      </c>
      <c r="C40" s="331" t="s">
        <v>94</v>
      </c>
      <c r="D40" s="322" t="s">
        <v>93</v>
      </c>
      <c r="E40" s="299">
        <f t="shared" si="12"/>
        <v>12</v>
      </c>
      <c r="F40" s="299">
        <v>12</v>
      </c>
      <c r="G40" s="299">
        <v>0</v>
      </c>
      <c r="H40" s="299">
        <v>0</v>
      </c>
      <c r="I40" s="299">
        <v>0</v>
      </c>
      <c r="J40" s="299">
        <f t="shared" si="13"/>
        <v>12</v>
      </c>
      <c r="K40" s="299">
        <v>12</v>
      </c>
      <c r="L40" s="299">
        <v>0</v>
      </c>
      <c r="M40" s="299">
        <v>0</v>
      </c>
      <c r="N40" s="299">
        <v>0</v>
      </c>
      <c r="O40" s="299">
        <f t="shared" si="14"/>
        <v>12</v>
      </c>
      <c r="P40" s="299">
        <v>12</v>
      </c>
      <c r="Q40" s="299">
        <v>0</v>
      </c>
      <c r="R40" s="299">
        <v>0</v>
      </c>
      <c r="S40" s="299">
        <v>0</v>
      </c>
      <c r="T40" s="299">
        <f t="shared" si="15"/>
        <v>0</v>
      </c>
      <c r="U40" s="299">
        <v>0</v>
      </c>
      <c r="V40" s="299">
        <v>0</v>
      </c>
      <c r="W40" s="299">
        <v>0</v>
      </c>
      <c r="X40" s="299">
        <v>0</v>
      </c>
      <c r="Y40" s="299">
        <f t="shared" si="16"/>
        <v>0</v>
      </c>
      <c r="Z40" s="299">
        <v>0</v>
      </c>
      <c r="AA40" s="299">
        <v>0</v>
      </c>
      <c r="AB40" s="299">
        <v>0</v>
      </c>
      <c r="AC40" s="299">
        <v>0</v>
      </c>
      <c r="AD40" s="299">
        <f t="shared" si="17"/>
        <v>36</v>
      </c>
    </row>
    <row r="41" spans="1:31" ht="93">
      <c r="A41" s="323" t="s">
        <v>239</v>
      </c>
      <c r="B41" s="330" t="s">
        <v>265</v>
      </c>
      <c r="C41" s="661" t="s">
        <v>105</v>
      </c>
      <c r="D41" s="322" t="s">
        <v>168</v>
      </c>
      <c r="E41" s="299">
        <f t="shared" si="12"/>
        <v>50</v>
      </c>
      <c r="F41" s="299">
        <v>50</v>
      </c>
      <c r="G41" s="299">
        <v>0</v>
      </c>
      <c r="H41" s="299">
        <v>0</v>
      </c>
      <c r="I41" s="299">
        <v>0</v>
      </c>
      <c r="J41" s="299">
        <f t="shared" si="13"/>
        <v>0</v>
      </c>
      <c r="K41" s="299">
        <v>0</v>
      </c>
      <c r="L41" s="299">
        <v>0</v>
      </c>
      <c r="M41" s="299">
        <v>0</v>
      </c>
      <c r="N41" s="299">
        <v>0</v>
      </c>
      <c r="O41" s="299">
        <f t="shared" si="14"/>
        <v>0</v>
      </c>
      <c r="P41" s="299">
        <v>0</v>
      </c>
      <c r="Q41" s="299">
        <v>0</v>
      </c>
      <c r="R41" s="299">
        <v>0</v>
      </c>
      <c r="S41" s="299">
        <v>0</v>
      </c>
      <c r="T41" s="299">
        <f t="shared" si="15"/>
        <v>0</v>
      </c>
      <c r="U41" s="299">
        <v>0</v>
      </c>
      <c r="V41" s="299">
        <v>0</v>
      </c>
      <c r="W41" s="299">
        <v>0</v>
      </c>
      <c r="X41" s="299">
        <v>0</v>
      </c>
      <c r="Y41" s="299">
        <f t="shared" si="16"/>
        <v>0</v>
      </c>
      <c r="Z41" s="299">
        <v>0</v>
      </c>
      <c r="AA41" s="299">
        <v>0</v>
      </c>
      <c r="AB41" s="299">
        <v>0</v>
      </c>
      <c r="AC41" s="299">
        <v>0</v>
      </c>
      <c r="AD41" s="299">
        <f t="shared" si="17"/>
        <v>50</v>
      </c>
    </row>
    <row r="42" spans="1:31" ht="69.75">
      <c r="A42" s="323" t="s">
        <v>240</v>
      </c>
      <c r="B42" s="330" t="s">
        <v>111</v>
      </c>
      <c r="C42" s="662"/>
      <c r="D42" s="322" t="s">
        <v>168</v>
      </c>
      <c r="E42" s="299">
        <f t="shared" si="12"/>
        <v>50</v>
      </c>
      <c r="F42" s="299">
        <v>50</v>
      </c>
      <c r="G42" s="299">
        <v>0</v>
      </c>
      <c r="H42" s="299">
        <v>0</v>
      </c>
      <c r="I42" s="299">
        <v>0</v>
      </c>
      <c r="J42" s="299">
        <f t="shared" si="13"/>
        <v>50</v>
      </c>
      <c r="K42" s="299">
        <v>50</v>
      </c>
      <c r="L42" s="299">
        <v>0</v>
      </c>
      <c r="M42" s="299">
        <v>0</v>
      </c>
      <c r="N42" s="299">
        <v>0</v>
      </c>
      <c r="O42" s="299">
        <f t="shared" si="14"/>
        <v>50</v>
      </c>
      <c r="P42" s="299">
        <v>50</v>
      </c>
      <c r="Q42" s="299">
        <v>0</v>
      </c>
      <c r="R42" s="299">
        <v>0</v>
      </c>
      <c r="S42" s="299">
        <v>0</v>
      </c>
      <c r="T42" s="299">
        <f t="shared" si="15"/>
        <v>0</v>
      </c>
      <c r="U42" s="299">
        <v>0</v>
      </c>
      <c r="V42" s="299">
        <v>0</v>
      </c>
      <c r="W42" s="299">
        <v>0</v>
      </c>
      <c r="X42" s="299">
        <v>0</v>
      </c>
      <c r="Y42" s="299">
        <f t="shared" si="16"/>
        <v>0</v>
      </c>
      <c r="Z42" s="299">
        <v>0</v>
      </c>
      <c r="AA42" s="299">
        <v>0</v>
      </c>
      <c r="AB42" s="299">
        <v>0</v>
      </c>
      <c r="AC42" s="299">
        <v>0</v>
      </c>
      <c r="AD42" s="299">
        <f t="shared" si="17"/>
        <v>150</v>
      </c>
    </row>
    <row r="43" spans="1:31" ht="93">
      <c r="A43" s="323" t="s">
        <v>241</v>
      </c>
      <c r="B43" s="330" t="s">
        <v>112</v>
      </c>
      <c r="C43" s="662"/>
      <c r="D43" s="322" t="s">
        <v>93</v>
      </c>
      <c r="E43" s="299">
        <f t="shared" si="12"/>
        <v>810</v>
      </c>
      <c r="F43" s="299">
        <f>480+330</f>
        <v>810</v>
      </c>
      <c r="G43" s="299">
        <v>0</v>
      </c>
      <c r="H43" s="299">
        <v>0</v>
      </c>
      <c r="I43" s="299">
        <v>0</v>
      </c>
      <c r="J43" s="299">
        <f>K43+L43+M43+N43</f>
        <v>770</v>
      </c>
      <c r="K43" s="299">
        <f>720+50</f>
        <v>770</v>
      </c>
      <c r="L43" s="299">
        <v>0</v>
      </c>
      <c r="M43" s="299">
        <v>0</v>
      </c>
      <c r="N43" s="299">
        <v>0</v>
      </c>
      <c r="O43" s="299">
        <f t="shared" si="14"/>
        <v>720</v>
      </c>
      <c r="P43" s="299">
        <v>720</v>
      </c>
      <c r="Q43" s="299">
        <v>0</v>
      </c>
      <c r="R43" s="299">
        <v>0</v>
      </c>
      <c r="S43" s="299">
        <v>0</v>
      </c>
      <c r="T43" s="299">
        <f t="shared" si="15"/>
        <v>0</v>
      </c>
      <c r="U43" s="299">
        <v>0</v>
      </c>
      <c r="V43" s="299">
        <v>0</v>
      </c>
      <c r="W43" s="299">
        <v>0</v>
      </c>
      <c r="X43" s="299">
        <v>0</v>
      </c>
      <c r="Y43" s="299">
        <f t="shared" si="16"/>
        <v>0</v>
      </c>
      <c r="Z43" s="299">
        <v>0</v>
      </c>
      <c r="AA43" s="299">
        <v>0</v>
      </c>
      <c r="AB43" s="299">
        <v>0</v>
      </c>
      <c r="AC43" s="299">
        <v>0</v>
      </c>
      <c r="AD43" s="299">
        <f>E43+J43+O43+T43+Y43</f>
        <v>2300</v>
      </c>
    </row>
    <row r="44" spans="1:31" ht="116.25">
      <c r="A44" s="348" t="s">
        <v>242</v>
      </c>
      <c r="B44" s="330" t="s">
        <v>113</v>
      </c>
      <c r="C44" s="662"/>
      <c r="D44" s="322" t="s">
        <v>168</v>
      </c>
      <c r="E44" s="299">
        <f t="shared" si="12"/>
        <v>30</v>
      </c>
      <c r="F44" s="299">
        <v>30</v>
      </c>
      <c r="G44" s="299">
        <v>0</v>
      </c>
      <c r="H44" s="299">
        <v>0</v>
      </c>
      <c r="I44" s="299">
        <v>0</v>
      </c>
      <c r="J44" s="299">
        <f t="shared" si="13"/>
        <v>10</v>
      </c>
      <c r="K44" s="299">
        <v>10</v>
      </c>
      <c r="L44" s="299">
        <v>0</v>
      </c>
      <c r="M44" s="299">
        <v>0</v>
      </c>
      <c r="N44" s="299">
        <v>0</v>
      </c>
      <c r="O44" s="299">
        <f t="shared" si="14"/>
        <v>10</v>
      </c>
      <c r="P44" s="299">
        <v>10</v>
      </c>
      <c r="Q44" s="299">
        <v>0</v>
      </c>
      <c r="R44" s="299">
        <v>0</v>
      </c>
      <c r="S44" s="299">
        <v>0</v>
      </c>
      <c r="T44" s="299">
        <f t="shared" si="15"/>
        <v>0</v>
      </c>
      <c r="U44" s="299">
        <v>0</v>
      </c>
      <c r="V44" s="299">
        <v>0</v>
      </c>
      <c r="W44" s="299">
        <v>0</v>
      </c>
      <c r="X44" s="299">
        <v>0</v>
      </c>
      <c r="Y44" s="299">
        <f t="shared" si="16"/>
        <v>0</v>
      </c>
      <c r="Z44" s="299">
        <v>0</v>
      </c>
      <c r="AA44" s="299">
        <v>0</v>
      </c>
      <c r="AB44" s="299">
        <v>0</v>
      </c>
      <c r="AC44" s="299">
        <v>0</v>
      </c>
      <c r="AD44" s="299">
        <f t="shared" si="17"/>
        <v>50</v>
      </c>
    </row>
    <row r="45" spans="1:31" ht="69.75">
      <c r="A45" s="323" t="s">
        <v>243</v>
      </c>
      <c r="B45" s="330" t="s">
        <v>114</v>
      </c>
      <c r="C45" s="663"/>
      <c r="D45" s="322" t="s">
        <v>168</v>
      </c>
      <c r="E45" s="299">
        <f t="shared" si="12"/>
        <v>50</v>
      </c>
      <c r="F45" s="299">
        <v>50</v>
      </c>
      <c r="G45" s="299">
        <v>0</v>
      </c>
      <c r="H45" s="299">
        <v>0</v>
      </c>
      <c r="I45" s="299">
        <v>0</v>
      </c>
      <c r="J45" s="299">
        <f t="shared" si="13"/>
        <v>50</v>
      </c>
      <c r="K45" s="299">
        <v>50</v>
      </c>
      <c r="L45" s="299">
        <v>0</v>
      </c>
      <c r="M45" s="299">
        <v>0</v>
      </c>
      <c r="N45" s="299">
        <v>0</v>
      </c>
      <c r="O45" s="299">
        <f t="shared" si="14"/>
        <v>100</v>
      </c>
      <c r="P45" s="299">
        <v>100</v>
      </c>
      <c r="Q45" s="299">
        <v>0</v>
      </c>
      <c r="R45" s="299">
        <v>0</v>
      </c>
      <c r="S45" s="299">
        <v>0</v>
      </c>
      <c r="T45" s="299">
        <f t="shared" si="15"/>
        <v>0</v>
      </c>
      <c r="U45" s="299">
        <v>0</v>
      </c>
      <c r="V45" s="299">
        <v>0</v>
      </c>
      <c r="W45" s="299">
        <v>0</v>
      </c>
      <c r="X45" s="299">
        <v>0</v>
      </c>
      <c r="Y45" s="299">
        <f t="shared" si="16"/>
        <v>0</v>
      </c>
      <c r="Z45" s="299">
        <v>0</v>
      </c>
      <c r="AA45" s="299">
        <v>0</v>
      </c>
      <c r="AB45" s="299">
        <v>0</v>
      </c>
      <c r="AC45" s="299">
        <v>0</v>
      </c>
      <c r="AD45" s="299">
        <f t="shared" si="17"/>
        <v>200</v>
      </c>
    </row>
    <row r="46" spans="1:31" ht="69.75">
      <c r="A46" s="323" t="s">
        <v>244</v>
      </c>
      <c r="B46" s="330" t="s">
        <v>78</v>
      </c>
      <c r="C46" s="322" t="s">
        <v>18</v>
      </c>
      <c r="D46" s="322" t="s">
        <v>93</v>
      </c>
      <c r="E46" s="299">
        <f t="shared" si="12"/>
        <v>96</v>
      </c>
      <c r="F46" s="299">
        <f>96</f>
        <v>96</v>
      </c>
      <c r="G46" s="299">
        <v>0</v>
      </c>
      <c r="H46" s="299">
        <v>0</v>
      </c>
      <c r="I46" s="299">
        <v>0</v>
      </c>
      <c r="J46" s="299">
        <f t="shared" si="13"/>
        <v>43</v>
      </c>
      <c r="K46" s="299">
        <f>68-25</f>
        <v>43</v>
      </c>
      <c r="L46" s="299">
        <v>0</v>
      </c>
      <c r="M46" s="299">
        <v>0</v>
      </c>
      <c r="N46" s="299">
        <v>0</v>
      </c>
      <c r="O46" s="299">
        <f t="shared" si="14"/>
        <v>53</v>
      </c>
      <c r="P46" s="299">
        <v>53</v>
      </c>
      <c r="Q46" s="299">
        <v>0</v>
      </c>
      <c r="R46" s="299">
        <v>0</v>
      </c>
      <c r="S46" s="299">
        <v>0</v>
      </c>
      <c r="T46" s="299">
        <f t="shared" si="15"/>
        <v>0</v>
      </c>
      <c r="U46" s="299">
        <v>0</v>
      </c>
      <c r="V46" s="299">
        <v>0</v>
      </c>
      <c r="W46" s="299">
        <v>0</v>
      </c>
      <c r="X46" s="299">
        <v>0</v>
      </c>
      <c r="Y46" s="299">
        <f t="shared" si="16"/>
        <v>0</v>
      </c>
      <c r="Z46" s="299">
        <v>0</v>
      </c>
      <c r="AA46" s="299">
        <v>0</v>
      </c>
      <c r="AB46" s="299">
        <v>0</v>
      </c>
      <c r="AC46" s="299">
        <v>0</v>
      </c>
      <c r="AD46" s="299">
        <f t="shared" si="17"/>
        <v>192</v>
      </c>
    </row>
    <row r="47" spans="1:31" ht="93">
      <c r="A47" s="323" t="s">
        <v>245</v>
      </c>
      <c r="B47" s="330" t="s">
        <v>145</v>
      </c>
      <c r="C47" s="322" t="s">
        <v>94</v>
      </c>
      <c r="D47" s="322" t="s">
        <v>93</v>
      </c>
      <c r="E47" s="299">
        <f>F47+G47+H47+I47</f>
        <v>28325</v>
      </c>
      <c r="F47" s="299">
        <f>6567-902</f>
        <v>5665</v>
      </c>
      <c r="G47" s="299">
        <f>26268-3608</f>
        <v>22660</v>
      </c>
      <c r="H47" s="299">
        <v>0</v>
      </c>
      <c r="I47" s="299">
        <v>0</v>
      </c>
      <c r="J47" s="299">
        <f>K47+L47+M47+N47</f>
        <v>4455</v>
      </c>
      <c r="K47" s="299">
        <f>550+341</f>
        <v>891</v>
      </c>
      <c r="L47" s="299">
        <v>3564</v>
      </c>
      <c r="M47" s="299">
        <v>0</v>
      </c>
      <c r="N47" s="299">
        <v>0</v>
      </c>
      <c r="O47" s="299">
        <f>P47+Q47+R47+S47</f>
        <v>550</v>
      </c>
      <c r="P47" s="299">
        <v>550</v>
      </c>
      <c r="Q47" s="299">
        <v>0</v>
      </c>
      <c r="R47" s="299">
        <v>0</v>
      </c>
      <c r="S47" s="299">
        <v>0</v>
      </c>
      <c r="T47" s="299">
        <f>U47+V47+W47+X47</f>
        <v>0</v>
      </c>
      <c r="U47" s="299">
        <v>0</v>
      </c>
      <c r="V47" s="299">
        <v>0</v>
      </c>
      <c r="W47" s="299">
        <v>0</v>
      </c>
      <c r="X47" s="299">
        <v>0</v>
      </c>
      <c r="Y47" s="299">
        <f>Z47+AA47+AB47+AC47</f>
        <v>0</v>
      </c>
      <c r="Z47" s="299">
        <v>0</v>
      </c>
      <c r="AA47" s="299">
        <v>0</v>
      </c>
      <c r="AB47" s="299">
        <v>0</v>
      </c>
      <c r="AC47" s="299">
        <v>0</v>
      </c>
      <c r="AD47" s="299">
        <f t="shared" ref="AD47:AD52" si="18">E47+J47+O47+T47+Y47</f>
        <v>33330</v>
      </c>
      <c r="AE47" s="349"/>
    </row>
    <row r="48" spans="1:31" ht="46.5">
      <c r="A48" s="350" t="s">
        <v>246</v>
      </c>
      <c r="B48" s="351" t="s">
        <v>87</v>
      </c>
      <c r="C48" s="406" t="s">
        <v>52</v>
      </c>
      <c r="D48" s="322" t="s">
        <v>310</v>
      </c>
      <c r="E48" s="299">
        <f>F48+G48+H48+I48</f>
        <v>384.8</v>
      </c>
      <c r="F48" s="299">
        <f>387-2.2</f>
        <v>384.8</v>
      </c>
      <c r="G48" s="299">
        <v>0</v>
      </c>
      <c r="H48" s="299">
        <v>0</v>
      </c>
      <c r="I48" s="299">
        <v>0</v>
      </c>
      <c r="J48" s="299">
        <f>K48+L48+M48+N48</f>
        <v>362.1</v>
      </c>
      <c r="K48" s="299">
        <f>387-24.9</f>
        <v>362.1</v>
      </c>
      <c r="L48" s="299">
        <v>0</v>
      </c>
      <c r="M48" s="299">
        <v>0</v>
      </c>
      <c r="N48" s="299">
        <v>0</v>
      </c>
      <c r="O48" s="299">
        <v>387</v>
      </c>
      <c r="P48" s="299">
        <v>387</v>
      </c>
      <c r="Q48" s="299">
        <v>0</v>
      </c>
      <c r="R48" s="299">
        <v>0</v>
      </c>
      <c r="S48" s="299">
        <v>0</v>
      </c>
      <c r="T48" s="299">
        <f>U48+V48+W48+X48</f>
        <v>0</v>
      </c>
      <c r="U48" s="299">
        <v>0</v>
      </c>
      <c r="V48" s="299">
        <v>0</v>
      </c>
      <c r="W48" s="299">
        <v>0</v>
      </c>
      <c r="X48" s="299">
        <v>0</v>
      </c>
      <c r="Y48" s="299">
        <f>Z48+AA48+AB48+AC48</f>
        <v>0</v>
      </c>
      <c r="Z48" s="299">
        <v>0</v>
      </c>
      <c r="AA48" s="299">
        <v>0</v>
      </c>
      <c r="AB48" s="299">
        <v>0</v>
      </c>
      <c r="AC48" s="299">
        <v>0</v>
      </c>
      <c r="AD48" s="299">
        <f t="shared" si="18"/>
        <v>1133.9000000000001</v>
      </c>
    </row>
    <row r="49" spans="1:32" ht="75">
      <c r="A49" s="350" t="s">
        <v>247</v>
      </c>
      <c r="B49" s="351" t="s">
        <v>132</v>
      </c>
      <c r="C49" s="406" t="s">
        <v>147</v>
      </c>
      <c r="D49" s="325">
        <v>2020</v>
      </c>
      <c r="E49" s="299">
        <f>F49+G49+H49+I49</f>
        <v>1248</v>
      </c>
      <c r="F49" s="299">
        <f>1248</f>
        <v>1248</v>
      </c>
      <c r="G49" s="299">
        <v>0</v>
      </c>
      <c r="H49" s="299">
        <v>0</v>
      </c>
      <c r="I49" s="299">
        <v>0</v>
      </c>
      <c r="J49" s="299">
        <f>K49+L49+M49+N49</f>
        <v>0</v>
      </c>
      <c r="K49" s="299">
        <v>0</v>
      </c>
      <c r="L49" s="299">
        <v>0</v>
      </c>
      <c r="M49" s="299">
        <v>0</v>
      </c>
      <c r="N49" s="299">
        <v>0</v>
      </c>
      <c r="O49" s="299">
        <f>P49+Q49+R49+S49</f>
        <v>0</v>
      </c>
      <c r="P49" s="299">
        <v>0</v>
      </c>
      <c r="Q49" s="299">
        <v>0</v>
      </c>
      <c r="R49" s="299">
        <v>0</v>
      </c>
      <c r="S49" s="299">
        <v>0</v>
      </c>
      <c r="T49" s="299">
        <f>U49+V49+W49+X49</f>
        <v>0</v>
      </c>
      <c r="U49" s="299">
        <v>0</v>
      </c>
      <c r="V49" s="299">
        <v>0</v>
      </c>
      <c r="W49" s="299">
        <v>0</v>
      </c>
      <c r="X49" s="299">
        <v>0</v>
      </c>
      <c r="Y49" s="299">
        <f>Z49+AA49+AB49+AC49</f>
        <v>0</v>
      </c>
      <c r="Z49" s="299">
        <v>0</v>
      </c>
      <c r="AA49" s="299">
        <v>0</v>
      </c>
      <c r="AB49" s="299">
        <v>0</v>
      </c>
      <c r="AC49" s="299">
        <v>0</v>
      </c>
      <c r="AD49" s="299">
        <f t="shared" si="18"/>
        <v>1248</v>
      </c>
    </row>
    <row r="50" spans="1:32" ht="23.25">
      <c r="A50" s="642" t="s">
        <v>25</v>
      </c>
      <c r="B50" s="643"/>
      <c r="C50" s="644"/>
      <c r="D50" s="347"/>
      <c r="E50" s="326">
        <f t="shared" ref="E50:K50" si="19">E51+E52</f>
        <v>38121.800000000003</v>
      </c>
      <c r="F50" s="326">
        <f t="shared" si="19"/>
        <v>15461.8</v>
      </c>
      <c r="G50" s="326">
        <f t="shared" si="19"/>
        <v>22660</v>
      </c>
      <c r="H50" s="326">
        <f t="shared" si="19"/>
        <v>0</v>
      </c>
      <c r="I50" s="326">
        <f t="shared" si="19"/>
        <v>0</v>
      </c>
      <c r="J50" s="326">
        <f>J52+J51</f>
        <v>11573.1</v>
      </c>
      <c r="K50" s="326">
        <f t="shared" si="19"/>
        <v>8009.1</v>
      </c>
      <c r="L50" s="326">
        <f>SUM(L35,L36:L48)</f>
        <v>3564</v>
      </c>
      <c r="M50" s="326">
        <f>SUM(M35,M36:M48)</f>
        <v>0</v>
      </c>
      <c r="N50" s="326">
        <f>SUM(N35,N36:N48)</f>
        <v>0</v>
      </c>
      <c r="O50" s="326">
        <f>O51+O52</f>
        <v>7476</v>
      </c>
      <c r="P50" s="326">
        <f>P51+P52</f>
        <v>7476</v>
      </c>
      <c r="Q50" s="326">
        <f>SUM(Q35,Q36:Q48)</f>
        <v>0</v>
      </c>
      <c r="R50" s="326">
        <f>SUM(R35,R36:R48)</f>
        <v>0</v>
      </c>
      <c r="S50" s="326">
        <f>SUM(S35,S36:S48)</f>
        <v>0</v>
      </c>
      <c r="T50" s="326">
        <f>T51+T52</f>
        <v>0</v>
      </c>
      <c r="U50" s="326">
        <f>U51+U52</f>
        <v>0</v>
      </c>
      <c r="V50" s="326">
        <f>SUM(V35,V36:V48)</f>
        <v>0</v>
      </c>
      <c r="W50" s="326">
        <f>SUM(W35,W36:W48)</f>
        <v>0</v>
      </c>
      <c r="X50" s="326">
        <f>SUM(X35,X36:X48)</f>
        <v>0</v>
      </c>
      <c r="Y50" s="326">
        <f>Y51+Y52</f>
        <v>0</v>
      </c>
      <c r="Z50" s="326">
        <f>Z51+Z52</f>
        <v>0</v>
      </c>
      <c r="AA50" s="326">
        <f>SUM(AA35,AA36:AA48)</f>
        <v>0</v>
      </c>
      <c r="AB50" s="326">
        <f>SUM(AB35,AB36:AB48)</f>
        <v>0</v>
      </c>
      <c r="AC50" s="326">
        <f>SUM(AC35,AC36:AC48)</f>
        <v>0</v>
      </c>
      <c r="AD50" s="326">
        <f t="shared" si="18"/>
        <v>57170.9</v>
      </c>
    </row>
    <row r="51" spans="1:32" ht="23.25">
      <c r="A51" s="338" t="s">
        <v>73</v>
      </c>
      <c r="B51" s="338"/>
      <c r="C51" s="398"/>
      <c r="D51" s="400"/>
      <c r="E51" s="353">
        <f t="shared" ref="E51:AC51" si="20">E48</f>
        <v>384.8</v>
      </c>
      <c r="F51" s="353">
        <f t="shared" si="20"/>
        <v>384.8</v>
      </c>
      <c r="G51" s="353">
        <v>0</v>
      </c>
      <c r="H51" s="353">
        <f t="shared" si="20"/>
        <v>0</v>
      </c>
      <c r="I51" s="353">
        <f t="shared" si="20"/>
        <v>0</v>
      </c>
      <c r="J51" s="353">
        <f t="shared" si="20"/>
        <v>362.1</v>
      </c>
      <c r="K51" s="353">
        <f t="shared" si="20"/>
        <v>362.1</v>
      </c>
      <c r="L51" s="353">
        <f t="shared" si="20"/>
        <v>0</v>
      </c>
      <c r="M51" s="353">
        <f t="shared" si="20"/>
        <v>0</v>
      </c>
      <c r="N51" s="353">
        <f t="shared" si="20"/>
        <v>0</v>
      </c>
      <c r="O51" s="353">
        <f t="shared" si="20"/>
        <v>387</v>
      </c>
      <c r="P51" s="353">
        <f t="shared" si="20"/>
        <v>387</v>
      </c>
      <c r="Q51" s="353">
        <f t="shared" si="20"/>
        <v>0</v>
      </c>
      <c r="R51" s="353">
        <f t="shared" si="20"/>
        <v>0</v>
      </c>
      <c r="S51" s="353">
        <f t="shared" si="20"/>
        <v>0</v>
      </c>
      <c r="T51" s="353">
        <f t="shared" si="20"/>
        <v>0</v>
      </c>
      <c r="U51" s="353">
        <f t="shared" si="20"/>
        <v>0</v>
      </c>
      <c r="V51" s="353">
        <f t="shared" si="20"/>
        <v>0</v>
      </c>
      <c r="W51" s="353">
        <f t="shared" si="20"/>
        <v>0</v>
      </c>
      <c r="X51" s="353">
        <f t="shared" si="20"/>
        <v>0</v>
      </c>
      <c r="Y51" s="353">
        <f t="shared" si="20"/>
        <v>0</v>
      </c>
      <c r="Z51" s="353">
        <f t="shared" si="20"/>
        <v>0</v>
      </c>
      <c r="AA51" s="353">
        <f t="shared" si="20"/>
        <v>0</v>
      </c>
      <c r="AB51" s="353">
        <f t="shared" si="20"/>
        <v>0</v>
      </c>
      <c r="AC51" s="353">
        <f t="shared" si="20"/>
        <v>0</v>
      </c>
      <c r="AD51" s="354">
        <f t="shared" si="18"/>
        <v>1133.9000000000001</v>
      </c>
    </row>
    <row r="52" spans="1:32" ht="23.25">
      <c r="A52" s="338" t="s">
        <v>135</v>
      </c>
      <c r="B52" s="338"/>
      <c r="C52" s="398"/>
      <c r="D52" s="400"/>
      <c r="E52" s="299">
        <f>E35+E36+E37+E38+E39+E40+E41+E42+E43+E44+E45+E46+E47+E49</f>
        <v>37737</v>
      </c>
      <c r="F52" s="299">
        <f>F35+F36+F37+F38+F39+F40+F41+F42+F43+F44+F45+F46+F47+F49</f>
        <v>15077</v>
      </c>
      <c r="G52" s="299">
        <v>22660</v>
      </c>
      <c r="H52" s="299">
        <f>0</f>
        <v>0</v>
      </c>
      <c r="I52" s="299">
        <v>0</v>
      </c>
      <c r="J52" s="299">
        <f>J35+J36+J37+J38+J39+J40+J41+J42+J43+J44+J45+J46+J47+J49</f>
        <v>11211</v>
      </c>
      <c r="K52" s="299">
        <f>K35+K36+K37+K38+K39+K40+K41+K42+K43+K44+K45+K46+K47+K49</f>
        <v>7647</v>
      </c>
      <c r="L52" s="299">
        <v>0</v>
      </c>
      <c r="M52" s="299">
        <v>0</v>
      </c>
      <c r="N52" s="299">
        <v>0</v>
      </c>
      <c r="O52" s="299">
        <f>O35+O36+O37+O38+O39+O40+O42+O41+O43+O44+O45+O46+O47+O49</f>
        <v>7089</v>
      </c>
      <c r="P52" s="299">
        <f>P35+P36+P37+P38+P39+P40+P41+P42+P43+P44+P45+P46+P47+P49</f>
        <v>7089</v>
      </c>
      <c r="Q52" s="299">
        <v>0</v>
      </c>
      <c r="R52" s="299">
        <v>0</v>
      </c>
      <c r="S52" s="299">
        <v>0</v>
      </c>
      <c r="T52" s="299">
        <f>T35+T36+T37+T38+T39+T40+T41+T42+T43+T44+T45+T46+T47+T49</f>
        <v>0</v>
      </c>
      <c r="U52" s="299">
        <f>U35+U36+U37+U38+U39+U40+U41+U42+U43+U44+U45+U46+U47+U49</f>
        <v>0</v>
      </c>
      <c r="V52" s="299">
        <v>0</v>
      </c>
      <c r="W52" s="299">
        <v>0</v>
      </c>
      <c r="X52" s="299">
        <v>0</v>
      </c>
      <c r="Y52" s="299">
        <f>Y35+Y36+Y37+Y38+Y39+Y40+Y41+Y42+Y43+Y44+Y45+Y46+Y47+Y49</f>
        <v>0</v>
      </c>
      <c r="Z52" s="299">
        <f>Z35+Z36+Z37+Z38+Z39+Z40+Z41+Z42+Z43+Z44+Z45+Z46+Z47+Z49</f>
        <v>0</v>
      </c>
      <c r="AA52" s="299">
        <v>0</v>
      </c>
      <c r="AB52" s="299">
        <v>0</v>
      </c>
      <c r="AC52" s="299">
        <v>0</v>
      </c>
      <c r="AD52" s="299">
        <f t="shared" si="18"/>
        <v>56037</v>
      </c>
    </row>
    <row r="53" spans="1:32" ht="23.25" customHeight="1">
      <c r="A53" s="322" t="s">
        <v>223</v>
      </c>
      <c r="B53" s="639" t="s">
        <v>248</v>
      </c>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1"/>
    </row>
    <row r="54" spans="1:32" ht="63" customHeight="1">
      <c r="A54" s="323" t="s">
        <v>27</v>
      </c>
      <c r="B54" s="330" t="s">
        <v>120</v>
      </c>
      <c r="C54" s="322" t="s">
        <v>94</v>
      </c>
      <c r="D54" s="322" t="s">
        <v>93</v>
      </c>
      <c r="E54" s="299">
        <f>F54+G54+H54+I54</f>
        <v>700</v>
      </c>
      <c r="F54" s="299">
        <f>700</f>
        <v>700</v>
      </c>
      <c r="G54" s="299">
        <v>0</v>
      </c>
      <c r="H54" s="299">
        <v>0</v>
      </c>
      <c r="I54" s="299">
        <v>0</v>
      </c>
      <c r="J54" s="299">
        <f>K54+L54+M54+N54</f>
        <v>498</v>
      </c>
      <c r="K54" s="299">
        <f>600-102</f>
        <v>498</v>
      </c>
      <c r="L54" s="299">
        <v>0</v>
      </c>
      <c r="M54" s="299">
        <v>0</v>
      </c>
      <c r="N54" s="299">
        <v>0</v>
      </c>
      <c r="O54" s="334">
        <f>P54+Q54+R54+S54</f>
        <v>554</v>
      </c>
      <c r="P54" s="334">
        <f>600-46</f>
        <v>554</v>
      </c>
      <c r="Q54" s="299">
        <v>0</v>
      </c>
      <c r="R54" s="299">
        <v>0</v>
      </c>
      <c r="S54" s="299">
        <v>0</v>
      </c>
      <c r="T54" s="299">
        <f>U54+V54+W54+X54</f>
        <v>0</v>
      </c>
      <c r="U54" s="299">
        <v>0</v>
      </c>
      <c r="V54" s="299">
        <v>0</v>
      </c>
      <c r="W54" s="299">
        <v>0</v>
      </c>
      <c r="X54" s="299">
        <v>0</v>
      </c>
      <c r="Y54" s="299">
        <f>Z54+AA54+AB54+AC54</f>
        <v>0</v>
      </c>
      <c r="Z54" s="299">
        <v>0</v>
      </c>
      <c r="AA54" s="299">
        <v>0</v>
      </c>
      <c r="AB54" s="299">
        <v>0</v>
      </c>
      <c r="AC54" s="299">
        <v>0</v>
      </c>
      <c r="AD54" s="299">
        <f>E54+J54+O54+T54+Y54</f>
        <v>1752</v>
      </c>
    </row>
    <row r="55" spans="1:32" ht="23.25">
      <c r="A55" s="642" t="s">
        <v>44</v>
      </c>
      <c r="B55" s="643"/>
      <c r="C55" s="644"/>
      <c r="D55" s="347"/>
      <c r="E55" s="326">
        <f t="shared" ref="E55:AD55" si="21">SUM(E54:E54)</f>
        <v>700</v>
      </c>
      <c r="F55" s="326">
        <f>SUM(F54)</f>
        <v>700</v>
      </c>
      <c r="G55" s="326">
        <f t="shared" si="21"/>
        <v>0</v>
      </c>
      <c r="H55" s="326">
        <f t="shared" si="21"/>
        <v>0</v>
      </c>
      <c r="I55" s="326">
        <f t="shared" si="21"/>
        <v>0</v>
      </c>
      <c r="J55" s="326">
        <f>J54</f>
        <v>498</v>
      </c>
      <c r="K55" s="326">
        <f t="shared" si="21"/>
        <v>498</v>
      </c>
      <c r="L55" s="326">
        <f t="shared" si="21"/>
        <v>0</v>
      </c>
      <c r="M55" s="326">
        <f t="shared" si="21"/>
        <v>0</v>
      </c>
      <c r="N55" s="326">
        <f t="shared" si="21"/>
        <v>0</v>
      </c>
      <c r="O55" s="337">
        <f t="shared" si="21"/>
        <v>554</v>
      </c>
      <c r="P55" s="337">
        <f t="shared" si="21"/>
        <v>554</v>
      </c>
      <c r="Q55" s="326">
        <f t="shared" si="21"/>
        <v>0</v>
      </c>
      <c r="R55" s="326">
        <f t="shared" si="21"/>
        <v>0</v>
      </c>
      <c r="S55" s="326">
        <f t="shared" si="21"/>
        <v>0</v>
      </c>
      <c r="T55" s="326">
        <f t="shared" si="21"/>
        <v>0</v>
      </c>
      <c r="U55" s="326">
        <f t="shared" si="21"/>
        <v>0</v>
      </c>
      <c r="V55" s="326">
        <f t="shared" si="21"/>
        <v>0</v>
      </c>
      <c r="W55" s="326">
        <f t="shared" si="21"/>
        <v>0</v>
      </c>
      <c r="X55" s="326">
        <f t="shared" si="21"/>
        <v>0</v>
      </c>
      <c r="Y55" s="326">
        <f t="shared" si="21"/>
        <v>0</v>
      </c>
      <c r="Z55" s="326">
        <f t="shared" si="21"/>
        <v>0</v>
      </c>
      <c r="AA55" s="326">
        <f t="shared" si="21"/>
        <v>0</v>
      </c>
      <c r="AB55" s="326">
        <f t="shared" si="21"/>
        <v>0</v>
      </c>
      <c r="AC55" s="326">
        <f t="shared" si="21"/>
        <v>0</v>
      </c>
      <c r="AD55" s="326">
        <f t="shared" si="21"/>
        <v>1752</v>
      </c>
    </row>
    <row r="56" spans="1:32" ht="23.25" customHeight="1">
      <c r="A56" s="322" t="s">
        <v>249</v>
      </c>
      <c r="B56" s="639" t="s">
        <v>250</v>
      </c>
      <c r="C56" s="640"/>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1"/>
    </row>
    <row r="57" spans="1:32" ht="111" customHeight="1">
      <c r="A57" s="648" t="s">
        <v>46</v>
      </c>
      <c r="B57" s="650" t="s">
        <v>291</v>
      </c>
      <c r="C57" s="322" t="s">
        <v>285</v>
      </c>
      <c r="D57" s="355">
        <v>2020</v>
      </c>
      <c r="E57" s="299">
        <f>F57+G57+H57+I57</f>
        <v>1449</v>
      </c>
      <c r="F57" s="299">
        <f>1656-207</f>
        <v>1449</v>
      </c>
      <c r="G57" s="299">
        <v>0</v>
      </c>
      <c r="H57" s="299">
        <v>0</v>
      </c>
      <c r="I57" s="299">
        <v>0</v>
      </c>
      <c r="J57" s="299">
        <f>K57+L57+M57+N57</f>
        <v>0</v>
      </c>
      <c r="K57" s="299">
        <v>0</v>
      </c>
      <c r="L57" s="299">
        <v>0</v>
      </c>
      <c r="M57" s="299">
        <v>0</v>
      </c>
      <c r="N57" s="299">
        <v>0</v>
      </c>
      <c r="O57" s="299">
        <f>P57+Q57+R57+S57</f>
        <v>0</v>
      </c>
      <c r="P57" s="299">
        <v>0</v>
      </c>
      <c r="Q57" s="299">
        <v>0</v>
      </c>
      <c r="R57" s="299">
        <v>0</v>
      </c>
      <c r="S57" s="299">
        <v>0</v>
      </c>
      <c r="T57" s="299">
        <f t="shared" ref="T57:T59" si="22">U57+V57+W57+X57</f>
        <v>0</v>
      </c>
      <c r="U57" s="299">
        <v>0</v>
      </c>
      <c r="V57" s="299">
        <v>0</v>
      </c>
      <c r="W57" s="299">
        <v>0</v>
      </c>
      <c r="X57" s="299">
        <v>0</v>
      </c>
      <c r="Y57" s="299">
        <f>Z57+AA57+AB57+AC57</f>
        <v>0</v>
      </c>
      <c r="Z57" s="299">
        <v>0</v>
      </c>
      <c r="AA57" s="299">
        <v>0</v>
      </c>
      <c r="AB57" s="299">
        <v>0</v>
      </c>
      <c r="AC57" s="299">
        <v>0</v>
      </c>
      <c r="AD57" s="299">
        <f>E57+I57+O57+T57+0</f>
        <v>1449</v>
      </c>
    </row>
    <row r="58" spans="1:32" ht="76.5" customHeight="1">
      <c r="A58" s="649"/>
      <c r="B58" s="651"/>
      <c r="C58" s="322" t="s">
        <v>286</v>
      </c>
      <c r="D58" s="355" t="s">
        <v>284</v>
      </c>
      <c r="E58" s="299">
        <f>F58+G58+H58+I58</f>
        <v>0</v>
      </c>
      <c r="F58" s="299">
        <v>0</v>
      </c>
      <c r="G58" s="299">
        <v>0</v>
      </c>
      <c r="H58" s="299">
        <v>0</v>
      </c>
      <c r="I58" s="299">
        <v>0</v>
      </c>
      <c r="J58" s="299">
        <f>K58+L58+M58+N58</f>
        <v>850</v>
      </c>
      <c r="K58" s="299">
        <f>1437-237-350</f>
        <v>850</v>
      </c>
      <c r="L58" s="299">
        <v>0</v>
      </c>
      <c r="M58" s="299">
        <v>0</v>
      </c>
      <c r="N58" s="299">
        <v>0</v>
      </c>
      <c r="O58" s="334">
        <f>P58+Q58+R58+S58</f>
        <v>1262</v>
      </c>
      <c r="P58" s="334">
        <f>1437-175</f>
        <v>1262</v>
      </c>
      <c r="Q58" s="299">
        <v>0</v>
      </c>
      <c r="R58" s="299">
        <v>0</v>
      </c>
      <c r="S58" s="299">
        <v>0</v>
      </c>
      <c r="T58" s="299">
        <f t="shared" si="22"/>
        <v>1437</v>
      </c>
      <c r="U58" s="299">
        <v>1437</v>
      </c>
      <c r="V58" s="299">
        <v>0</v>
      </c>
      <c r="W58" s="299">
        <v>0</v>
      </c>
      <c r="X58" s="299">
        <v>0</v>
      </c>
      <c r="Y58" s="299">
        <f>Z58+AA58+AB58+AC58</f>
        <v>1437</v>
      </c>
      <c r="Z58" s="299">
        <v>1437</v>
      </c>
      <c r="AA58" s="299">
        <v>0</v>
      </c>
      <c r="AB58" s="299">
        <v>0</v>
      </c>
      <c r="AC58" s="299">
        <v>0</v>
      </c>
      <c r="AD58" s="299">
        <f>E58+J58+O58+T58+Y58</f>
        <v>4986</v>
      </c>
    </row>
    <row r="59" spans="1:32" ht="69.75">
      <c r="A59" s="323" t="s">
        <v>251</v>
      </c>
      <c r="B59" s="330" t="s">
        <v>292</v>
      </c>
      <c r="C59" s="322" t="s">
        <v>52</v>
      </c>
      <c r="D59" s="322" t="s">
        <v>93</v>
      </c>
      <c r="E59" s="299">
        <f>F59+G59+H59+I59</f>
        <v>55</v>
      </c>
      <c r="F59" s="299">
        <f>86-31</f>
        <v>55</v>
      </c>
      <c r="G59" s="299">
        <v>0</v>
      </c>
      <c r="H59" s="299">
        <v>0</v>
      </c>
      <c r="I59" s="299">
        <v>0</v>
      </c>
      <c r="J59" s="299">
        <f>K59+L59+M59+N59</f>
        <v>60.5</v>
      </c>
      <c r="K59" s="299">
        <f>70-9.5</f>
        <v>60.5</v>
      </c>
      <c r="L59" s="299">
        <v>0</v>
      </c>
      <c r="M59" s="299">
        <v>0</v>
      </c>
      <c r="N59" s="299">
        <v>0</v>
      </c>
      <c r="O59" s="334">
        <f>P59+Q59+R59+S59</f>
        <v>134.19999999999999</v>
      </c>
      <c r="P59" s="334">
        <f>153-18.8</f>
        <v>134.19999999999999</v>
      </c>
      <c r="Q59" s="299">
        <v>0</v>
      </c>
      <c r="R59" s="299">
        <v>0</v>
      </c>
      <c r="S59" s="299">
        <v>0</v>
      </c>
      <c r="T59" s="299">
        <f t="shared" si="22"/>
        <v>153</v>
      </c>
      <c r="U59" s="299">
        <v>153</v>
      </c>
      <c r="V59" s="299">
        <v>0</v>
      </c>
      <c r="W59" s="299">
        <v>0</v>
      </c>
      <c r="X59" s="299">
        <v>0</v>
      </c>
      <c r="Y59" s="299">
        <f>Z59+AA59+AB59+AC59</f>
        <v>153</v>
      </c>
      <c r="Z59" s="299">
        <v>153</v>
      </c>
      <c r="AA59" s="299">
        <v>0</v>
      </c>
      <c r="AB59" s="299">
        <v>0</v>
      </c>
      <c r="AC59" s="299">
        <v>0</v>
      </c>
      <c r="AD59" s="299">
        <f>E59+J59+O59+T59+Y59</f>
        <v>555.70000000000005</v>
      </c>
    </row>
    <row r="60" spans="1:32" ht="23.25">
      <c r="A60" s="338" t="s">
        <v>73</v>
      </c>
      <c r="B60" s="338"/>
      <c r="C60" s="398"/>
      <c r="D60" s="347"/>
      <c r="E60" s="299">
        <f>E59</f>
        <v>55</v>
      </c>
      <c r="F60" s="299">
        <f>F59</f>
        <v>55</v>
      </c>
      <c r="G60" s="299">
        <v>0</v>
      </c>
      <c r="H60" s="299">
        <v>0</v>
      </c>
      <c r="I60" s="299">
        <v>0</v>
      </c>
      <c r="J60" s="299">
        <f>K60+L60+M60+N60</f>
        <v>910.5</v>
      </c>
      <c r="K60" s="299">
        <f>K58+K59</f>
        <v>910.5</v>
      </c>
      <c r="L60" s="299">
        <v>0</v>
      </c>
      <c r="M60" s="299">
        <v>0</v>
      </c>
      <c r="N60" s="299">
        <v>0</v>
      </c>
      <c r="O60" s="299">
        <f>P60+Q60+R60+S60</f>
        <v>1396.2</v>
      </c>
      <c r="P60" s="299">
        <f>P58+P59</f>
        <v>1396.2</v>
      </c>
      <c r="Q60" s="299">
        <v>0</v>
      </c>
      <c r="R60" s="299">
        <v>0</v>
      </c>
      <c r="S60" s="299">
        <v>0</v>
      </c>
      <c r="T60" s="299">
        <f>T58+T59</f>
        <v>1590</v>
      </c>
      <c r="U60" s="299">
        <f>U58+U59</f>
        <v>1590</v>
      </c>
      <c r="V60" s="299">
        <v>0</v>
      </c>
      <c r="W60" s="299">
        <v>0</v>
      </c>
      <c r="X60" s="299">
        <v>0</v>
      </c>
      <c r="Y60" s="299">
        <f>Y58+Y59</f>
        <v>1590</v>
      </c>
      <c r="Z60" s="299">
        <f>Z58+Z59</f>
        <v>1590</v>
      </c>
      <c r="AA60" s="299">
        <v>0</v>
      </c>
      <c r="AB60" s="299">
        <v>0</v>
      </c>
      <c r="AC60" s="299">
        <v>0</v>
      </c>
      <c r="AD60" s="299">
        <f>AD58+AD59</f>
        <v>5541.7</v>
      </c>
    </row>
    <row r="61" spans="1:32" ht="23.25">
      <c r="A61" s="338" t="s">
        <v>135</v>
      </c>
      <c r="B61" s="338"/>
      <c r="C61" s="398"/>
      <c r="D61" s="347"/>
      <c r="E61" s="299">
        <f>F61+G61+H61+I61</f>
        <v>1449</v>
      </c>
      <c r="F61" s="299">
        <f>F57</f>
        <v>1449</v>
      </c>
      <c r="G61" s="299">
        <v>0</v>
      </c>
      <c r="H61" s="299">
        <v>0</v>
      </c>
      <c r="I61" s="299">
        <v>0</v>
      </c>
      <c r="J61" s="299">
        <v>0</v>
      </c>
      <c r="K61" s="299">
        <v>0</v>
      </c>
      <c r="L61" s="299">
        <v>0</v>
      </c>
      <c r="M61" s="299">
        <v>0</v>
      </c>
      <c r="N61" s="299">
        <v>0</v>
      </c>
      <c r="O61" s="299">
        <v>0</v>
      </c>
      <c r="P61" s="299">
        <v>0</v>
      </c>
      <c r="Q61" s="299">
        <v>0</v>
      </c>
      <c r="R61" s="299">
        <v>0</v>
      </c>
      <c r="S61" s="299">
        <v>0</v>
      </c>
      <c r="T61" s="299">
        <v>0</v>
      </c>
      <c r="U61" s="299">
        <v>0</v>
      </c>
      <c r="V61" s="299">
        <v>0</v>
      </c>
      <c r="W61" s="299">
        <v>0</v>
      </c>
      <c r="X61" s="299">
        <v>0</v>
      </c>
      <c r="Y61" s="299">
        <v>0</v>
      </c>
      <c r="Z61" s="299">
        <v>0</v>
      </c>
      <c r="AA61" s="299">
        <v>0</v>
      </c>
      <c r="AB61" s="299">
        <v>0</v>
      </c>
      <c r="AC61" s="299">
        <v>0</v>
      </c>
      <c r="AD61" s="299">
        <f>AD57</f>
        <v>1449</v>
      </c>
    </row>
    <row r="62" spans="1:32" s="349" customFormat="1" ht="22.5">
      <c r="A62" s="356"/>
      <c r="B62" s="356" t="s">
        <v>303</v>
      </c>
      <c r="C62" s="357"/>
      <c r="D62" s="358"/>
      <c r="E62" s="326">
        <f>F62+G62+H62+I62</f>
        <v>1504</v>
      </c>
      <c r="F62" s="326">
        <f>F60+F61</f>
        <v>1504</v>
      </c>
      <c r="G62" s="326">
        <v>0</v>
      </c>
      <c r="H62" s="326">
        <v>0</v>
      </c>
      <c r="I62" s="326">
        <v>0</v>
      </c>
      <c r="J62" s="326">
        <f>K62+L62+M62+N62</f>
        <v>910.5</v>
      </c>
      <c r="K62" s="326">
        <f>K60+K61</f>
        <v>910.5</v>
      </c>
      <c r="L62" s="326">
        <v>0</v>
      </c>
      <c r="M62" s="326">
        <v>0</v>
      </c>
      <c r="N62" s="326">
        <v>0</v>
      </c>
      <c r="O62" s="326">
        <f>P62+Q62+R62+S62</f>
        <v>1396.2</v>
      </c>
      <c r="P62" s="326">
        <f>P60+P61</f>
        <v>1396.2</v>
      </c>
      <c r="Q62" s="326">
        <v>0</v>
      </c>
      <c r="R62" s="326">
        <v>0</v>
      </c>
      <c r="S62" s="326">
        <v>0</v>
      </c>
      <c r="T62" s="326">
        <f>U62+V62+W62+X62</f>
        <v>1590</v>
      </c>
      <c r="U62" s="326">
        <f>U60+U61</f>
        <v>1590</v>
      </c>
      <c r="V62" s="326">
        <v>0</v>
      </c>
      <c r="W62" s="326">
        <v>0</v>
      </c>
      <c r="X62" s="326">
        <v>0</v>
      </c>
      <c r="Y62" s="326">
        <f>Z62+AA62+AB62+AC62</f>
        <v>1590</v>
      </c>
      <c r="Z62" s="326">
        <f>Z60+Z61</f>
        <v>1590</v>
      </c>
      <c r="AA62" s="326">
        <v>0</v>
      </c>
      <c r="AB62" s="326">
        <v>0</v>
      </c>
      <c r="AC62" s="326">
        <v>0</v>
      </c>
      <c r="AD62" s="326">
        <f>E62+J62+O62+T62+Y62</f>
        <v>6990.7</v>
      </c>
    </row>
    <row r="63" spans="1:32" ht="23.25">
      <c r="A63" s="322" t="s">
        <v>224</v>
      </c>
      <c r="B63" s="639" t="s">
        <v>278</v>
      </c>
      <c r="C63" s="640"/>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1"/>
    </row>
    <row r="64" spans="1:32" ht="87.75" customHeight="1">
      <c r="A64" s="323" t="s">
        <v>48</v>
      </c>
      <c r="B64" s="333" t="s">
        <v>108</v>
      </c>
      <c r="C64" s="322" t="s">
        <v>94</v>
      </c>
      <c r="D64" s="322" t="s">
        <v>93</v>
      </c>
      <c r="E64" s="299">
        <f>F64+G64+H64+I64</f>
        <v>766</v>
      </c>
      <c r="F64" s="299">
        <f>409+357</f>
        <v>766</v>
      </c>
      <c r="G64" s="299">
        <v>0</v>
      </c>
      <c r="H64" s="299">
        <v>0</v>
      </c>
      <c r="I64" s="299">
        <v>0</v>
      </c>
      <c r="J64" s="299">
        <f>K64+L64+M64+N64</f>
        <v>628</v>
      </c>
      <c r="K64" s="299">
        <f>655-27</f>
        <v>628</v>
      </c>
      <c r="L64" s="299">
        <v>0</v>
      </c>
      <c r="M64" s="299">
        <v>0</v>
      </c>
      <c r="N64" s="299">
        <v>0</v>
      </c>
      <c r="O64" s="299">
        <f>P64+Q64+R64+S64</f>
        <v>509.8</v>
      </c>
      <c r="P64" s="299">
        <f>533-23.2</f>
        <v>509.8</v>
      </c>
      <c r="Q64" s="299">
        <v>0</v>
      </c>
      <c r="R64" s="299">
        <v>0</v>
      </c>
      <c r="S64" s="299">
        <v>0</v>
      </c>
      <c r="T64" s="299">
        <v>0</v>
      </c>
      <c r="U64" s="299">
        <v>0</v>
      </c>
      <c r="V64" s="299">
        <v>0</v>
      </c>
      <c r="W64" s="299">
        <v>0</v>
      </c>
      <c r="X64" s="299">
        <v>0</v>
      </c>
      <c r="Y64" s="299">
        <f>Z64+AA64+AB64+AC64</f>
        <v>0</v>
      </c>
      <c r="Z64" s="299">
        <v>0</v>
      </c>
      <c r="AA64" s="299">
        <v>0</v>
      </c>
      <c r="AB64" s="299">
        <v>0</v>
      </c>
      <c r="AC64" s="299">
        <v>0</v>
      </c>
      <c r="AD64" s="299">
        <f>E64+J64+O64+T64+Y64</f>
        <v>1903.8</v>
      </c>
      <c r="AF64" s="316" t="s">
        <v>131</v>
      </c>
    </row>
    <row r="65" spans="1:30">
      <c r="A65" s="652" t="s">
        <v>49</v>
      </c>
      <c r="B65" s="653"/>
      <c r="C65" s="654"/>
      <c r="D65" s="347"/>
      <c r="E65" s="326">
        <f t="shared" ref="E65:AD65" si="23">SUM(E64:E64)</f>
        <v>766</v>
      </c>
      <c r="F65" s="326">
        <f>SUM(F64)</f>
        <v>766</v>
      </c>
      <c r="G65" s="326">
        <f t="shared" si="23"/>
        <v>0</v>
      </c>
      <c r="H65" s="326">
        <f t="shared" si="23"/>
        <v>0</v>
      </c>
      <c r="I65" s="326">
        <f t="shared" si="23"/>
        <v>0</v>
      </c>
      <c r="J65" s="326">
        <f>J64</f>
        <v>628</v>
      </c>
      <c r="K65" s="326">
        <f t="shared" si="23"/>
        <v>628</v>
      </c>
      <c r="L65" s="326">
        <f t="shared" si="23"/>
        <v>0</v>
      </c>
      <c r="M65" s="326">
        <f t="shared" si="23"/>
        <v>0</v>
      </c>
      <c r="N65" s="326">
        <f t="shared" si="23"/>
        <v>0</v>
      </c>
      <c r="O65" s="326">
        <f t="shared" si="23"/>
        <v>509.8</v>
      </c>
      <c r="P65" s="326">
        <f t="shared" si="23"/>
        <v>509.8</v>
      </c>
      <c r="Q65" s="326">
        <f t="shared" si="23"/>
        <v>0</v>
      </c>
      <c r="R65" s="326">
        <f t="shared" si="23"/>
        <v>0</v>
      </c>
      <c r="S65" s="326">
        <f t="shared" si="23"/>
        <v>0</v>
      </c>
      <c r="T65" s="326">
        <f t="shared" si="23"/>
        <v>0</v>
      </c>
      <c r="U65" s="326">
        <f t="shared" si="23"/>
        <v>0</v>
      </c>
      <c r="V65" s="326">
        <f t="shared" si="23"/>
        <v>0</v>
      </c>
      <c r="W65" s="326">
        <f t="shared" si="23"/>
        <v>0</v>
      </c>
      <c r="X65" s="326">
        <f t="shared" si="23"/>
        <v>0</v>
      </c>
      <c r="Y65" s="326">
        <f t="shared" si="23"/>
        <v>0</v>
      </c>
      <c r="Z65" s="326">
        <f t="shared" si="23"/>
        <v>0</v>
      </c>
      <c r="AA65" s="326">
        <f t="shared" si="23"/>
        <v>0</v>
      </c>
      <c r="AB65" s="326">
        <f t="shared" si="23"/>
        <v>0</v>
      </c>
      <c r="AC65" s="326">
        <f t="shared" si="23"/>
        <v>0</v>
      </c>
      <c r="AD65" s="326">
        <f t="shared" si="23"/>
        <v>1903.8</v>
      </c>
    </row>
    <row r="66" spans="1:30" ht="23.25">
      <c r="A66" s="347" t="s">
        <v>252</v>
      </c>
      <c r="B66" s="639" t="s">
        <v>279</v>
      </c>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1"/>
    </row>
    <row r="67" spans="1:30" ht="93.75">
      <c r="A67" s="347" t="s">
        <v>50</v>
      </c>
      <c r="B67" s="333" t="s">
        <v>115</v>
      </c>
      <c r="C67" s="322" t="s">
        <v>106</v>
      </c>
      <c r="D67" s="322" t="s">
        <v>93</v>
      </c>
      <c r="E67" s="299">
        <f>F67+G67+H67+I67</f>
        <v>25286</v>
      </c>
      <c r="F67" s="299">
        <f>27786-2500</f>
        <v>25286</v>
      </c>
      <c r="G67" s="299">
        <v>0</v>
      </c>
      <c r="H67" s="299">
        <v>0</v>
      </c>
      <c r="I67" s="299">
        <v>0</v>
      </c>
      <c r="J67" s="299">
        <f>K67+L67+M67+N67</f>
        <v>29781</v>
      </c>
      <c r="K67" s="299">
        <f>40120-110-10229</f>
        <v>29781</v>
      </c>
      <c r="L67" s="299">
        <v>0</v>
      </c>
      <c r="M67" s="299">
        <v>0</v>
      </c>
      <c r="N67" s="299">
        <v>0</v>
      </c>
      <c r="O67" s="299">
        <f>P67+Q67+R67+S67</f>
        <v>29104</v>
      </c>
      <c r="P67" s="299">
        <v>29104</v>
      </c>
      <c r="Q67" s="299">
        <v>0</v>
      </c>
      <c r="R67" s="299">
        <v>0</v>
      </c>
      <c r="S67" s="299">
        <v>0</v>
      </c>
      <c r="T67" s="299">
        <f>U67+V67+W67+X67</f>
        <v>0</v>
      </c>
      <c r="U67" s="299">
        <v>0</v>
      </c>
      <c r="V67" s="299">
        <v>0</v>
      </c>
      <c r="W67" s="299">
        <v>0</v>
      </c>
      <c r="X67" s="299">
        <v>0</v>
      </c>
      <c r="Y67" s="299">
        <f>Z67+AA67+AB67+AC67</f>
        <v>0</v>
      </c>
      <c r="Z67" s="299">
        <v>0</v>
      </c>
      <c r="AA67" s="299">
        <v>0</v>
      </c>
      <c r="AB67" s="299">
        <v>0</v>
      </c>
      <c r="AC67" s="299">
        <v>0</v>
      </c>
      <c r="AD67" s="299">
        <f>E67+J67+O67+T67+Y67</f>
        <v>84171</v>
      </c>
    </row>
    <row r="68" spans="1:30" ht="23.25">
      <c r="A68" s="642" t="s">
        <v>53</v>
      </c>
      <c r="B68" s="643"/>
      <c r="C68" s="644"/>
      <c r="D68" s="347"/>
      <c r="E68" s="326">
        <f t="shared" ref="E68:AD68" si="24">SUM(E67:E67)</f>
        <v>25286</v>
      </c>
      <c r="F68" s="326">
        <f>SUM(F67)</f>
        <v>25286</v>
      </c>
      <c r="G68" s="326">
        <f t="shared" si="24"/>
        <v>0</v>
      </c>
      <c r="H68" s="326">
        <f t="shared" si="24"/>
        <v>0</v>
      </c>
      <c r="I68" s="326">
        <f t="shared" si="24"/>
        <v>0</v>
      </c>
      <c r="J68" s="326">
        <f>J67</f>
        <v>29781</v>
      </c>
      <c r="K68" s="326">
        <f t="shared" si="24"/>
        <v>29781</v>
      </c>
      <c r="L68" s="326">
        <f t="shared" si="24"/>
        <v>0</v>
      </c>
      <c r="M68" s="326">
        <f t="shared" si="24"/>
        <v>0</v>
      </c>
      <c r="N68" s="326">
        <f t="shared" si="24"/>
        <v>0</v>
      </c>
      <c r="O68" s="326">
        <f t="shared" si="24"/>
        <v>29104</v>
      </c>
      <c r="P68" s="326">
        <f t="shared" si="24"/>
        <v>29104</v>
      </c>
      <c r="Q68" s="326">
        <f t="shared" si="24"/>
        <v>0</v>
      </c>
      <c r="R68" s="326">
        <f t="shared" si="24"/>
        <v>0</v>
      </c>
      <c r="S68" s="326">
        <f t="shared" si="24"/>
        <v>0</v>
      </c>
      <c r="T68" s="326">
        <f t="shared" si="24"/>
        <v>0</v>
      </c>
      <c r="U68" s="326">
        <f t="shared" si="24"/>
        <v>0</v>
      </c>
      <c r="V68" s="326">
        <f t="shared" si="24"/>
        <v>0</v>
      </c>
      <c r="W68" s="326">
        <f t="shared" si="24"/>
        <v>0</v>
      </c>
      <c r="X68" s="326">
        <f t="shared" si="24"/>
        <v>0</v>
      </c>
      <c r="Y68" s="326">
        <f t="shared" si="24"/>
        <v>0</v>
      </c>
      <c r="Z68" s="326">
        <f t="shared" si="24"/>
        <v>0</v>
      </c>
      <c r="AA68" s="326">
        <f t="shared" si="24"/>
        <v>0</v>
      </c>
      <c r="AB68" s="326">
        <f t="shared" si="24"/>
        <v>0</v>
      </c>
      <c r="AC68" s="326">
        <f t="shared" si="24"/>
        <v>0</v>
      </c>
      <c r="AD68" s="326">
        <f t="shared" si="24"/>
        <v>84171</v>
      </c>
    </row>
    <row r="69" spans="1:30" ht="23.25">
      <c r="A69" s="347" t="s">
        <v>254</v>
      </c>
      <c r="B69" s="639" t="s">
        <v>280</v>
      </c>
      <c r="C69" s="640"/>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1"/>
    </row>
    <row r="70" spans="1:30" ht="37.5">
      <c r="A70" s="347" t="s">
        <v>55</v>
      </c>
      <c r="B70" s="328" t="s">
        <v>96</v>
      </c>
      <c r="C70" s="322" t="s">
        <v>94</v>
      </c>
      <c r="D70" s="322" t="s">
        <v>93</v>
      </c>
      <c r="E70" s="299">
        <f>F70+G70+H70+I70</f>
        <v>7420</v>
      </c>
      <c r="F70" s="299">
        <f>6486+934</f>
        <v>7420</v>
      </c>
      <c r="G70" s="299">
        <v>0</v>
      </c>
      <c r="H70" s="299">
        <v>0</v>
      </c>
      <c r="I70" s="299">
        <v>0</v>
      </c>
      <c r="J70" s="299">
        <f>K70+L70+M70+N70</f>
        <v>6270</v>
      </c>
      <c r="K70" s="299">
        <f>7350-300-780</f>
        <v>6270</v>
      </c>
      <c r="L70" s="299">
        <v>0</v>
      </c>
      <c r="M70" s="299">
        <v>0</v>
      </c>
      <c r="N70" s="299">
        <v>0</v>
      </c>
      <c r="O70" s="334">
        <f>P70+Q70+R70+S70</f>
        <v>6660</v>
      </c>
      <c r="P70" s="334">
        <f>7050-390</f>
        <v>6660</v>
      </c>
      <c r="Q70" s="299">
        <v>0</v>
      </c>
      <c r="R70" s="299">
        <v>0</v>
      </c>
      <c r="S70" s="299">
        <v>0</v>
      </c>
      <c r="T70" s="299">
        <f>U70+V70+W70+X70</f>
        <v>0</v>
      </c>
      <c r="U70" s="299">
        <v>0</v>
      </c>
      <c r="V70" s="299">
        <v>0</v>
      </c>
      <c r="W70" s="299">
        <v>0</v>
      </c>
      <c r="X70" s="299">
        <v>0</v>
      </c>
      <c r="Y70" s="299">
        <f>Z70+AA70+AB70+AC70</f>
        <v>0</v>
      </c>
      <c r="Z70" s="299">
        <v>0</v>
      </c>
      <c r="AA70" s="299">
        <v>0</v>
      </c>
      <c r="AB70" s="299">
        <v>0</v>
      </c>
      <c r="AC70" s="299">
        <v>0</v>
      </c>
      <c r="AD70" s="299">
        <f>E70+J70+O70+T70+Y70</f>
        <v>20350</v>
      </c>
    </row>
    <row r="71" spans="1:30" ht="69.75">
      <c r="A71" s="347" t="s">
        <v>256</v>
      </c>
      <c r="B71" s="333" t="s">
        <v>209</v>
      </c>
      <c r="C71" s="322" t="s">
        <v>94</v>
      </c>
      <c r="D71" s="322" t="s">
        <v>93</v>
      </c>
      <c r="E71" s="299">
        <f>SUM(F71:I71)</f>
        <v>681</v>
      </c>
      <c r="F71" s="299">
        <v>681</v>
      </c>
      <c r="G71" s="299">
        <v>0</v>
      </c>
      <c r="H71" s="299">
        <v>0</v>
      </c>
      <c r="I71" s="299">
        <v>0</v>
      </c>
      <c r="J71" s="299">
        <f>K71+L71+M71+N71</f>
        <v>558</v>
      </c>
      <c r="K71" s="299">
        <f>684-126</f>
        <v>558</v>
      </c>
      <c r="L71" s="299">
        <v>0</v>
      </c>
      <c r="M71" s="299">
        <v>0</v>
      </c>
      <c r="N71" s="299">
        <v>0</v>
      </c>
      <c r="O71" s="334">
        <f>P71+Q71+R71+S71</f>
        <v>558</v>
      </c>
      <c r="P71" s="334">
        <f>612-54</f>
        <v>558</v>
      </c>
      <c r="Q71" s="299">
        <v>0</v>
      </c>
      <c r="R71" s="299">
        <v>0</v>
      </c>
      <c r="S71" s="299">
        <v>0</v>
      </c>
      <c r="T71" s="299">
        <f>U71+V71+W71+X71</f>
        <v>0</v>
      </c>
      <c r="U71" s="299">
        <v>0</v>
      </c>
      <c r="V71" s="299">
        <v>0</v>
      </c>
      <c r="W71" s="299">
        <v>0</v>
      </c>
      <c r="X71" s="299">
        <v>0</v>
      </c>
      <c r="Y71" s="299">
        <f>Z71+AA71+AB71+AC71</f>
        <v>0</v>
      </c>
      <c r="Z71" s="299">
        <v>0</v>
      </c>
      <c r="AA71" s="299">
        <v>0</v>
      </c>
      <c r="AB71" s="299">
        <v>0</v>
      </c>
      <c r="AC71" s="299">
        <v>0</v>
      </c>
      <c r="AD71" s="299">
        <f>E71+J71+O71+T71+Y71</f>
        <v>1797</v>
      </c>
    </row>
    <row r="72" spans="1:30" ht="116.25">
      <c r="A72" s="347" t="s">
        <v>257</v>
      </c>
      <c r="B72" s="333" t="s">
        <v>271</v>
      </c>
      <c r="C72" s="322" t="s">
        <v>266</v>
      </c>
      <c r="D72" s="322">
        <v>2020</v>
      </c>
      <c r="E72" s="299">
        <f>F72+G72+H72+I72</f>
        <v>774</v>
      </c>
      <c r="F72" s="299">
        <v>774</v>
      </c>
      <c r="G72" s="299">
        <v>0</v>
      </c>
      <c r="H72" s="299">
        <v>0</v>
      </c>
      <c r="I72" s="299">
        <v>0</v>
      </c>
      <c r="J72" s="299">
        <f>K72+L72+M72+N72</f>
        <v>350</v>
      </c>
      <c r="K72" s="299">
        <v>350</v>
      </c>
      <c r="L72" s="299">
        <v>0</v>
      </c>
      <c r="M72" s="299">
        <v>0</v>
      </c>
      <c r="N72" s="299">
        <v>0</v>
      </c>
      <c r="O72" s="299">
        <f>P72+Q72+R72+S72</f>
        <v>360</v>
      </c>
      <c r="P72" s="299">
        <v>360</v>
      </c>
      <c r="Q72" s="299">
        <v>0</v>
      </c>
      <c r="R72" s="299">
        <v>0</v>
      </c>
      <c r="S72" s="299">
        <v>0</v>
      </c>
      <c r="T72" s="299">
        <f>U72+V72+W72+X72</f>
        <v>0</v>
      </c>
      <c r="U72" s="299">
        <v>0</v>
      </c>
      <c r="V72" s="299">
        <v>0</v>
      </c>
      <c r="W72" s="299">
        <v>0</v>
      </c>
      <c r="X72" s="299">
        <v>0</v>
      </c>
      <c r="Y72" s="299">
        <f>Z72+AA72+AB72+AC72</f>
        <v>0</v>
      </c>
      <c r="Z72" s="299">
        <v>0</v>
      </c>
      <c r="AA72" s="299">
        <v>0</v>
      </c>
      <c r="AB72" s="299">
        <v>0</v>
      </c>
      <c r="AC72" s="299">
        <v>0</v>
      </c>
      <c r="AD72" s="299">
        <f>E72+J72+O72+T72+Y72</f>
        <v>1484</v>
      </c>
    </row>
    <row r="73" spans="1:30" ht="23.25">
      <c r="A73" s="642" t="s">
        <v>56</v>
      </c>
      <c r="B73" s="643"/>
      <c r="C73" s="644"/>
      <c r="D73" s="347"/>
      <c r="E73" s="326">
        <f>E70+E71+E72</f>
        <v>8875</v>
      </c>
      <c r="F73" s="326">
        <f>F70+F71+F72</f>
        <v>8875</v>
      </c>
      <c r="G73" s="326">
        <f>SUM(G70:G70)</f>
        <v>0</v>
      </c>
      <c r="H73" s="326">
        <f>SUM(H70:H70)</f>
        <v>0</v>
      </c>
      <c r="I73" s="326">
        <f>SUM(I70:I70)</f>
        <v>0</v>
      </c>
      <c r="J73" s="326">
        <f>J70+J71+J72</f>
        <v>7178</v>
      </c>
      <c r="K73" s="326">
        <f>K70+K71+K72</f>
        <v>7178</v>
      </c>
      <c r="L73" s="326">
        <f>SUM(L70:L70)</f>
        <v>0</v>
      </c>
      <c r="M73" s="326">
        <f>SUM(M70:M70)</f>
        <v>0</v>
      </c>
      <c r="N73" s="326">
        <f>SUM(N70:N70)</f>
        <v>0</v>
      </c>
      <c r="O73" s="326">
        <f>O70+O71+O72</f>
        <v>7578</v>
      </c>
      <c r="P73" s="326">
        <f>P70+P71+P72</f>
        <v>7578</v>
      </c>
      <c r="Q73" s="326">
        <f>SUM(Q70:Q70)</f>
        <v>0</v>
      </c>
      <c r="R73" s="326">
        <f>SUM(R70:R70)</f>
        <v>0</v>
      </c>
      <c r="S73" s="326">
        <f>SUM(S70:S70)</f>
        <v>0</v>
      </c>
      <c r="T73" s="326">
        <f>T70+T71+T72</f>
        <v>0</v>
      </c>
      <c r="U73" s="326">
        <f>U70+U71+U72</f>
        <v>0</v>
      </c>
      <c r="V73" s="326">
        <f>SUM(V70:V70)</f>
        <v>0</v>
      </c>
      <c r="W73" s="326">
        <f>SUM(W70:W70)</f>
        <v>0</v>
      </c>
      <c r="X73" s="326">
        <f>SUM(X70:X70)</f>
        <v>0</v>
      </c>
      <c r="Y73" s="326">
        <f>Y70+Y71+Y72</f>
        <v>0</v>
      </c>
      <c r="Z73" s="326">
        <f>Z70+Z71+Z72</f>
        <v>0</v>
      </c>
      <c r="AA73" s="326">
        <f>SUM(AA70:AA70)</f>
        <v>0</v>
      </c>
      <c r="AB73" s="326">
        <f>SUM(AB70:AB70)</f>
        <v>0</v>
      </c>
      <c r="AC73" s="326">
        <f>SUM(AC70:AC70)</f>
        <v>0</v>
      </c>
      <c r="AD73" s="326">
        <f>SUM(AD70:AD72)</f>
        <v>23631</v>
      </c>
    </row>
    <row r="74" spans="1:30" ht="23.25">
      <c r="A74" s="338" t="s">
        <v>135</v>
      </c>
      <c r="B74" s="338"/>
      <c r="C74" s="398"/>
      <c r="D74" s="400"/>
      <c r="E74" s="353">
        <f>E70+E71+E72</f>
        <v>8875</v>
      </c>
      <c r="F74" s="353">
        <f>F70+F71+F72</f>
        <v>8875</v>
      </c>
      <c r="G74" s="353">
        <v>0</v>
      </c>
      <c r="H74" s="353">
        <v>0</v>
      </c>
      <c r="I74" s="353">
        <v>0</v>
      </c>
      <c r="J74" s="353">
        <f>J70+J71+J72</f>
        <v>7178</v>
      </c>
      <c r="K74" s="353">
        <f>K70+K71+K72</f>
        <v>7178</v>
      </c>
      <c r="L74" s="353">
        <v>0</v>
      </c>
      <c r="M74" s="353">
        <v>0</v>
      </c>
      <c r="N74" s="353">
        <v>0</v>
      </c>
      <c r="O74" s="353">
        <f>O73</f>
        <v>7578</v>
      </c>
      <c r="P74" s="353">
        <f>P70+P71+P72</f>
        <v>7578</v>
      </c>
      <c r="Q74" s="353">
        <v>0</v>
      </c>
      <c r="R74" s="353">
        <v>0</v>
      </c>
      <c r="S74" s="353">
        <v>0</v>
      </c>
      <c r="T74" s="353">
        <f>T70+T71+T72</f>
        <v>0</v>
      </c>
      <c r="U74" s="353">
        <f>U70+U71+U72</f>
        <v>0</v>
      </c>
      <c r="V74" s="353">
        <v>0</v>
      </c>
      <c r="W74" s="353">
        <v>0</v>
      </c>
      <c r="X74" s="353">
        <v>0</v>
      </c>
      <c r="Y74" s="353">
        <f>Y70+Y71+Y72</f>
        <v>0</v>
      </c>
      <c r="Z74" s="353">
        <f>Z70+Z71+Z72</f>
        <v>0</v>
      </c>
      <c r="AA74" s="353">
        <v>0</v>
      </c>
      <c r="AB74" s="353">
        <v>0</v>
      </c>
      <c r="AC74" s="353">
        <v>0</v>
      </c>
      <c r="AD74" s="354">
        <f>AD70+AD71</f>
        <v>22147</v>
      </c>
    </row>
    <row r="75" spans="1:30" ht="23.25">
      <c r="A75" s="347" t="s">
        <v>97</v>
      </c>
      <c r="B75" s="639" t="s">
        <v>281</v>
      </c>
      <c r="C75" s="640"/>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1"/>
    </row>
    <row r="76" spans="1:30" ht="116.25">
      <c r="A76" s="359" t="s">
        <v>57</v>
      </c>
      <c r="B76" s="328" t="s">
        <v>290</v>
      </c>
      <c r="C76" s="322" t="s">
        <v>73</v>
      </c>
      <c r="D76" s="322" t="s">
        <v>93</v>
      </c>
      <c r="E76" s="299">
        <f xml:space="preserve"> SUM(F76:I76)</f>
        <v>136.19999999999999</v>
      </c>
      <c r="F76" s="299">
        <f>74.6+61.6</f>
        <v>136.19999999999999</v>
      </c>
      <c r="G76" s="299">
        <v>0</v>
      </c>
      <c r="H76" s="299">
        <v>0</v>
      </c>
      <c r="I76" s="299">
        <v>0</v>
      </c>
      <c r="J76" s="299">
        <f xml:space="preserve"> SUM(K76:N76)</f>
        <v>137.5</v>
      </c>
      <c r="K76" s="299">
        <f>142-4.5</f>
        <v>137.5</v>
      </c>
      <c r="L76" s="299">
        <v>0</v>
      </c>
      <c r="M76" s="299">
        <v>0</v>
      </c>
      <c r="N76" s="299">
        <v>0</v>
      </c>
      <c r="O76" s="299">
        <f xml:space="preserve"> SUM(P76:S76)</f>
        <v>142</v>
      </c>
      <c r="P76" s="299">
        <v>142</v>
      </c>
      <c r="Q76" s="299">
        <v>0</v>
      </c>
      <c r="R76" s="299">
        <v>0</v>
      </c>
      <c r="S76" s="299">
        <v>0</v>
      </c>
      <c r="T76" s="299">
        <f xml:space="preserve"> SUM(U76:X76)</f>
        <v>142</v>
      </c>
      <c r="U76" s="299">
        <v>142</v>
      </c>
      <c r="V76" s="299">
        <v>0</v>
      </c>
      <c r="W76" s="299">
        <v>0</v>
      </c>
      <c r="X76" s="299">
        <v>0</v>
      </c>
      <c r="Y76" s="299">
        <f xml:space="preserve"> SUM(Z76:AC76)</f>
        <v>142</v>
      </c>
      <c r="Z76" s="299">
        <v>142</v>
      </c>
      <c r="AA76" s="299">
        <v>0</v>
      </c>
      <c r="AB76" s="299">
        <v>0</v>
      </c>
      <c r="AC76" s="299">
        <v>0</v>
      </c>
      <c r="AD76" s="299">
        <f>E76+J76+O76+T76+Y76</f>
        <v>699.7</v>
      </c>
    </row>
    <row r="77" spans="1:30" ht="23.25">
      <c r="A77" s="642" t="s">
        <v>58</v>
      </c>
      <c r="B77" s="643"/>
      <c r="C77" s="644"/>
      <c r="D77" s="347"/>
      <c r="E77" s="326">
        <f>E76</f>
        <v>136.19999999999999</v>
      </c>
      <c r="F77" s="326">
        <f>F76</f>
        <v>136.19999999999999</v>
      </c>
      <c r="G77" s="326">
        <v>0</v>
      </c>
      <c r="H77" s="326">
        <v>0</v>
      </c>
      <c r="I77" s="326">
        <v>0</v>
      </c>
      <c r="J77" s="326">
        <f t="shared" ref="J77:AC77" si="25">J76</f>
        <v>137.5</v>
      </c>
      <c r="K77" s="326">
        <f t="shared" si="25"/>
        <v>137.5</v>
      </c>
      <c r="L77" s="326">
        <f t="shared" si="25"/>
        <v>0</v>
      </c>
      <c r="M77" s="326">
        <f t="shared" si="25"/>
        <v>0</v>
      </c>
      <c r="N77" s="326">
        <f t="shared" si="25"/>
        <v>0</v>
      </c>
      <c r="O77" s="326">
        <f t="shared" si="25"/>
        <v>142</v>
      </c>
      <c r="P77" s="326">
        <f t="shared" si="25"/>
        <v>142</v>
      </c>
      <c r="Q77" s="326">
        <f t="shared" si="25"/>
        <v>0</v>
      </c>
      <c r="R77" s="326">
        <f t="shared" si="25"/>
        <v>0</v>
      </c>
      <c r="S77" s="326">
        <f t="shared" si="25"/>
        <v>0</v>
      </c>
      <c r="T77" s="326">
        <f t="shared" si="25"/>
        <v>142</v>
      </c>
      <c r="U77" s="326">
        <f t="shared" si="25"/>
        <v>142</v>
      </c>
      <c r="V77" s="326">
        <f t="shared" si="25"/>
        <v>0</v>
      </c>
      <c r="W77" s="326">
        <f t="shared" si="25"/>
        <v>0</v>
      </c>
      <c r="X77" s="326">
        <f t="shared" si="25"/>
        <v>0</v>
      </c>
      <c r="Y77" s="326">
        <f t="shared" si="25"/>
        <v>142</v>
      </c>
      <c r="Z77" s="326">
        <f t="shared" si="25"/>
        <v>142</v>
      </c>
      <c r="AA77" s="326">
        <f t="shared" si="25"/>
        <v>0</v>
      </c>
      <c r="AB77" s="326">
        <f t="shared" si="25"/>
        <v>0</v>
      </c>
      <c r="AC77" s="326">
        <f t="shared" si="25"/>
        <v>0</v>
      </c>
      <c r="AD77" s="326">
        <f>E77+J77+O77+T77+Y77</f>
        <v>699.7</v>
      </c>
    </row>
    <row r="78" spans="1:30" ht="23.25">
      <c r="A78" s="399">
        <v>10</v>
      </c>
      <c r="B78" s="645" t="s">
        <v>259</v>
      </c>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7"/>
    </row>
    <row r="79" spans="1:30" ht="93">
      <c r="A79" s="360" t="s">
        <v>59</v>
      </c>
      <c r="B79" s="328" t="s">
        <v>186</v>
      </c>
      <c r="C79" s="404" t="s">
        <v>107</v>
      </c>
      <c r="D79" s="322" t="s">
        <v>93</v>
      </c>
      <c r="E79" s="300">
        <v>500</v>
      </c>
      <c r="F79" s="300">
        <v>500</v>
      </c>
      <c r="G79" s="300">
        <v>0</v>
      </c>
      <c r="H79" s="300">
        <v>0</v>
      </c>
      <c r="I79" s="300">
        <v>0</v>
      </c>
      <c r="J79" s="300">
        <f>K79+L79+M79+N79</f>
        <v>12</v>
      </c>
      <c r="K79" s="300">
        <f>24-12</f>
        <v>12</v>
      </c>
      <c r="L79" s="300">
        <v>0</v>
      </c>
      <c r="M79" s="300">
        <v>0</v>
      </c>
      <c r="N79" s="300">
        <v>0</v>
      </c>
      <c r="O79" s="385">
        <v>0</v>
      </c>
      <c r="P79" s="385">
        <v>0</v>
      </c>
      <c r="Q79" s="300">
        <v>0</v>
      </c>
      <c r="R79" s="300">
        <v>0</v>
      </c>
      <c r="S79" s="300">
        <v>0</v>
      </c>
      <c r="T79" s="300">
        <f t="shared" ref="T79:T81" si="26">U79+V79+W79+X79</f>
        <v>0</v>
      </c>
      <c r="U79" s="300">
        <v>0</v>
      </c>
      <c r="V79" s="300">
        <v>0</v>
      </c>
      <c r="W79" s="300">
        <v>0</v>
      </c>
      <c r="X79" s="300">
        <v>0</v>
      </c>
      <c r="Y79" s="300">
        <f>Z79+AA79+AB79+AC79</f>
        <v>0</v>
      </c>
      <c r="Z79" s="300">
        <v>0</v>
      </c>
      <c r="AA79" s="300">
        <v>0</v>
      </c>
      <c r="AB79" s="300">
        <v>0</v>
      </c>
      <c r="AC79" s="300">
        <v>0</v>
      </c>
      <c r="AD79" s="300">
        <f>E79+J79+O79+T79+Y79</f>
        <v>512</v>
      </c>
    </row>
    <row r="80" spans="1:30" ht="75">
      <c r="A80" s="360" t="s">
        <v>98</v>
      </c>
      <c r="B80" s="333" t="s">
        <v>159</v>
      </c>
      <c r="C80" s="362" t="s">
        <v>107</v>
      </c>
      <c r="D80" s="322" t="s">
        <v>93</v>
      </c>
      <c r="E80" s="300">
        <v>2880</v>
      </c>
      <c r="F80" s="300">
        <v>2880</v>
      </c>
      <c r="G80" s="300">
        <v>0</v>
      </c>
      <c r="H80" s="300">
        <v>0</v>
      </c>
      <c r="I80" s="300">
        <v>0</v>
      </c>
      <c r="J80" s="300">
        <f>K80+L80+M80+N80</f>
        <v>2730</v>
      </c>
      <c r="K80" s="300">
        <f>2880-150</f>
        <v>2730</v>
      </c>
      <c r="L80" s="300">
        <v>0</v>
      </c>
      <c r="M80" s="300">
        <v>0</v>
      </c>
      <c r="N80" s="300">
        <v>0</v>
      </c>
      <c r="O80" s="385">
        <v>0</v>
      </c>
      <c r="P80" s="385">
        <v>0</v>
      </c>
      <c r="Q80" s="300">
        <v>0</v>
      </c>
      <c r="R80" s="300">
        <v>0</v>
      </c>
      <c r="S80" s="300">
        <v>0</v>
      </c>
      <c r="T80" s="300">
        <f t="shared" si="26"/>
        <v>0</v>
      </c>
      <c r="U80" s="300">
        <v>0</v>
      </c>
      <c r="V80" s="300">
        <v>0</v>
      </c>
      <c r="W80" s="300">
        <v>0</v>
      </c>
      <c r="X80" s="300">
        <v>0</v>
      </c>
      <c r="Y80" s="300">
        <f>Z80+AA80+AB80+AC80</f>
        <v>0</v>
      </c>
      <c r="Z80" s="300">
        <v>0</v>
      </c>
      <c r="AA80" s="300">
        <v>0</v>
      </c>
      <c r="AB80" s="300">
        <v>0</v>
      </c>
      <c r="AC80" s="300">
        <v>0</v>
      </c>
      <c r="AD80" s="300">
        <f>E80+J80+O80+T80+Y80</f>
        <v>5610</v>
      </c>
    </row>
    <row r="81" spans="1:30" ht="23.25">
      <c r="A81" s="642" t="s">
        <v>60</v>
      </c>
      <c r="B81" s="643"/>
      <c r="C81" s="644"/>
      <c r="D81" s="360"/>
      <c r="E81" s="363">
        <f>E79+E80</f>
        <v>3380</v>
      </c>
      <c r="F81" s="363">
        <f>SUM(F79:F80)</f>
        <v>3380</v>
      </c>
      <c r="G81" s="363">
        <f>G79</f>
        <v>0</v>
      </c>
      <c r="H81" s="363">
        <f>I79</f>
        <v>0</v>
      </c>
      <c r="I81" s="363">
        <f t="shared" ref="I81:V81" si="27">I79</f>
        <v>0</v>
      </c>
      <c r="J81" s="363">
        <f>K81+L81+M81+N81</f>
        <v>2742</v>
      </c>
      <c r="K81" s="363">
        <f>K79+K80</f>
        <v>2742</v>
      </c>
      <c r="L81" s="363">
        <f t="shared" si="27"/>
        <v>0</v>
      </c>
      <c r="M81" s="363">
        <f t="shared" si="27"/>
        <v>0</v>
      </c>
      <c r="N81" s="363">
        <f t="shared" si="27"/>
        <v>0</v>
      </c>
      <c r="O81" s="386">
        <f t="shared" ref="O81" si="28">P81+Q81+R81+S81</f>
        <v>0</v>
      </c>
      <c r="P81" s="386">
        <f>P79+P80</f>
        <v>0</v>
      </c>
      <c r="Q81" s="363">
        <f t="shared" si="27"/>
        <v>0</v>
      </c>
      <c r="R81" s="363">
        <f t="shared" si="27"/>
        <v>0</v>
      </c>
      <c r="S81" s="363">
        <f t="shared" si="27"/>
        <v>0</v>
      </c>
      <c r="T81" s="363">
        <f t="shared" si="26"/>
        <v>0</v>
      </c>
      <c r="U81" s="363">
        <f>T79+T80</f>
        <v>0</v>
      </c>
      <c r="V81" s="363">
        <f t="shared" si="27"/>
        <v>0</v>
      </c>
      <c r="W81" s="363">
        <f>V79</f>
        <v>0</v>
      </c>
      <c r="X81" s="363">
        <f t="shared" ref="X81:AC81" si="29">X79</f>
        <v>0</v>
      </c>
      <c r="Y81" s="363">
        <f>Z81+AA81+AB81+AC81</f>
        <v>0</v>
      </c>
      <c r="Z81" s="363">
        <f>Z79+Z80</f>
        <v>0</v>
      </c>
      <c r="AA81" s="363">
        <f t="shared" si="29"/>
        <v>0</v>
      </c>
      <c r="AB81" s="363">
        <f t="shared" si="29"/>
        <v>0</v>
      </c>
      <c r="AC81" s="363">
        <f t="shared" si="29"/>
        <v>0</v>
      </c>
      <c r="AD81" s="363">
        <f>E81+J81+O81+T81+Y81</f>
        <v>6122</v>
      </c>
    </row>
    <row r="82" spans="1:30" ht="23.25">
      <c r="A82" s="420"/>
      <c r="B82" s="421"/>
      <c r="C82" s="422"/>
      <c r="D82" s="360"/>
      <c r="E82" s="363"/>
      <c r="F82" s="363"/>
      <c r="G82" s="363"/>
      <c r="H82" s="363"/>
      <c r="I82" s="363"/>
      <c r="J82" s="363"/>
      <c r="K82" s="363"/>
      <c r="L82" s="363"/>
      <c r="M82" s="363"/>
      <c r="N82" s="363"/>
      <c r="O82" s="386"/>
      <c r="P82" s="386"/>
      <c r="Q82" s="363"/>
      <c r="R82" s="363"/>
      <c r="S82" s="363"/>
      <c r="T82" s="363"/>
      <c r="U82" s="363"/>
      <c r="V82" s="363"/>
      <c r="W82" s="363"/>
      <c r="X82" s="363"/>
      <c r="Y82" s="363"/>
      <c r="Z82" s="363"/>
      <c r="AA82" s="363"/>
      <c r="AB82" s="363"/>
      <c r="AC82" s="363"/>
      <c r="AD82" s="363"/>
    </row>
    <row r="83" spans="1:30" ht="23.25">
      <c r="A83" s="672" t="s">
        <v>304</v>
      </c>
      <c r="B83" s="673"/>
      <c r="C83" s="674"/>
      <c r="D83" s="360"/>
      <c r="E83" s="363">
        <f>F83+G83+H83+I83</f>
        <v>157092.37000000002</v>
      </c>
      <c r="F83" s="363">
        <f>F27+F33+F50+F55+F62+F65+F68+F73+F77+F81</f>
        <v>108956.7</v>
      </c>
      <c r="G83" s="363">
        <f>G27+G33+G50+G55+G62+G65+G68+G73+G77+G81</f>
        <v>45966</v>
      </c>
      <c r="H83" s="363">
        <f>H27+H33+H50+H55+H62+H65+H68+H73+H77+H81</f>
        <v>0</v>
      </c>
      <c r="I83" s="363">
        <f>I27+I33+I50+I55+I62+I65+I68+I73+I77+I81</f>
        <v>2169.67</v>
      </c>
      <c r="J83" s="363">
        <f>K83+L83+M83+N83</f>
        <v>121069.1</v>
      </c>
      <c r="K83" s="363">
        <f>K27+K33+K50+K55+K62+K65+K68+K73+K77+K81</f>
        <v>94437.1</v>
      </c>
      <c r="L83" s="363">
        <f>L27+L33+L50+L55+L62+L65+L68+L73+L77+L81</f>
        <v>26632</v>
      </c>
      <c r="M83" s="363">
        <f>M27+M33+M50+M55+M62+M65+M68+M73+M77+M81</f>
        <v>0</v>
      </c>
      <c r="N83" s="363">
        <f>N27+N33+N50+N55+N62+N65+N68+N73+N77+N81</f>
        <v>0</v>
      </c>
      <c r="O83" s="386">
        <f>P83+Q83+R83+S83</f>
        <v>132379.51999999999</v>
      </c>
      <c r="P83" s="386">
        <f>P27+P33+P50+P55+P62+P65+P68+P73+P77+P81</f>
        <v>106808</v>
      </c>
      <c r="Q83" s="363">
        <f>Q27+Q33+Q50+Q55+Q62+Q65+Q68+Q73+Q77+Q81</f>
        <v>25571.52</v>
      </c>
      <c r="R83" s="363">
        <f>R27+R33+R50+R55+R62+R65+R68+R73+R77+R81</f>
        <v>0</v>
      </c>
      <c r="S83" s="363">
        <f>S27+S33+S50+S55+S62+S65+S68+S73+S77+S81</f>
        <v>0</v>
      </c>
      <c r="T83" s="363">
        <f>U83+V83+W83+X83</f>
        <v>25809</v>
      </c>
      <c r="U83" s="363">
        <f>U27+U33+U50+U55+U62+U65+U68+U73+U77+U81</f>
        <v>1732</v>
      </c>
      <c r="V83" s="363">
        <f>V27+V33+V50+V55+V62+V65+V68+V73+V77+V81</f>
        <v>24077</v>
      </c>
      <c r="W83" s="363">
        <f>W27+W33+W50+W55+W62+W65+W68+W73+W77+W81</f>
        <v>0</v>
      </c>
      <c r="X83" s="363">
        <f>X27+X33+X50+X55+X62+X65+X68+X73+X77+X81</f>
        <v>0</v>
      </c>
      <c r="Y83" s="363">
        <f>Z83+AA83+AB83+AC83</f>
        <v>25809</v>
      </c>
      <c r="Z83" s="363">
        <f>Z27+Z33+Z50+Z55+Z62+Z65+Z68+Z73+Z77+Z81</f>
        <v>1732</v>
      </c>
      <c r="AA83" s="363">
        <f>AA27+AA33+AA50+AA55+AA62+AA65+AA68+AA73+AA77+AA81</f>
        <v>24077</v>
      </c>
      <c r="AB83" s="363">
        <f>AB27+AB33+AB50+AB55+AB62+AB65+AB68+AB73+AB77+AB81</f>
        <v>0</v>
      </c>
      <c r="AC83" s="363">
        <f>AC27+AC33+AC50+AC55+AC62+AC65+AC68+AC73+AC77+AC81</f>
        <v>0</v>
      </c>
      <c r="AD83" s="363">
        <f>E83+J83+O83+T83+Y83</f>
        <v>462158.99</v>
      </c>
    </row>
    <row r="84" spans="1:30">
      <c r="C84" s="315">
        <v>2020</v>
      </c>
      <c r="E84" s="364"/>
    </row>
    <row r="85" spans="1:30" ht="225">
      <c r="A85" s="365" t="s">
        <v>201</v>
      </c>
      <c r="B85" s="366" t="s">
        <v>134</v>
      </c>
      <c r="C85" s="364">
        <f>E29+E33+E52+E55+E61+E65+E68+E74+E81</f>
        <v>96915</v>
      </c>
      <c r="F85" s="364"/>
      <c r="J85" s="364"/>
      <c r="O85" s="364"/>
      <c r="T85" s="364"/>
      <c r="Y85" s="364"/>
      <c r="AC85" s="364"/>
    </row>
    <row r="86" spans="1:30">
      <c r="B86" s="366" t="s">
        <v>137</v>
      </c>
      <c r="C86" s="364">
        <f>E30+E51+E60+E77</f>
        <v>23882</v>
      </c>
      <c r="J86" s="364"/>
      <c r="O86" s="364"/>
      <c r="T86" s="364"/>
      <c r="Y86" s="364"/>
      <c r="AC86" s="364"/>
    </row>
    <row r="87" spans="1:30">
      <c r="B87" s="366" t="s">
        <v>138</v>
      </c>
      <c r="C87" s="364">
        <f>E28</f>
        <v>36295.369999999995</v>
      </c>
      <c r="J87" s="364"/>
      <c r="O87" s="364"/>
      <c r="T87" s="364"/>
      <c r="Y87" s="364"/>
      <c r="AC87" s="364"/>
    </row>
    <row r="88" spans="1:30">
      <c r="C88" s="364"/>
      <c r="J88" s="364"/>
      <c r="O88" s="364"/>
      <c r="T88" s="364"/>
      <c r="Y88" s="364"/>
      <c r="AC88" s="364"/>
    </row>
    <row r="89" spans="1:30">
      <c r="B89" s="366"/>
      <c r="C89" s="364">
        <f>C85+C86+C87</f>
        <v>157092.37</v>
      </c>
      <c r="J89" s="364"/>
      <c r="K89" s="364"/>
      <c r="O89" s="364"/>
      <c r="T89" s="364"/>
      <c r="Y89" s="364"/>
      <c r="AC89" s="364"/>
    </row>
    <row r="90" spans="1:30">
      <c r="J90" s="364"/>
      <c r="O90" s="364"/>
      <c r="T90" s="364"/>
      <c r="Y90" s="364"/>
      <c r="AC90" s="364"/>
    </row>
    <row r="91" spans="1:30">
      <c r="C91" s="364"/>
      <c r="J91" s="364"/>
      <c r="O91" s="364"/>
      <c r="T91" s="364"/>
      <c r="Y91" s="364"/>
    </row>
    <row r="93" spans="1:30">
      <c r="B93" s="366" t="s">
        <v>195</v>
      </c>
      <c r="C93" s="364">
        <f>I83</f>
        <v>2169.67</v>
      </c>
    </row>
    <row r="94" spans="1:30">
      <c r="B94" s="367" t="s">
        <v>196</v>
      </c>
      <c r="C94" s="364">
        <f>F83+K83+P83+U83+Z83</f>
        <v>313665.8</v>
      </c>
      <c r="E94" s="364"/>
      <c r="H94" s="364"/>
      <c r="R94" s="315" t="s">
        <v>302</v>
      </c>
      <c r="T94" s="364">
        <f>C94-3</f>
        <v>313662.8</v>
      </c>
    </row>
    <row r="95" spans="1:30">
      <c r="B95" s="367" t="s">
        <v>197</v>
      </c>
      <c r="C95" s="364">
        <f>G83+L83+Q83+V83+AA83</f>
        <v>146323.52000000002</v>
      </c>
    </row>
    <row r="96" spans="1:30">
      <c r="C96" s="364"/>
      <c r="AC96" s="364"/>
    </row>
    <row r="97" spans="2:25">
      <c r="C97" s="364">
        <f>C93+C94+C95</f>
        <v>462158.99</v>
      </c>
    </row>
    <row r="98" spans="2:25">
      <c r="B98" s="364" t="e">
        <f>127165-#REF!</f>
        <v>#REF!</v>
      </c>
    </row>
    <row r="100" spans="2:25">
      <c r="Y100" s="368"/>
    </row>
    <row r="103" spans="2:25">
      <c r="D103" s="368"/>
      <c r="E103" s="368"/>
    </row>
    <row r="104" spans="2:25">
      <c r="D104" s="368"/>
      <c r="E104" s="368"/>
    </row>
    <row r="109" spans="2:25">
      <c r="D109" s="364" t="e">
        <f>#REF!+#REF!+#REF!+#REF!+#REF!</f>
        <v>#REF!</v>
      </c>
    </row>
  </sheetData>
  <mergeCells count="40">
    <mergeCell ref="Z3:AD3"/>
    <mergeCell ref="V4:AD4"/>
    <mergeCell ref="A5:AD5"/>
    <mergeCell ref="A7:A9"/>
    <mergeCell ref="B7:B9"/>
    <mergeCell ref="C7:C9"/>
    <mergeCell ref="D7:D9"/>
    <mergeCell ref="E7:AD7"/>
    <mergeCell ref="E8:I8"/>
    <mergeCell ref="J8:N8"/>
    <mergeCell ref="C38:C39"/>
    <mergeCell ref="O8:S8"/>
    <mergeCell ref="T8:X8"/>
    <mergeCell ref="Y8:AC8"/>
    <mergeCell ref="AD8:AD9"/>
    <mergeCell ref="A11:AD11"/>
    <mergeCell ref="B12:AD12"/>
    <mergeCell ref="C13:C14"/>
    <mergeCell ref="A27:C27"/>
    <mergeCell ref="B31:AD31"/>
    <mergeCell ref="A33:C33"/>
    <mergeCell ref="B34:AD34"/>
    <mergeCell ref="A73:C73"/>
    <mergeCell ref="C41:C45"/>
    <mergeCell ref="A50:C50"/>
    <mergeCell ref="B53:AD53"/>
    <mergeCell ref="A55:C55"/>
    <mergeCell ref="B56:AD56"/>
    <mergeCell ref="A57:A58"/>
    <mergeCell ref="B57:B58"/>
    <mergeCell ref="B63:AD63"/>
    <mergeCell ref="A65:C65"/>
    <mergeCell ref="B66:AD66"/>
    <mergeCell ref="A68:C68"/>
    <mergeCell ref="B69:AD69"/>
    <mergeCell ref="B75:AD75"/>
    <mergeCell ref="A77:C77"/>
    <mergeCell ref="B78:AD78"/>
    <mergeCell ref="A81:C81"/>
    <mergeCell ref="A83:C83"/>
  </mergeCells>
  <pageMargins left="0.7" right="0.7" top="0.75" bottom="0.75" header="0.3" footer="0.3"/>
  <pageSetup paperSize="9" orientation="landscape" r:id="rId1"/>
  <legacyDrawing r:id="rId2"/>
</worksheet>
</file>

<file path=xl/worksheets/sheet15.xml><?xml version="1.0" encoding="utf-8"?>
<worksheet xmlns="http://schemas.openxmlformats.org/spreadsheetml/2006/main" xmlns:r="http://schemas.openxmlformats.org/officeDocument/2006/relationships">
  <dimension ref="A1:AF111"/>
  <sheetViews>
    <sheetView view="pageBreakPreview" zoomScale="60" workbookViewId="0">
      <pane xSplit="3" ySplit="14" topLeftCell="O81" activePane="bottomRight" state="frozen"/>
      <selection pane="topRight" activeCell="D1" sqref="D1"/>
      <selection pane="bottomLeft" activeCell="A15" sqref="A15"/>
      <selection pane="bottomRight" sqref="A1:XFD1048576"/>
    </sheetView>
  </sheetViews>
  <sheetFormatPr defaultRowHeight="18.75"/>
  <cols>
    <col min="1" max="1" width="6.140625" style="425" customWidth="1"/>
    <col min="2" max="2" width="188" style="315" customWidth="1"/>
    <col min="3" max="3" width="42.42578125" style="315" customWidth="1"/>
    <col min="4" max="4" width="23.5703125" style="315" customWidth="1"/>
    <col min="5" max="5" width="21.28515625" style="315" customWidth="1"/>
    <col min="6" max="6" width="22.42578125" style="315" customWidth="1"/>
    <col min="7" max="7" width="16.140625" style="315" customWidth="1"/>
    <col min="8" max="9" width="16.85546875" style="315" customWidth="1"/>
    <col min="10" max="10" width="21.140625" style="315" customWidth="1"/>
    <col min="11" max="11" width="18.140625" style="315" customWidth="1"/>
    <col min="12" max="12" width="15" style="315" customWidth="1"/>
    <col min="13" max="13" width="14.7109375" style="315" customWidth="1"/>
    <col min="14" max="14" width="14.28515625" style="315" customWidth="1"/>
    <col min="15" max="15" width="17.140625" style="315" customWidth="1"/>
    <col min="16" max="16" width="18.7109375" style="315" customWidth="1"/>
    <col min="17" max="17" width="17.28515625" style="315" customWidth="1"/>
    <col min="18" max="18" width="19" style="315" customWidth="1"/>
    <col min="19" max="19" width="13" style="315" customWidth="1"/>
    <col min="20" max="20" width="16.42578125" style="315" customWidth="1"/>
    <col min="21" max="21" width="12.7109375" style="315" customWidth="1"/>
    <col min="22" max="22" width="11.85546875" style="315" customWidth="1"/>
    <col min="23" max="23" width="11.7109375" style="315" customWidth="1"/>
    <col min="24" max="24" width="10.28515625" style="315" customWidth="1"/>
    <col min="25" max="25" width="18" style="315" customWidth="1"/>
    <col min="26" max="26" width="14.5703125" style="315" customWidth="1"/>
    <col min="27" max="27" width="13" style="315" customWidth="1"/>
    <col min="28" max="28" width="12.7109375" style="315" customWidth="1"/>
    <col min="29" max="29" width="14.28515625" style="315" customWidth="1"/>
    <col min="30" max="30" width="17.7109375" style="315" customWidth="1"/>
    <col min="31" max="16384" width="9.140625" style="316"/>
  </cols>
  <sheetData>
    <row r="1" spans="1:30">
      <c r="Z1" s="315" t="s">
        <v>260</v>
      </c>
    </row>
    <row r="2" spans="1:30">
      <c r="Z2" s="315" t="s">
        <v>261</v>
      </c>
    </row>
    <row r="3" spans="1:30">
      <c r="L3" s="423"/>
      <c r="M3" s="423"/>
      <c r="N3" s="423"/>
      <c r="O3" s="423"/>
      <c r="P3" s="423"/>
      <c r="Q3" s="423"/>
      <c r="R3" s="423"/>
      <c r="S3" s="423"/>
      <c r="T3" s="423"/>
      <c r="U3" s="423"/>
      <c r="V3" s="423"/>
      <c r="W3" s="423"/>
      <c r="X3" s="423"/>
      <c r="Y3" s="423"/>
      <c r="Z3" s="675" t="s">
        <v>262</v>
      </c>
      <c r="AA3" s="675"/>
      <c r="AB3" s="675"/>
      <c r="AC3" s="675"/>
      <c r="AD3" s="675"/>
    </row>
    <row r="4" spans="1:30">
      <c r="V4" s="676" t="s">
        <v>272</v>
      </c>
      <c r="W4" s="676"/>
      <c r="X4" s="676"/>
      <c r="Y4" s="676"/>
      <c r="Z4" s="676"/>
      <c r="AA4" s="676"/>
      <c r="AB4" s="676"/>
      <c r="AC4" s="676"/>
      <c r="AD4" s="676"/>
    </row>
    <row r="5" spans="1:30">
      <c r="A5" s="677" t="s">
        <v>0</v>
      </c>
      <c r="B5" s="677"/>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row>
    <row r="7" spans="1:30" ht="19.5">
      <c r="A7" s="664" t="s">
        <v>1</v>
      </c>
      <c r="B7" s="664" t="s">
        <v>219</v>
      </c>
      <c r="C7" s="664" t="s">
        <v>2</v>
      </c>
      <c r="D7" s="664" t="s">
        <v>3</v>
      </c>
      <c r="E7" s="679" t="s">
        <v>273</v>
      </c>
      <c r="F7" s="680"/>
      <c r="G7" s="680"/>
      <c r="H7" s="680"/>
      <c r="I7" s="680"/>
      <c r="J7" s="680"/>
      <c r="K7" s="680"/>
      <c r="L7" s="680"/>
      <c r="M7" s="680"/>
      <c r="N7" s="680"/>
      <c r="O7" s="680"/>
      <c r="P7" s="680"/>
      <c r="Q7" s="680"/>
      <c r="R7" s="680"/>
      <c r="S7" s="680"/>
      <c r="T7" s="680"/>
      <c r="U7" s="680"/>
      <c r="V7" s="680"/>
      <c r="W7" s="680"/>
      <c r="X7" s="680"/>
      <c r="Y7" s="680"/>
      <c r="Z7" s="680"/>
      <c r="AA7" s="680"/>
      <c r="AB7" s="680"/>
      <c r="AC7" s="680"/>
      <c r="AD7" s="681"/>
    </row>
    <row r="8" spans="1:30">
      <c r="A8" s="678"/>
      <c r="B8" s="678"/>
      <c r="C8" s="678"/>
      <c r="D8" s="678"/>
      <c r="E8" s="682" t="s">
        <v>88</v>
      </c>
      <c r="F8" s="683"/>
      <c r="G8" s="683"/>
      <c r="H8" s="683"/>
      <c r="I8" s="684"/>
      <c r="J8" s="682" t="s">
        <v>89</v>
      </c>
      <c r="K8" s="683"/>
      <c r="L8" s="683"/>
      <c r="M8" s="683"/>
      <c r="N8" s="684"/>
      <c r="O8" s="682" t="s">
        <v>90</v>
      </c>
      <c r="P8" s="683"/>
      <c r="Q8" s="683"/>
      <c r="R8" s="683"/>
      <c r="S8" s="684"/>
      <c r="T8" s="682" t="s">
        <v>91</v>
      </c>
      <c r="U8" s="683"/>
      <c r="V8" s="683"/>
      <c r="W8" s="683"/>
      <c r="X8" s="684"/>
      <c r="Y8" s="682" t="s">
        <v>92</v>
      </c>
      <c r="Z8" s="683"/>
      <c r="AA8" s="683"/>
      <c r="AB8" s="683"/>
      <c r="AC8" s="684"/>
      <c r="AD8" s="664" t="s">
        <v>5</v>
      </c>
    </row>
    <row r="9" spans="1:30" ht="87.75">
      <c r="A9" s="665"/>
      <c r="B9" s="665"/>
      <c r="C9" s="665"/>
      <c r="D9" s="665"/>
      <c r="E9" s="426" t="s">
        <v>6</v>
      </c>
      <c r="F9" s="319" t="s">
        <v>7</v>
      </c>
      <c r="G9" s="319" t="s">
        <v>8</v>
      </c>
      <c r="H9" s="319" t="s">
        <v>9</v>
      </c>
      <c r="I9" s="320" t="s">
        <v>10</v>
      </c>
      <c r="J9" s="426" t="s">
        <v>6</v>
      </c>
      <c r="K9" s="319" t="s">
        <v>7</v>
      </c>
      <c r="L9" s="319" t="s">
        <v>8</v>
      </c>
      <c r="M9" s="319" t="s">
        <v>9</v>
      </c>
      <c r="N9" s="320" t="s">
        <v>10</v>
      </c>
      <c r="O9" s="426" t="s">
        <v>6</v>
      </c>
      <c r="P9" s="319" t="s">
        <v>7</v>
      </c>
      <c r="Q9" s="319" t="s">
        <v>8</v>
      </c>
      <c r="R9" s="319" t="s">
        <v>9</v>
      </c>
      <c r="S9" s="320" t="s">
        <v>10</v>
      </c>
      <c r="T9" s="426" t="s">
        <v>6</v>
      </c>
      <c r="U9" s="319" t="s">
        <v>7</v>
      </c>
      <c r="V9" s="319" t="s">
        <v>8</v>
      </c>
      <c r="W9" s="319" t="s">
        <v>9</v>
      </c>
      <c r="X9" s="320" t="s">
        <v>10</v>
      </c>
      <c r="Y9" s="426" t="s">
        <v>6</v>
      </c>
      <c r="Z9" s="319" t="s">
        <v>7</v>
      </c>
      <c r="AA9" s="319" t="s">
        <v>8</v>
      </c>
      <c r="AB9" s="319" t="s">
        <v>9</v>
      </c>
      <c r="AC9" s="320" t="s">
        <v>10</v>
      </c>
      <c r="AD9" s="665"/>
    </row>
    <row r="10" spans="1:30">
      <c r="A10" s="321">
        <v>1</v>
      </c>
      <c r="B10" s="321">
        <v>2</v>
      </c>
      <c r="C10" s="321">
        <v>3</v>
      </c>
      <c r="D10" s="321">
        <v>4</v>
      </c>
      <c r="E10" s="321">
        <v>5</v>
      </c>
      <c r="F10" s="321">
        <v>6</v>
      </c>
      <c r="G10" s="321">
        <v>7</v>
      </c>
      <c r="H10" s="321">
        <v>8</v>
      </c>
      <c r="I10" s="321">
        <v>9</v>
      </c>
      <c r="J10" s="321">
        <v>10</v>
      </c>
      <c r="K10" s="321">
        <v>11</v>
      </c>
      <c r="L10" s="321">
        <v>12</v>
      </c>
      <c r="M10" s="321">
        <v>13</v>
      </c>
      <c r="N10" s="321">
        <v>14</v>
      </c>
      <c r="O10" s="321">
        <v>15</v>
      </c>
      <c r="P10" s="321">
        <v>16</v>
      </c>
      <c r="Q10" s="321">
        <v>17</v>
      </c>
      <c r="R10" s="321">
        <v>18</v>
      </c>
      <c r="S10" s="321">
        <v>19</v>
      </c>
      <c r="T10" s="321">
        <v>20</v>
      </c>
      <c r="U10" s="321">
        <v>21</v>
      </c>
      <c r="V10" s="321">
        <v>22</v>
      </c>
      <c r="W10" s="321">
        <v>23</v>
      </c>
      <c r="X10" s="321">
        <v>24</v>
      </c>
      <c r="Y10" s="321">
        <v>25</v>
      </c>
      <c r="Z10" s="321">
        <v>26</v>
      </c>
      <c r="AA10" s="321">
        <v>27</v>
      </c>
      <c r="AB10" s="321">
        <v>28</v>
      </c>
      <c r="AC10" s="321">
        <v>29</v>
      </c>
      <c r="AD10" s="321">
        <v>30</v>
      </c>
    </row>
    <row r="11" spans="1:30">
      <c r="A11" s="666" t="s">
        <v>274</v>
      </c>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8"/>
    </row>
    <row r="12" spans="1:30" ht="23.25">
      <c r="A12" s="322" t="s">
        <v>221</v>
      </c>
      <c r="B12" s="669" t="s">
        <v>275</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1"/>
    </row>
    <row r="13" spans="1:30" ht="93">
      <c r="A13" s="323" t="s">
        <v>12</v>
      </c>
      <c r="B13" s="324" t="s">
        <v>81</v>
      </c>
      <c r="C13" s="661" t="s">
        <v>14</v>
      </c>
      <c r="D13" s="325" t="s">
        <v>93</v>
      </c>
      <c r="E13" s="298">
        <f>SUM(F13:I13)</f>
        <v>28350</v>
      </c>
      <c r="F13" s="298">
        <f>43350-15000</f>
        <v>28350</v>
      </c>
      <c r="G13" s="298">
        <v>0</v>
      </c>
      <c r="H13" s="298">
        <v>0</v>
      </c>
      <c r="I13" s="298">
        <v>0</v>
      </c>
      <c r="J13" s="298">
        <f>K13+L13+M13+N13</f>
        <v>26292</v>
      </c>
      <c r="K13" s="298">
        <f>19722+15778-9208</f>
        <v>26292</v>
      </c>
      <c r="L13" s="298">
        <v>0</v>
      </c>
      <c r="M13" s="299">
        <v>0</v>
      </c>
      <c r="N13" s="299">
        <v>0</v>
      </c>
      <c r="O13" s="299">
        <f>P13+Q13+R13+S13</f>
        <v>42513</v>
      </c>
      <c r="P13" s="299">
        <v>42513</v>
      </c>
      <c r="Q13" s="299">
        <v>0</v>
      </c>
      <c r="R13" s="299">
        <v>0</v>
      </c>
      <c r="S13" s="299">
        <v>0</v>
      </c>
      <c r="T13" s="299">
        <f>U13+V13+W13+X13</f>
        <v>0</v>
      </c>
      <c r="U13" s="299">
        <v>0</v>
      </c>
      <c r="V13" s="299">
        <v>0</v>
      </c>
      <c r="W13" s="299">
        <v>0</v>
      </c>
      <c r="X13" s="299">
        <v>0</v>
      </c>
      <c r="Y13" s="299">
        <f>Z13+AA13+AB13+AC13</f>
        <v>0</v>
      </c>
      <c r="Z13" s="299">
        <v>0</v>
      </c>
      <c r="AA13" s="299">
        <v>0</v>
      </c>
      <c r="AB13" s="299">
        <v>0</v>
      </c>
      <c r="AC13" s="299">
        <v>0</v>
      </c>
      <c r="AD13" s="326">
        <f t="shared" ref="AD13:AD18" si="0">E13+J13+O13+T13+Y13</f>
        <v>97155</v>
      </c>
    </row>
    <row r="14" spans="1:30" ht="116.25">
      <c r="A14" s="323" t="s">
        <v>13</v>
      </c>
      <c r="B14" s="327" t="s">
        <v>268</v>
      </c>
      <c r="C14" s="663"/>
      <c r="D14" s="325" t="s">
        <v>93</v>
      </c>
      <c r="E14" s="298">
        <f>SUM(F14:I14)</f>
        <v>7359</v>
      </c>
      <c r="F14" s="298">
        <f>12748-5387-2060</f>
        <v>5301</v>
      </c>
      <c r="G14" s="298">
        <v>0</v>
      </c>
      <c r="H14" s="298">
        <v>0</v>
      </c>
      <c r="I14" s="298">
        <f>4602-2544</f>
        <v>2058</v>
      </c>
      <c r="J14" s="298">
        <v>0</v>
      </c>
      <c r="K14" s="298">
        <v>0</v>
      </c>
      <c r="L14" s="298">
        <v>0</v>
      </c>
      <c r="M14" s="299">
        <v>0</v>
      </c>
      <c r="N14" s="299">
        <v>0</v>
      </c>
      <c r="O14" s="299">
        <v>0</v>
      </c>
      <c r="P14" s="299">
        <v>0</v>
      </c>
      <c r="Q14" s="299">
        <v>0</v>
      </c>
      <c r="R14" s="299">
        <v>0</v>
      </c>
      <c r="S14" s="299">
        <v>0</v>
      </c>
      <c r="T14" s="299">
        <f>U14+V14+W14+X14</f>
        <v>0</v>
      </c>
      <c r="U14" s="299">
        <v>0</v>
      </c>
      <c r="V14" s="299">
        <v>0</v>
      </c>
      <c r="W14" s="299">
        <v>0</v>
      </c>
      <c r="X14" s="299">
        <v>0</v>
      </c>
      <c r="Y14" s="299">
        <f>Z14+AA14+AB14+AC14</f>
        <v>0</v>
      </c>
      <c r="Z14" s="299">
        <v>0</v>
      </c>
      <c r="AA14" s="299">
        <v>0</v>
      </c>
      <c r="AB14" s="299">
        <v>0</v>
      </c>
      <c r="AC14" s="299">
        <v>0</v>
      </c>
      <c r="AD14" s="326">
        <f t="shared" si="0"/>
        <v>7359</v>
      </c>
    </row>
    <row r="15" spans="1:30" ht="93">
      <c r="A15" s="323" t="s">
        <v>15</v>
      </c>
      <c r="B15" s="328" t="s">
        <v>117</v>
      </c>
      <c r="C15" s="428" t="s">
        <v>218</v>
      </c>
      <c r="D15" s="322" t="s">
        <v>93</v>
      </c>
      <c r="E15" s="298">
        <f>F15+G15+H15+I15</f>
        <v>8260</v>
      </c>
      <c r="F15" s="298">
        <f>8260</f>
        <v>8260</v>
      </c>
      <c r="G15" s="298">
        <v>0</v>
      </c>
      <c r="H15" s="298">
        <v>0</v>
      </c>
      <c r="I15" s="298">
        <v>0</v>
      </c>
      <c r="J15" s="298">
        <f>K15+L15+M15+N15</f>
        <v>11513</v>
      </c>
      <c r="K15" s="298">
        <v>11513</v>
      </c>
      <c r="L15" s="298">
        <v>0</v>
      </c>
      <c r="M15" s="299">
        <v>0</v>
      </c>
      <c r="N15" s="299">
        <v>0</v>
      </c>
      <c r="O15" s="299">
        <f>P15+Q15+R15+S15</f>
        <v>10547</v>
      </c>
      <c r="P15" s="299">
        <v>10547</v>
      </c>
      <c r="Q15" s="299">
        <v>0</v>
      </c>
      <c r="R15" s="299">
        <v>0</v>
      </c>
      <c r="S15" s="299">
        <v>0</v>
      </c>
      <c r="T15" s="299">
        <f>U15+V15+W15+X15</f>
        <v>0</v>
      </c>
      <c r="U15" s="299">
        <v>0</v>
      </c>
      <c r="V15" s="299">
        <v>0</v>
      </c>
      <c r="W15" s="299">
        <v>0</v>
      </c>
      <c r="X15" s="299">
        <v>0</v>
      </c>
      <c r="Y15" s="299">
        <f>Z15+AA15+AB15+AC15</f>
        <v>0</v>
      </c>
      <c r="Z15" s="299">
        <v>0</v>
      </c>
      <c r="AA15" s="299">
        <v>0</v>
      </c>
      <c r="AB15" s="299">
        <v>0</v>
      </c>
      <c r="AC15" s="299">
        <v>0</v>
      </c>
      <c r="AD15" s="326">
        <f t="shared" si="0"/>
        <v>30320</v>
      </c>
    </row>
    <row r="16" spans="1:30" ht="93">
      <c r="A16" s="323" t="s">
        <v>16</v>
      </c>
      <c r="B16" s="330" t="s">
        <v>270</v>
      </c>
      <c r="C16" s="331" t="s">
        <v>14</v>
      </c>
      <c r="D16" s="322" t="s">
        <v>93</v>
      </c>
      <c r="E16" s="298">
        <f>F16+G16+H16+I16</f>
        <v>586.36999999999978</v>
      </c>
      <c r="F16" s="298">
        <f>3300-2825.3</f>
        <v>474.69999999999982</v>
      </c>
      <c r="G16" s="298">
        <v>0</v>
      </c>
      <c r="H16" s="298">
        <v>0</v>
      </c>
      <c r="I16" s="298">
        <f>775-663.33</f>
        <v>111.66999999999996</v>
      </c>
      <c r="J16" s="298">
        <v>0</v>
      </c>
      <c r="K16" s="298">
        <v>0</v>
      </c>
      <c r="L16" s="298">
        <v>0</v>
      </c>
      <c r="M16" s="299">
        <v>0</v>
      </c>
      <c r="N16" s="299">
        <v>0</v>
      </c>
      <c r="O16" s="299">
        <v>0</v>
      </c>
      <c r="P16" s="299">
        <v>0</v>
      </c>
      <c r="Q16" s="299">
        <v>0</v>
      </c>
      <c r="R16" s="299">
        <v>0</v>
      </c>
      <c r="S16" s="299">
        <v>0</v>
      </c>
      <c r="T16" s="299">
        <v>0</v>
      </c>
      <c r="U16" s="299">
        <v>0</v>
      </c>
      <c r="V16" s="299">
        <v>0</v>
      </c>
      <c r="W16" s="299">
        <v>0</v>
      </c>
      <c r="X16" s="299">
        <v>0</v>
      </c>
      <c r="Y16" s="299">
        <v>0</v>
      </c>
      <c r="Z16" s="299">
        <v>0</v>
      </c>
      <c r="AA16" s="299">
        <v>0</v>
      </c>
      <c r="AB16" s="299">
        <v>0</v>
      </c>
      <c r="AC16" s="299">
        <v>0</v>
      </c>
      <c r="AD16" s="326">
        <f t="shared" si="0"/>
        <v>586.36999999999978</v>
      </c>
    </row>
    <row r="17" spans="1:31" ht="37.5">
      <c r="A17" s="323" t="s">
        <v>17</v>
      </c>
      <c r="B17" s="330" t="s">
        <v>210</v>
      </c>
      <c r="C17" s="428" t="s">
        <v>94</v>
      </c>
      <c r="D17" s="332">
        <v>2020</v>
      </c>
      <c r="E17" s="298">
        <f t="shared" ref="E17:E22" si="1">F17+G17+H17+I17</f>
        <v>1192</v>
      </c>
      <c r="F17" s="298">
        <v>1192</v>
      </c>
      <c r="G17" s="298">
        <v>0</v>
      </c>
      <c r="H17" s="298">
        <v>0</v>
      </c>
      <c r="I17" s="298">
        <v>0</v>
      </c>
      <c r="J17" s="298">
        <f t="shared" ref="J17:J22" si="2">K17+L17+M17+N17</f>
        <v>0</v>
      </c>
      <c r="K17" s="298">
        <v>0</v>
      </c>
      <c r="L17" s="298">
        <v>0</v>
      </c>
      <c r="M17" s="299">
        <v>0</v>
      </c>
      <c r="N17" s="299">
        <v>0</v>
      </c>
      <c r="O17" s="299">
        <f>P17+Q17+R17+S17</f>
        <v>0</v>
      </c>
      <c r="P17" s="299">
        <v>0</v>
      </c>
      <c r="Q17" s="299">
        <v>0</v>
      </c>
      <c r="R17" s="299">
        <v>0</v>
      </c>
      <c r="S17" s="299">
        <v>0</v>
      </c>
      <c r="T17" s="299">
        <f>U17+V17+W17+X17</f>
        <v>0</v>
      </c>
      <c r="U17" s="299">
        <v>0</v>
      </c>
      <c r="V17" s="299">
        <v>0</v>
      </c>
      <c r="W17" s="299">
        <v>0</v>
      </c>
      <c r="X17" s="299">
        <v>0</v>
      </c>
      <c r="Y17" s="299">
        <f>Z17+AA17+AB17+AC17</f>
        <v>0</v>
      </c>
      <c r="Z17" s="299">
        <v>0</v>
      </c>
      <c r="AA17" s="299">
        <v>0</v>
      </c>
      <c r="AB17" s="299">
        <v>0</v>
      </c>
      <c r="AC17" s="299">
        <v>0</v>
      </c>
      <c r="AD17" s="299">
        <f t="shared" si="0"/>
        <v>1192</v>
      </c>
    </row>
    <row r="18" spans="1:31" ht="46.5">
      <c r="A18" s="323" t="s">
        <v>163</v>
      </c>
      <c r="B18" s="330" t="s">
        <v>121</v>
      </c>
      <c r="C18" s="428" t="s">
        <v>94</v>
      </c>
      <c r="D18" s="332" t="s">
        <v>164</v>
      </c>
      <c r="E18" s="298">
        <f t="shared" si="1"/>
        <v>6060</v>
      </c>
      <c r="F18" s="298">
        <f>6183-123</f>
        <v>6060</v>
      </c>
      <c r="G18" s="298">
        <v>0</v>
      </c>
      <c r="H18" s="298">
        <v>0</v>
      </c>
      <c r="I18" s="298">
        <v>0</v>
      </c>
      <c r="J18" s="298">
        <f t="shared" si="2"/>
        <v>5586</v>
      </c>
      <c r="K18" s="298">
        <f>5832-126-120</f>
        <v>5586</v>
      </c>
      <c r="L18" s="298">
        <v>0</v>
      </c>
      <c r="M18" s="299">
        <v>0</v>
      </c>
      <c r="N18" s="299">
        <v>0</v>
      </c>
      <c r="O18" s="334">
        <f>P18+Q18+R18+S18</f>
        <v>5700</v>
      </c>
      <c r="P18" s="334">
        <f>5760-60</f>
        <v>5700</v>
      </c>
      <c r="Q18" s="299">
        <v>0</v>
      </c>
      <c r="R18" s="299">
        <v>0</v>
      </c>
      <c r="S18" s="299">
        <v>0</v>
      </c>
      <c r="T18" s="299">
        <f>U18+V18+W18+X18</f>
        <v>0</v>
      </c>
      <c r="U18" s="299">
        <v>0</v>
      </c>
      <c r="V18" s="299">
        <v>0</v>
      </c>
      <c r="W18" s="299">
        <v>0</v>
      </c>
      <c r="X18" s="299">
        <v>0</v>
      </c>
      <c r="Y18" s="299">
        <f>Z18+AA18+AB18+AC18</f>
        <v>0</v>
      </c>
      <c r="Z18" s="299">
        <v>0</v>
      </c>
      <c r="AA18" s="299">
        <v>0</v>
      </c>
      <c r="AB18" s="299">
        <v>0</v>
      </c>
      <c r="AC18" s="299">
        <v>0</v>
      </c>
      <c r="AD18" s="299">
        <f t="shared" si="0"/>
        <v>17346</v>
      </c>
    </row>
    <row r="19" spans="1:31" ht="37.5">
      <c r="A19" s="323" t="s">
        <v>182</v>
      </c>
      <c r="B19" s="333" t="s">
        <v>124</v>
      </c>
      <c r="C19" s="428" t="s">
        <v>94</v>
      </c>
      <c r="D19" s="332" t="s">
        <v>282</v>
      </c>
      <c r="E19" s="298">
        <f t="shared" si="1"/>
        <v>785</v>
      </c>
      <c r="F19" s="298">
        <v>785</v>
      </c>
      <c r="G19" s="298">
        <v>0</v>
      </c>
      <c r="H19" s="298">
        <v>0</v>
      </c>
      <c r="I19" s="298">
        <v>0</v>
      </c>
      <c r="J19" s="298">
        <f t="shared" si="2"/>
        <v>90</v>
      </c>
      <c r="K19" s="298">
        <v>90</v>
      </c>
      <c r="L19" s="298">
        <v>0</v>
      </c>
      <c r="M19" s="299">
        <v>0</v>
      </c>
      <c r="N19" s="299">
        <v>0</v>
      </c>
      <c r="O19" s="299">
        <v>0</v>
      </c>
      <c r="P19" s="299">
        <v>0</v>
      </c>
      <c r="Q19" s="299">
        <v>0</v>
      </c>
      <c r="R19" s="299">
        <v>0</v>
      </c>
      <c r="S19" s="299">
        <v>0</v>
      </c>
      <c r="T19" s="299">
        <v>0</v>
      </c>
      <c r="U19" s="299">
        <v>0</v>
      </c>
      <c r="V19" s="299">
        <v>0</v>
      </c>
      <c r="W19" s="299">
        <v>0</v>
      </c>
      <c r="X19" s="299">
        <v>0</v>
      </c>
      <c r="Y19" s="299">
        <v>0</v>
      </c>
      <c r="Z19" s="299">
        <v>0</v>
      </c>
      <c r="AA19" s="299">
        <v>0</v>
      </c>
      <c r="AB19" s="299">
        <v>0</v>
      </c>
      <c r="AC19" s="299">
        <v>0</v>
      </c>
      <c r="AD19" s="299">
        <f>E19+J19+O19+T19+Y19</f>
        <v>875</v>
      </c>
    </row>
    <row r="20" spans="1:31" ht="46.5">
      <c r="A20" s="323" t="s">
        <v>208</v>
      </c>
      <c r="B20" s="333" t="s">
        <v>126</v>
      </c>
      <c r="C20" s="428" t="s">
        <v>94</v>
      </c>
      <c r="D20" s="332">
        <v>2020</v>
      </c>
      <c r="E20" s="298">
        <f t="shared" si="1"/>
        <v>110</v>
      </c>
      <c r="F20" s="298">
        <v>110</v>
      </c>
      <c r="G20" s="298">
        <v>0</v>
      </c>
      <c r="H20" s="298">
        <v>0</v>
      </c>
      <c r="I20" s="298">
        <v>0</v>
      </c>
      <c r="J20" s="298">
        <f t="shared" si="2"/>
        <v>0</v>
      </c>
      <c r="K20" s="298">
        <v>0</v>
      </c>
      <c r="L20" s="298">
        <v>0</v>
      </c>
      <c r="M20" s="299">
        <v>0</v>
      </c>
      <c r="N20" s="299">
        <v>0</v>
      </c>
      <c r="O20" s="299">
        <f t="shared" ref="O20:O26" si="3">P20+Q20+R20+S20</f>
        <v>0</v>
      </c>
      <c r="P20" s="299">
        <v>0</v>
      </c>
      <c r="Q20" s="299">
        <v>0</v>
      </c>
      <c r="R20" s="299">
        <v>0</v>
      </c>
      <c r="S20" s="299">
        <v>0</v>
      </c>
      <c r="T20" s="299">
        <f t="shared" ref="T20:T26" si="4">U20+V20+W20+X20</f>
        <v>0</v>
      </c>
      <c r="U20" s="299">
        <v>0</v>
      </c>
      <c r="V20" s="299">
        <v>0</v>
      </c>
      <c r="W20" s="299">
        <v>0</v>
      </c>
      <c r="X20" s="299">
        <v>0</v>
      </c>
      <c r="Y20" s="299">
        <f>Z20+AA20+AB20+AC20</f>
        <v>0</v>
      </c>
      <c r="Z20" s="299">
        <v>0</v>
      </c>
      <c r="AA20" s="299">
        <v>0</v>
      </c>
      <c r="AB20" s="299">
        <v>0</v>
      </c>
      <c r="AC20" s="299">
        <v>0</v>
      </c>
      <c r="AD20" s="299">
        <f t="shared" ref="AD20:AD26" si="5">E20+J20+O20+T20+Y20</f>
        <v>110</v>
      </c>
    </row>
    <row r="21" spans="1:31" ht="69.75">
      <c r="A21" s="323" t="s">
        <v>211</v>
      </c>
      <c r="B21" s="333" t="s">
        <v>122</v>
      </c>
      <c r="C21" s="428" t="s">
        <v>94</v>
      </c>
      <c r="D21" s="332">
        <v>2020</v>
      </c>
      <c r="E21" s="298">
        <f t="shared" si="1"/>
        <v>53</v>
      </c>
      <c r="F21" s="298">
        <v>53</v>
      </c>
      <c r="G21" s="298">
        <v>0</v>
      </c>
      <c r="H21" s="298">
        <v>0</v>
      </c>
      <c r="I21" s="298">
        <v>0</v>
      </c>
      <c r="J21" s="298">
        <f t="shared" si="2"/>
        <v>0</v>
      </c>
      <c r="K21" s="298">
        <v>0</v>
      </c>
      <c r="L21" s="298">
        <v>0</v>
      </c>
      <c r="M21" s="299">
        <v>0</v>
      </c>
      <c r="N21" s="299">
        <v>0</v>
      </c>
      <c r="O21" s="299">
        <f t="shared" si="3"/>
        <v>0</v>
      </c>
      <c r="P21" s="299">
        <v>0</v>
      </c>
      <c r="Q21" s="299">
        <v>0</v>
      </c>
      <c r="R21" s="299">
        <v>0</v>
      </c>
      <c r="S21" s="299">
        <v>0</v>
      </c>
      <c r="T21" s="299">
        <f t="shared" si="4"/>
        <v>0</v>
      </c>
      <c r="U21" s="299">
        <v>0</v>
      </c>
      <c r="V21" s="299">
        <v>0</v>
      </c>
      <c r="W21" s="299">
        <v>0</v>
      </c>
      <c r="X21" s="299">
        <v>0</v>
      </c>
      <c r="Y21" s="299">
        <f>Z21+AA21+AB21+AC21</f>
        <v>0</v>
      </c>
      <c r="Z21" s="299">
        <v>0</v>
      </c>
      <c r="AA21" s="299">
        <v>0</v>
      </c>
      <c r="AB21" s="299">
        <v>0</v>
      </c>
      <c r="AC21" s="299">
        <v>0</v>
      </c>
      <c r="AD21" s="299">
        <f t="shared" si="5"/>
        <v>53</v>
      </c>
    </row>
    <row r="22" spans="1:31" ht="46.5">
      <c r="A22" s="323" t="s">
        <v>212</v>
      </c>
      <c r="B22" s="333" t="s">
        <v>123</v>
      </c>
      <c r="C22" s="428" t="s">
        <v>94</v>
      </c>
      <c r="D22" s="332">
        <v>2020</v>
      </c>
      <c r="E22" s="298">
        <f t="shared" si="1"/>
        <v>130</v>
      </c>
      <c r="F22" s="298">
        <f>112+18</f>
        <v>130</v>
      </c>
      <c r="G22" s="298">
        <v>0</v>
      </c>
      <c r="H22" s="298">
        <v>0</v>
      </c>
      <c r="I22" s="298">
        <v>0</v>
      </c>
      <c r="J22" s="298">
        <f t="shared" si="2"/>
        <v>0</v>
      </c>
      <c r="K22" s="298">
        <v>0</v>
      </c>
      <c r="L22" s="298">
        <v>0</v>
      </c>
      <c r="M22" s="299">
        <v>0</v>
      </c>
      <c r="N22" s="299">
        <v>0</v>
      </c>
      <c r="O22" s="299">
        <f t="shared" si="3"/>
        <v>0</v>
      </c>
      <c r="P22" s="299">
        <v>0</v>
      </c>
      <c r="Q22" s="299">
        <v>0</v>
      </c>
      <c r="R22" s="299">
        <v>0</v>
      </c>
      <c r="S22" s="299">
        <v>0</v>
      </c>
      <c r="T22" s="299">
        <f t="shared" si="4"/>
        <v>0</v>
      </c>
      <c r="U22" s="299">
        <v>0</v>
      </c>
      <c r="V22" s="299">
        <v>0</v>
      </c>
      <c r="W22" s="299">
        <v>0</v>
      </c>
      <c r="X22" s="299">
        <v>0</v>
      </c>
      <c r="Y22" s="299">
        <f>Z22+AA22+AB22+AC22</f>
        <v>0</v>
      </c>
      <c r="Z22" s="299">
        <v>0</v>
      </c>
      <c r="AA22" s="299">
        <v>0</v>
      </c>
      <c r="AB22" s="299">
        <v>0</v>
      </c>
      <c r="AC22" s="299">
        <v>0</v>
      </c>
      <c r="AD22" s="299">
        <f t="shared" si="5"/>
        <v>130</v>
      </c>
    </row>
    <row r="23" spans="1:31" ht="46.5">
      <c r="A23" s="323" t="s">
        <v>213</v>
      </c>
      <c r="B23" s="333" t="s">
        <v>125</v>
      </c>
      <c r="C23" s="428" t="s">
        <v>94</v>
      </c>
      <c r="D23" s="332" t="s">
        <v>164</v>
      </c>
      <c r="E23" s="298">
        <v>120</v>
      </c>
      <c r="F23" s="298">
        <v>120</v>
      </c>
      <c r="G23" s="298">
        <v>0</v>
      </c>
      <c r="H23" s="298">
        <v>0</v>
      </c>
      <c r="I23" s="298">
        <v>0</v>
      </c>
      <c r="J23" s="298">
        <f>K23+L23+M23+N23</f>
        <v>0</v>
      </c>
      <c r="K23" s="298">
        <f>60-60</f>
        <v>0</v>
      </c>
      <c r="L23" s="298">
        <v>0</v>
      </c>
      <c r="M23" s="299">
        <v>0</v>
      </c>
      <c r="N23" s="299">
        <v>0</v>
      </c>
      <c r="O23" s="334">
        <f t="shared" si="3"/>
        <v>120</v>
      </c>
      <c r="P23" s="334">
        <f>60+60</f>
        <v>120</v>
      </c>
      <c r="Q23" s="299">
        <v>0</v>
      </c>
      <c r="R23" s="299">
        <v>0</v>
      </c>
      <c r="S23" s="299">
        <v>0</v>
      </c>
      <c r="T23" s="299">
        <f t="shared" si="4"/>
        <v>0</v>
      </c>
      <c r="U23" s="299">
        <v>0</v>
      </c>
      <c r="V23" s="299">
        <v>0</v>
      </c>
      <c r="W23" s="299">
        <v>0</v>
      </c>
      <c r="X23" s="299">
        <v>0</v>
      </c>
      <c r="Y23" s="299">
        <f>Z23+AA23+AB23+AC23</f>
        <v>0</v>
      </c>
      <c r="Z23" s="299">
        <v>0</v>
      </c>
      <c r="AA23" s="299">
        <v>0</v>
      </c>
      <c r="AB23" s="299">
        <v>0</v>
      </c>
      <c r="AC23" s="299">
        <v>0</v>
      </c>
      <c r="AD23" s="299">
        <f t="shared" si="5"/>
        <v>240</v>
      </c>
    </row>
    <row r="24" spans="1:31" ht="37.5">
      <c r="A24" s="369" t="s">
        <v>214</v>
      </c>
      <c r="B24" s="370" t="s">
        <v>205</v>
      </c>
      <c r="C24" s="371" t="s">
        <v>52</v>
      </c>
      <c r="D24" s="372" t="s">
        <v>287</v>
      </c>
      <c r="E24" s="373">
        <v>23068</v>
      </c>
      <c r="F24" s="373">
        <v>0</v>
      </c>
      <c r="G24" s="373">
        <v>23068</v>
      </c>
      <c r="H24" s="373">
        <v>0</v>
      </c>
      <c r="I24" s="373">
        <v>0</v>
      </c>
      <c r="J24" s="373">
        <f>K24+L24+M24+N24</f>
        <v>22592</v>
      </c>
      <c r="K24" s="373">
        <v>0</v>
      </c>
      <c r="L24" s="373">
        <f>23742-1150</f>
        <v>22592</v>
      </c>
      <c r="M24" s="374">
        <v>0</v>
      </c>
      <c r="N24" s="374">
        <v>0</v>
      </c>
      <c r="O24" s="299">
        <f t="shared" si="3"/>
        <v>25095.52</v>
      </c>
      <c r="P24" s="299">
        <v>0</v>
      </c>
      <c r="Q24" s="299">
        <f>24077+1018.52</f>
        <v>25095.52</v>
      </c>
      <c r="R24" s="374">
        <v>0</v>
      </c>
      <c r="S24" s="374">
        <v>0</v>
      </c>
      <c r="T24" s="374">
        <f t="shared" si="4"/>
        <v>24077</v>
      </c>
      <c r="U24" s="374">
        <v>0</v>
      </c>
      <c r="V24" s="374">
        <v>24077</v>
      </c>
      <c r="W24" s="374">
        <v>0</v>
      </c>
      <c r="X24" s="374">
        <v>0</v>
      </c>
      <c r="Y24" s="374">
        <f>Z24+AA24+AB24+AC24</f>
        <v>24077</v>
      </c>
      <c r="Z24" s="374">
        <v>0</v>
      </c>
      <c r="AA24" s="374">
        <v>24077</v>
      </c>
      <c r="AB24" s="374">
        <v>0</v>
      </c>
      <c r="AC24" s="374">
        <v>0</v>
      </c>
      <c r="AD24" s="374">
        <f>E24+J24+O24+T24+Y24</f>
        <v>118909.52</v>
      </c>
    </row>
    <row r="25" spans="1:31" ht="46.5">
      <c r="A25" s="369" t="s">
        <v>215</v>
      </c>
      <c r="B25" s="370" t="s">
        <v>198</v>
      </c>
      <c r="C25" s="371" t="s">
        <v>52</v>
      </c>
      <c r="D25" s="372" t="s">
        <v>309</v>
      </c>
      <c r="E25" s="373">
        <v>238</v>
      </c>
      <c r="F25" s="375">
        <v>0</v>
      </c>
      <c r="G25" s="373">
        <v>238</v>
      </c>
      <c r="H25" s="373">
        <v>0</v>
      </c>
      <c r="I25" s="373">
        <v>0</v>
      </c>
      <c r="J25" s="373">
        <f>K25+L25+M25+N25</f>
        <v>476</v>
      </c>
      <c r="K25" s="373">
        <v>0</v>
      </c>
      <c r="L25" s="373">
        <v>476</v>
      </c>
      <c r="M25" s="374">
        <v>0</v>
      </c>
      <c r="N25" s="374">
        <v>0</v>
      </c>
      <c r="O25" s="334">
        <f t="shared" si="3"/>
        <v>476</v>
      </c>
      <c r="P25" s="334">
        <v>0</v>
      </c>
      <c r="Q25" s="334">
        <v>476</v>
      </c>
      <c r="R25" s="374">
        <v>0</v>
      </c>
      <c r="S25" s="374">
        <v>0</v>
      </c>
      <c r="T25" s="374">
        <f t="shared" si="4"/>
        <v>0</v>
      </c>
      <c r="U25" s="374">
        <v>0</v>
      </c>
      <c r="V25" s="374">
        <v>0</v>
      </c>
      <c r="W25" s="374">
        <v>0</v>
      </c>
      <c r="X25" s="374">
        <v>0</v>
      </c>
      <c r="Y25" s="374">
        <v>0</v>
      </c>
      <c r="Z25" s="374">
        <v>0</v>
      </c>
      <c r="AA25" s="374">
        <v>0</v>
      </c>
      <c r="AB25" s="374">
        <v>0</v>
      </c>
      <c r="AC25" s="374">
        <v>0</v>
      </c>
      <c r="AD25" s="374">
        <f>E25+J25+O25+T25+Y25</f>
        <v>1190</v>
      </c>
    </row>
    <row r="26" spans="1:31" ht="46.5">
      <c r="A26" s="369" t="s">
        <v>216</v>
      </c>
      <c r="B26" s="376" t="s">
        <v>217</v>
      </c>
      <c r="C26" s="371" t="s">
        <v>94</v>
      </c>
      <c r="D26" s="372">
        <v>2020</v>
      </c>
      <c r="E26" s="373">
        <f>F26+G26+H26+I26</f>
        <v>120</v>
      </c>
      <c r="F26" s="373">
        <f>300-180</f>
        <v>120</v>
      </c>
      <c r="G26" s="373">
        <v>0</v>
      </c>
      <c r="H26" s="373">
        <v>0</v>
      </c>
      <c r="I26" s="373">
        <v>0</v>
      </c>
      <c r="J26" s="373">
        <f>K26+L26+M26+N26</f>
        <v>0</v>
      </c>
      <c r="K26" s="373">
        <v>0</v>
      </c>
      <c r="L26" s="373">
        <v>0</v>
      </c>
      <c r="M26" s="374">
        <v>0</v>
      </c>
      <c r="N26" s="374">
        <v>0</v>
      </c>
      <c r="O26" s="374">
        <f t="shared" si="3"/>
        <v>0</v>
      </c>
      <c r="P26" s="374">
        <v>0</v>
      </c>
      <c r="Q26" s="374">
        <v>0</v>
      </c>
      <c r="R26" s="374">
        <v>0</v>
      </c>
      <c r="S26" s="374">
        <v>0</v>
      </c>
      <c r="T26" s="374">
        <f t="shared" si="4"/>
        <v>0</v>
      </c>
      <c r="U26" s="374">
        <v>0</v>
      </c>
      <c r="V26" s="374">
        <v>0</v>
      </c>
      <c r="W26" s="374">
        <v>0</v>
      </c>
      <c r="X26" s="374">
        <v>0</v>
      </c>
      <c r="Y26" s="374">
        <f>Z26+AA26+AB26+AC26</f>
        <v>0</v>
      </c>
      <c r="Z26" s="374">
        <v>0</v>
      </c>
      <c r="AA26" s="374">
        <v>0</v>
      </c>
      <c r="AB26" s="374">
        <v>0</v>
      </c>
      <c r="AC26" s="374">
        <v>0</v>
      </c>
      <c r="AD26" s="374">
        <f t="shared" si="5"/>
        <v>120</v>
      </c>
    </row>
    <row r="27" spans="1:31" ht="23.25">
      <c r="A27" s="687" t="s">
        <v>313</v>
      </c>
      <c r="B27" s="688"/>
      <c r="C27" s="689"/>
      <c r="D27" s="377"/>
      <c r="E27" s="378">
        <f>E28+E29+E30</f>
        <v>76431.37</v>
      </c>
      <c r="F27" s="378">
        <f>SUM(F13:F26)</f>
        <v>50955.7</v>
      </c>
      <c r="G27" s="378">
        <f>G28+G29+G30</f>
        <v>23306</v>
      </c>
      <c r="H27" s="378">
        <f>SUM(H13:H17)</f>
        <v>0</v>
      </c>
      <c r="I27" s="378">
        <f>SUM(I13:I17)</f>
        <v>2169.67</v>
      </c>
      <c r="J27" s="378">
        <f>J28+J29+J30</f>
        <v>66549</v>
      </c>
      <c r="K27" s="378">
        <f>K28+K29</f>
        <v>43481</v>
      </c>
      <c r="L27" s="378">
        <f>L13+L14+L15+L16+L17+L18+L19+L20+L21+L22+L23+L24+L25+L26</f>
        <v>23068</v>
      </c>
      <c r="M27" s="378">
        <f>SUM(M13:M17)</f>
        <v>0</v>
      </c>
      <c r="N27" s="378">
        <f>SUM(N13:N17)</f>
        <v>0</v>
      </c>
      <c r="O27" s="378">
        <f>P27+Q27+R27+S27</f>
        <v>84451.520000000004</v>
      </c>
      <c r="P27" s="378">
        <f>P28+P29</f>
        <v>58880</v>
      </c>
      <c r="Q27" s="378">
        <f>Q28+Q29+Q30</f>
        <v>25571.52</v>
      </c>
      <c r="R27" s="378">
        <f>SUM(R13:R17)</f>
        <v>0</v>
      </c>
      <c r="S27" s="378">
        <f>SUM(S13:S17)</f>
        <v>0</v>
      </c>
      <c r="T27" s="378">
        <f>SUM(T13:T26)</f>
        <v>24077</v>
      </c>
      <c r="U27" s="378">
        <f>SUM(U13:U26)</f>
        <v>0</v>
      </c>
      <c r="V27" s="378">
        <f>V28+V29+V30</f>
        <v>24077</v>
      </c>
      <c r="W27" s="378">
        <f>SUM(W13:W16)</f>
        <v>0</v>
      </c>
      <c r="X27" s="378">
        <f>SUM(X13:X16)</f>
        <v>0</v>
      </c>
      <c r="Y27" s="378">
        <v>24077</v>
      </c>
      <c r="Z27" s="378">
        <f>Z28+Z29+Z30</f>
        <v>0</v>
      </c>
      <c r="AA27" s="378">
        <f>AA28+AA29+AA30</f>
        <v>24077</v>
      </c>
      <c r="AB27" s="378">
        <f>SUM(AB13:AB17)</f>
        <v>0</v>
      </c>
      <c r="AC27" s="378">
        <f>SUM(AC13:AC17)</f>
        <v>0</v>
      </c>
      <c r="AD27" s="378">
        <f>AD28+AD29+AD30</f>
        <v>275585.89</v>
      </c>
    </row>
    <row r="28" spans="1:31" ht="23.25">
      <c r="A28" s="379" t="s">
        <v>14</v>
      </c>
      <c r="B28" s="431"/>
      <c r="C28" s="432"/>
      <c r="D28" s="380"/>
      <c r="E28" s="374">
        <f>F28+G28+H28+I28</f>
        <v>36295.369999999995</v>
      </c>
      <c r="F28" s="374">
        <f>F13+F14+F16</f>
        <v>34125.699999999997</v>
      </c>
      <c r="G28" s="374">
        <f>G13+G14+G16</f>
        <v>0</v>
      </c>
      <c r="H28" s="374">
        <f>G13+G14+G16</f>
        <v>0</v>
      </c>
      <c r="I28" s="374">
        <f>I14+I16</f>
        <v>2169.67</v>
      </c>
      <c r="J28" s="374">
        <f t="shared" ref="J28:V28" si="6">J13+J14+J16</f>
        <v>26292</v>
      </c>
      <c r="K28" s="374">
        <f t="shared" si="6"/>
        <v>26292</v>
      </c>
      <c r="L28" s="374">
        <f t="shared" si="6"/>
        <v>0</v>
      </c>
      <c r="M28" s="374">
        <f t="shared" si="6"/>
        <v>0</v>
      </c>
      <c r="N28" s="374">
        <f t="shared" si="6"/>
        <v>0</v>
      </c>
      <c r="O28" s="374">
        <f t="shared" si="6"/>
        <v>42513</v>
      </c>
      <c r="P28" s="374">
        <f t="shared" si="6"/>
        <v>42513</v>
      </c>
      <c r="Q28" s="374">
        <f t="shared" si="6"/>
        <v>0</v>
      </c>
      <c r="R28" s="374">
        <f t="shared" si="6"/>
        <v>0</v>
      </c>
      <c r="S28" s="374">
        <f t="shared" si="6"/>
        <v>0</v>
      </c>
      <c r="T28" s="374">
        <f t="shared" si="6"/>
        <v>0</v>
      </c>
      <c r="U28" s="374">
        <f t="shared" si="6"/>
        <v>0</v>
      </c>
      <c r="V28" s="374">
        <f t="shared" si="6"/>
        <v>0</v>
      </c>
      <c r="W28" s="374">
        <f>W13+W14+W16</f>
        <v>0</v>
      </c>
      <c r="X28" s="374">
        <f t="shared" ref="X28:AC28" si="7">X13+X14+X16</f>
        <v>0</v>
      </c>
      <c r="Y28" s="374">
        <f t="shared" si="7"/>
        <v>0</v>
      </c>
      <c r="Z28" s="374">
        <f>Z13+Z14+Z16</f>
        <v>0</v>
      </c>
      <c r="AA28" s="374">
        <f t="shared" si="7"/>
        <v>0</v>
      </c>
      <c r="AB28" s="374">
        <f t="shared" si="7"/>
        <v>0</v>
      </c>
      <c r="AC28" s="374">
        <f t="shared" si="7"/>
        <v>0</v>
      </c>
      <c r="AD28" s="374">
        <f>E28+J28+O28+T28+Y28</f>
        <v>105100.37</v>
      </c>
    </row>
    <row r="29" spans="1:31" ht="23.25">
      <c r="A29" s="379" t="s">
        <v>135</v>
      </c>
      <c r="B29" s="381"/>
      <c r="C29" s="382"/>
      <c r="D29" s="380"/>
      <c r="E29" s="374">
        <f>E15+E17+E18+E19+E20+E21+E22+E23+E26</f>
        <v>16830</v>
      </c>
      <c r="F29" s="374">
        <f>F15+F17+F18+F19+F20+F21+F22+F23+F26</f>
        <v>16830</v>
      </c>
      <c r="G29" s="374">
        <f>G15+G16</f>
        <v>0</v>
      </c>
      <c r="H29" s="374">
        <f>H15+H17+H18+H19+H20+H21+H22+H23+H26</f>
        <v>0</v>
      </c>
      <c r="I29" s="374">
        <f>I15+I17+I17+I18+I19+I20+I21+I22+I23+I26</f>
        <v>0</v>
      </c>
      <c r="J29" s="374">
        <f>J15+J17+J18+J19+J20+J21+J22+J23+J26</f>
        <v>17189</v>
      </c>
      <c r="K29" s="374">
        <f>K15+K17+K18+K19+K20+K21+K22+K23+K26</f>
        <v>17189</v>
      </c>
      <c r="L29" s="374">
        <f>L15+L17+L18+L19+L20+L21+L22+L23+L26</f>
        <v>0</v>
      </c>
      <c r="M29" s="374">
        <f>M24+M25</f>
        <v>0</v>
      </c>
      <c r="N29" s="374">
        <f>N24+N25</f>
        <v>0</v>
      </c>
      <c r="O29" s="374">
        <f>O15+O17+O18+O19+O20+O21+O22+O23+O26</f>
        <v>16367</v>
      </c>
      <c r="P29" s="374">
        <f>P15+P17+P18+P19+P20+P21+P22+P23+P26</f>
        <v>16367</v>
      </c>
      <c r="Q29" s="374">
        <f t="shared" ref="Q29:AC29" si="8">Q15+Q17+Q18+Q19+Q20+Q21+Q22+Q23+Q26</f>
        <v>0</v>
      </c>
      <c r="R29" s="374">
        <f t="shared" si="8"/>
        <v>0</v>
      </c>
      <c r="S29" s="374">
        <f t="shared" si="8"/>
        <v>0</v>
      </c>
      <c r="T29" s="374">
        <f t="shared" si="8"/>
        <v>0</v>
      </c>
      <c r="U29" s="374">
        <f>U15+U17+U18+U19+U20+U21+U22+U23+U26</f>
        <v>0</v>
      </c>
      <c r="V29" s="374">
        <f t="shared" si="8"/>
        <v>0</v>
      </c>
      <c r="W29" s="374">
        <f t="shared" si="8"/>
        <v>0</v>
      </c>
      <c r="X29" s="374">
        <f t="shared" si="8"/>
        <v>0</v>
      </c>
      <c r="Y29" s="374">
        <f t="shared" si="8"/>
        <v>0</v>
      </c>
      <c r="Z29" s="374">
        <f>Z15+Z17+Z18+Z19+Z20+Z21+Z22+Z23+Z26</f>
        <v>0</v>
      </c>
      <c r="AA29" s="374">
        <f t="shared" si="8"/>
        <v>0</v>
      </c>
      <c r="AB29" s="374">
        <f t="shared" si="8"/>
        <v>0</v>
      </c>
      <c r="AC29" s="374">
        <f t="shared" si="8"/>
        <v>0</v>
      </c>
      <c r="AD29" s="374">
        <f>E29+J29+O29+T29+Y29</f>
        <v>50386</v>
      </c>
      <c r="AE29" s="344"/>
    </row>
    <row r="30" spans="1:31" ht="23.25">
      <c r="A30" s="431" t="s">
        <v>73</v>
      </c>
      <c r="B30" s="432"/>
      <c r="C30" s="432"/>
      <c r="D30" s="383"/>
      <c r="E30" s="374">
        <f t="shared" ref="E30:S30" si="9">E24+E25</f>
        <v>23306</v>
      </c>
      <c r="F30" s="374">
        <f t="shared" si="9"/>
        <v>0</v>
      </c>
      <c r="G30" s="374">
        <f t="shared" si="9"/>
        <v>23306</v>
      </c>
      <c r="H30" s="374">
        <f t="shared" si="9"/>
        <v>0</v>
      </c>
      <c r="I30" s="374">
        <f t="shared" si="9"/>
        <v>0</v>
      </c>
      <c r="J30" s="374">
        <f t="shared" si="9"/>
        <v>23068</v>
      </c>
      <c r="K30" s="374">
        <f t="shared" si="9"/>
        <v>0</v>
      </c>
      <c r="L30" s="374">
        <f t="shared" si="9"/>
        <v>23068</v>
      </c>
      <c r="M30" s="374">
        <f t="shared" si="9"/>
        <v>0</v>
      </c>
      <c r="N30" s="374">
        <f t="shared" si="9"/>
        <v>0</v>
      </c>
      <c r="O30" s="374">
        <f t="shared" si="9"/>
        <v>25571.52</v>
      </c>
      <c r="P30" s="374">
        <f t="shared" si="9"/>
        <v>0</v>
      </c>
      <c r="Q30" s="374">
        <f>Q24+Q25</f>
        <v>25571.52</v>
      </c>
      <c r="R30" s="374">
        <f t="shared" si="9"/>
        <v>0</v>
      </c>
      <c r="S30" s="374">
        <f t="shared" si="9"/>
        <v>0</v>
      </c>
      <c r="T30" s="374">
        <f>T24+T25</f>
        <v>24077</v>
      </c>
      <c r="U30" s="374">
        <f>U25+U24</f>
        <v>0</v>
      </c>
      <c r="V30" s="374">
        <f>V24+V25</f>
        <v>24077</v>
      </c>
      <c r="W30" s="374">
        <f t="shared" ref="W30:AC30" si="10">W24+W25</f>
        <v>0</v>
      </c>
      <c r="X30" s="374">
        <f t="shared" si="10"/>
        <v>0</v>
      </c>
      <c r="Y30" s="374">
        <f t="shared" si="10"/>
        <v>24077</v>
      </c>
      <c r="Z30" s="374">
        <f t="shared" si="10"/>
        <v>0</v>
      </c>
      <c r="AA30" s="374">
        <f t="shared" si="10"/>
        <v>24077</v>
      </c>
      <c r="AB30" s="374">
        <f t="shared" si="10"/>
        <v>0</v>
      </c>
      <c r="AC30" s="374">
        <f t="shared" si="10"/>
        <v>0</v>
      </c>
      <c r="AD30" s="374">
        <f>E30+J30+O30+T30+Y30</f>
        <v>120099.52</v>
      </c>
      <c r="AE30" s="344"/>
    </row>
    <row r="31" spans="1:31" ht="23.25">
      <c r="A31" s="384" t="s">
        <v>222</v>
      </c>
      <c r="B31" s="690" t="s">
        <v>308</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2"/>
    </row>
    <row r="32" spans="1:31" ht="93">
      <c r="A32" s="323" t="s">
        <v>21</v>
      </c>
      <c r="B32" s="346" t="s">
        <v>192</v>
      </c>
      <c r="C32" s="322" t="s">
        <v>94</v>
      </c>
      <c r="D32" s="322" t="s">
        <v>93</v>
      </c>
      <c r="E32" s="299">
        <f>F32+G32+H32+I32</f>
        <v>1892</v>
      </c>
      <c r="F32" s="299">
        <f>2664-772</f>
        <v>1892</v>
      </c>
      <c r="G32" s="299">
        <v>0</v>
      </c>
      <c r="H32" s="299">
        <v>0</v>
      </c>
      <c r="I32" s="299">
        <v>0</v>
      </c>
      <c r="J32" s="299">
        <f>K32+L32+M32+N32</f>
        <v>1072</v>
      </c>
      <c r="K32" s="299">
        <f>1892-286-534</f>
        <v>1072</v>
      </c>
      <c r="L32" s="299">
        <v>0</v>
      </c>
      <c r="M32" s="299">
        <v>0</v>
      </c>
      <c r="N32" s="299">
        <v>0</v>
      </c>
      <c r="O32" s="334">
        <f>P32+Q32+R32+S32</f>
        <v>1168</v>
      </c>
      <c r="P32" s="334">
        <f>1633-465</f>
        <v>1168</v>
      </c>
      <c r="Q32" s="334">
        <v>0</v>
      </c>
      <c r="R32" s="334">
        <v>0</v>
      </c>
      <c r="S32" s="299">
        <v>0</v>
      </c>
      <c r="T32" s="299">
        <f>U32+V32+W32+X32</f>
        <v>0</v>
      </c>
      <c r="U32" s="299">
        <v>0</v>
      </c>
      <c r="V32" s="299">
        <v>0</v>
      </c>
      <c r="W32" s="299">
        <v>0</v>
      </c>
      <c r="X32" s="299">
        <v>0</v>
      </c>
      <c r="Y32" s="299">
        <f>Z32+AA32+AB32+AC32</f>
        <v>0</v>
      </c>
      <c r="Z32" s="299">
        <v>0</v>
      </c>
      <c r="AA32" s="299">
        <v>0</v>
      </c>
      <c r="AB32" s="299">
        <v>0</v>
      </c>
      <c r="AC32" s="299">
        <v>0</v>
      </c>
      <c r="AD32" s="299">
        <f>E32+J32+O32+T32+Y32</f>
        <v>4132</v>
      </c>
    </row>
    <row r="33" spans="1:31" ht="20.25">
      <c r="A33" s="655" t="s">
        <v>314</v>
      </c>
      <c r="B33" s="656"/>
      <c r="C33" s="657"/>
      <c r="D33" s="347"/>
      <c r="E33" s="326">
        <f>E32</f>
        <v>1892</v>
      </c>
      <c r="F33" s="326">
        <f>SUM(F32)</f>
        <v>1892</v>
      </c>
      <c r="G33" s="326">
        <f t="shared" ref="G33:AD33" si="11">SUM(G32:G32)</f>
        <v>0</v>
      </c>
      <c r="H33" s="326">
        <f t="shared" si="11"/>
        <v>0</v>
      </c>
      <c r="I33" s="326">
        <f t="shared" si="11"/>
        <v>0</v>
      </c>
      <c r="J33" s="326">
        <f>J32</f>
        <v>1072</v>
      </c>
      <c r="K33" s="326">
        <f t="shared" si="11"/>
        <v>1072</v>
      </c>
      <c r="L33" s="326">
        <f t="shared" si="11"/>
        <v>0</v>
      </c>
      <c r="M33" s="326">
        <f t="shared" si="11"/>
        <v>0</v>
      </c>
      <c r="N33" s="326">
        <f t="shared" si="11"/>
        <v>0</v>
      </c>
      <c r="O33" s="326">
        <f t="shared" si="11"/>
        <v>1168</v>
      </c>
      <c r="P33" s="326">
        <f t="shared" si="11"/>
        <v>1168</v>
      </c>
      <c r="Q33" s="326">
        <f t="shared" si="11"/>
        <v>0</v>
      </c>
      <c r="R33" s="326">
        <f t="shared" si="11"/>
        <v>0</v>
      </c>
      <c r="S33" s="326">
        <f t="shared" si="11"/>
        <v>0</v>
      </c>
      <c r="T33" s="326">
        <f t="shared" si="11"/>
        <v>0</v>
      </c>
      <c r="U33" s="326">
        <f t="shared" si="11"/>
        <v>0</v>
      </c>
      <c r="V33" s="326">
        <f t="shared" si="11"/>
        <v>0</v>
      </c>
      <c r="W33" s="326">
        <f t="shared" si="11"/>
        <v>0</v>
      </c>
      <c r="X33" s="326">
        <f t="shared" si="11"/>
        <v>0</v>
      </c>
      <c r="Y33" s="326">
        <f t="shared" si="11"/>
        <v>0</v>
      </c>
      <c r="Z33" s="326">
        <f t="shared" si="11"/>
        <v>0</v>
      </c>
      <c r="AA33" s="326">
        <f t="shared" si="11"/>
        <v>0</v>
      </c>
      <c r="AB33" s="326">
        <f t="shared" si="11"/>
        <v>0</v>
      </c>
      <c r="AC33" s="326">
        <f t="shared" si="11"/>
        <v>0</v>
      </c>
      <c r="AD33" s="326">
        <f t="shared" si="11"/>
        <v>4132</v>
      </c>
    </row>
    <row r="34" spans="1:31" ht="20.25">
      <c r="A34" s="322" t="s">
        <v>229</v>
      </c>
      <c r="B34" s="658" t="s">
        <v>277</v>
      </c>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60"/>
    </row>
    <row r="35" spans="1:31" ht="46.5">
      <c r="A35" s="323" t="s">
        <v>24</v>
      </c>
      <c r="B35" s="346" t="s">
        <v>288</v>
      </c>
      <c r="C35" s="331" t="s">
        <v>94</v>
      </c>
      <c r="D35" s="322" t="s">
        <v>93</v>
      </c>
      <c r="E35" s="299">
        <f>F35+G35+H35+I35</f>
        <v>2949</v>
      </c>
      <c r="F35" s="299">
        <v>2949</v>
      </c>
      <c r="G35" s="299">
        <v>0</v>
      </c>
      <c r="H35" s="299">
        <v>0</v>
      </c>
      <c r="I35" s="299">
        <v>0</v>
      </c>
      <c r="J35" s="299">
        <f>K35+L35+M35+N35</f>
        <v>2313</v>
      </c>
      <c r="K35" s="299">
        <f>1775+587-49</f>
        <v>2313</v>
      </c>
      <c r="L35" s="299">
        <v>0</v>
      </c>
      <c r="M35" s="299">
        <v>0</v>
      </c>
      <c r="N35" s="299">
        <v>0</v>
      </c>
      <c r="O35" s="334">
        <f xml:space="preserve"> SUM(P35:S35)</f>
        <v>2122</v>
      </c>
      <c r="P35" s="334">
        <f>2362-240</f>
        <v>2122</v>
      </c>
      <c r="Q35" s="299">
        <f>SUM(Q36,Q37,Q38,Q39)</f>
        <v>0</v>
      </c>
      <c r="R35" s="299">
        <f>SUM(R36,R37,R38,R39)</f>
        <v>0</v>
      </c>
      <c r="S35" s="299">
        <f>SUM(S36,S37,S38,S39)</f>
        <v>0</v>
      </c>
      <c r="T35" s="299">
        <f xml:space="preserve"> SUM(U35:X35)</f>
        <v>0</v>
      </c>
      <c r="U35" s="299">
        <v>0</v>
      </c>
      <c r="V35" s="299">
        <f>SUM(V36,V37,V38,V39)</f>
        <v>0</v>
      </c>
      <c r="W35" s="299">
        <f>SUM(W36,W37,W38,W39)</f>
        <v>0</v>
      </c>
      <c r="X35" s="299">
        <f>SUM(X36,X37,X38,X39)</f>
        <v>0</v>
      </c>
      <c r="Y35" s="299">
        <f xml:space="preserve"> SUM(Z35:AC35)</f>
        <v>0</v>
      </c>
      <c r="Z35" s="299">
        <v>0</v>
      </c>
      <c r="AA35" s="299">
        <f>SUM(AA36,AA37,AA38,AA39)</f>
        <v>0</v>
      </c>
      <c r="AB35" s="299">
        <f>SUM(AB36,AB37,AB38,AB39)</f>
        <v>0</v>
      </c>
      <c r="AC35" s="299">
        <f>SUM(AC36,AC37,AC38,AC39)</f>
        <v>0</v>
      </c>
      <c r="AD35" s="299">
        <f>E35+J35+O35+T35+Y35</f>
        <v>7384</v>
      </c>
    </row>
    <row r="36" spans="1:31" ht="139.5">
      <c r="A36" s="323" t="s">
        <v>151</v>
      </c>
      <c r="B36" s="330" t="s">
        <v>76</v>
      </c>
      <c r="C36" s="331" t="s">
        <v>94</v>
      </c>
      <c r="D36" s="322" t="s">
        <v>93</v>
      </c>
      <c r="E36" s="299">
        <f t="shared" ref="E36:E46" si="12">F36+G36+H36+I36</f>
        <v>9</v>
      </c>
      <c r="F36" s="299">
        <v>9</v>
      </c>
      <c r="G36" s="299">
        <v>0</v>
      </c>
      <c r="H36" s="299">
        <v>0</v>
      </c>
      <c r="I36" s="299">
        <v>0</v>
      </c>
      <c r="J36" s="299">
        <f t="shared" ref="J36:J46" si="13">K36+L36+M36+N36</f>
        <v>9</v>
      </c>
      <c r="K36" s="299">
        <v>9</v>
      </c>
      <c r="L36" s="299">
        <v>0</v>
      </c>
      <c r="M36" s="299">
        <v>0</v>
      </c>
      <c r="N36" s="299">
        <v>0</v>
      </c>
      <c r="O36" s="299">
        <f t="shared" ref="O36:O46" si="14">P36+Q36+R36+S36</f>
        <v>9</v>
      </c>
      <c r="P36" s="299">
        <v>9</v>
      </c>
      <c r="Q36" s="299">
        <v>0</v>
      </c>
      <c r="R36" s="299">
        <v>0</v>
      </c>
      <c r="S36" s="299">
        <v>0</v>
      </c>
      <c r="T36" s="299">
        <f t="shared" ref="T36:T46" si="15">U36+V36+W36+X36</f>
        <v>0</v>
      </c>
      <c r="U36" s="299">
        <v>0</v>
      </c>
      <c r="V36" s="299">
        <v>0</v>
      </c>
      <c r="W36" s="299">
        <v>0</v>
      </c>
      <c r="X36" s="299">
        <v>0</v>
      </c>
      <c r="Y36" s="299">
        <f t="shared" ref="Y36:Y46" si="16">Z36+AA36+AB36+AC36</f>
        <v>0</v>
      </c>
      <c r="Z36" s="299">
        <v>0</v>
      </c>
      <c r="AA36" s="299">
        <v>0</v>
      </c>
      <c r="AB36" s="299">
        <v>0</v>
      </c>
      <c r="AC36" s="299">
        <v>0</v>
      </c>
      <c r="AD36" s="299">
        <f t="shared" ref="AD36:AD52" si="17">E36+J36+O36+T36+Y36</f>
        <v>27</v>
      </c>
    </row>
    <row r="37" spans="1:31" ht="37.5">
      <c r="A37" s="323" t="s">
        <v>235</v>
      </c>
      <c r="B37" s="330" t="s">
        <v>71</v>
      </c>
      <c r="C37" s="322" t="s">
        <v>94</v>
      </c>
      <c r="D37" s="322" t="s">
        <v>168</v>
      </c>
      <c r="E37" s="299">
        <f t="shared" si="12"/>
        <v>426</v>
      </c>
      <c r="F37" s="299">
        <v>426</v>
      </c>
      <c r="G37" s="299">
        <v>0</v>
      </c>
      <c r="H37" s="299">
        <v>0</v>
      </c>
      <c r="I37" s="299">
        <v>0</v>
      </c>
      <c r="J37" s="299">
        <f t="shared" si="13"/>
        <v>0</v>
      </c>
      <c r="K37" s="299">
        <v>0</v>
      </c>
      <c r="L37" s="299">
        <v>0</v>
      </c>
      <c r="M37" s="299">
        <v>0</v>
      </c>
      <c r="N37" s="299">
        <v>0</v>
      </c>
      <c r="O37" s="299">
        <f t="shared" si="14"/>
        <v>0</v>
      </c>
      <c r="P37" s="299">
        <v>0</v>
      </c>
      <c r="Q37" s="299">
        <v>0</v>
      </c>
      <c r="R37" s="299">
        <v>0</v>
      </c>
      <c r="S37" s="299">
        <v>0</v>
      </c>
      <c r="T37" s="299">
        <f t="shared" si="15"/>
        <v>0</v>
      </c>
      <c r="U37" s="299">
        <v>0</v>
      </c>
      <c r="V37" s="299">
        <v>0</v>
      </c>
      <c r="W37" s="299">
        <v>0</v>
      </c>
      <c r="X37" s="299">
        <v>0</v>
      </c>
      <c r="Y37" s="299">
        <f t="shared" si="16"/>
        <v>0</v>
      </c>
      <c r="Z37" s="299">
        <v>0</v>
      </c>
      <c r="AA37" s="299">
        <v>0</v>
      </c>
      <c r="AB37" s="299">
        <v>0</v>
      </c>
      <c r="AC37" s="299">
        <v>0</v>
      </c>
      <c r="AD37" s="299">
        <f>E37+J37+O37+T37+Y37</f>
        <v>426</v>
      </c>
    </row>
    <row r="38" spans="1:31" ht="23.25">
      <c r="A38" s="323" t="s">
        <v>236</v>
      </c>
      <c r="B38" s="330" t="s">
        <v>110</v>
      </c>
      <c r="C38" s="685" t="s">
        <v>105</v>
      </c>
      <c r="D38" s="322" t="s">
        <v>93</v>
      </c>
      <c r="E38" s="299">
        <f t="shared" si="12"/>
        <v>3304</v>
      </c>
      <c r="F38" s="299">
        <v>3304</v>
      </c>
      <c r="G38" s="299">
        <v>0</v>
      </c>
      <c r="H38" s="299">
        <v>0</v>
      </c>
      <c r="I38" s="299">
        <v>0</v>
      </c>
      <c r="J38" s="299">
        <f t="shared" si="13"/>
        <v>3080</v>
      </c>
      <c r="K38" s="299">
        <f>3304-224</f>
        <v>3080</v>
      </c>
      <c r="L38" s="299">
        <v>0</v>
      </c>
      <c r="M38" s="299">
        <v>0</v>
      </c>
      <c r="N38" s="299">
        <v>0</v>
      </c>
      <c r="O38" s="299">
        <f t="shared" si="14"/>
        <v>2968</v>
      </c>
      <c r="P38" s="299">
        <v>2968</v>
      </c>
      <c r="Q38" s="299">
        <v>0</v>
      </c>
      <c r="R38" s="299">
        <v>0</v>
      </c>
      <c r="S38" s="299">
        <v>0</v>
      </c>
      <c r="T38" s="299">
        <f t="shared" si="15"/>
        <v>0</v>
      </c>
      <c r="U38" s="299">
        <v>0</v>
      </c>
      <c r="V38" s="299">
        <v>0</v>
      </c>
      <c r="W38" s="299">
        <v>0</v>
      </c>
      <c r="X38" s="299">
        <v>0</v>
      </c>
      <c r="Y38" s="299">
        <f t="shared" si="16"/>
        <v>0</v>
      </c>
      <c r="Z38" s="299">
        <v>0</v>
      </c>
      <c r="AA38" s="299">
        <v>0</v>
      </c>
      <c r="AB38" s="299">
        <v>0</v>
      </c>
      <c r="AC38" s="299">
        <v>0</v>
      </c>
      <c r="AD38" s="299">
        <f>E38+J38+O38+T38+Y38</f>
        <v>9352</v>
      </c>
    </row>
    <row r="39" spans="1:31" ht="93">
      <c r="A39" s="323" t="s">
        <v>237</v>
      </c>
      <c r="B39" s="330" t="s">
        <v>191</v>
      </c>
      <c r="C39" s="686"/>
      <c r="D39" s="322" t="s">
        <v>283</v>
      </c>
      <c r="E39" s="299">
        <f t="shared" si="12"/>
        <v>378</v>
      </c>
      <c r="F39" s="299">
        <v>378</v>
      </c>
      <c r="G39" s="299">
        <v>0</v>
      </c>
      <c r="H39" s="299">
        <v>0</v>
      </c>
      <c r="I39" s="299">
        <v>0</v>
      </c>
      <c r="J39" s="299">
        <f t="shared" si="13"/>
        <v>419</v>
      </c>
      <c r="K39" s="299">
        <f>324+95</f>
        <v>419</v>
      </c>
      <c r="L39" s="299">
        <v>0</v>
      </c>
      <c r="M39" s="299">
        <v>0</v>
      </c>
      <c r="N39" s="299">
        <v>0</v>
      </c>
      <c r="O39" s="299">
        <f t="shared" si="14"/>
        <v>495</v>
      </c>
      <c r="P39" s="299">
        <v>495</v>
      </c>
      <c r="Q39" s="299">
        <v>0</v>
      </c>
      <c r="R39" s="299">
        <v>0</v>
      </c>
      <c r="S39" s="299">
        <v>0</v>
      </c>
      <c r="T39" s="299">
        <f t="shared" si="15"/>
        <v>0</v>
      </c>
      <c r="U39" s="299">
        <v>0</v>
      </c>
      <c r="V39" s="299">
        <v>0</v>
      </c>
      <c r="W39" s="299">
        <v>0</v>
      </c>
      <c r="X39" s="299">
        <v>0</v>
      </c>
      <c r="Y39" s="299">
        <f t="shared" si="16"/>
        <v>0</v>
      </c>
      <c r="Z39" s="299">
        <v>0</v>
      </c>
      <c r="AA39" s="299">
        <v>0</v>
      </c>
      <c r="AB39" s="299">
        <v>0</v>
      </c>
      <c r="AC39" s="299">
        <v>0</v>
      </c>
      <c r="AD39" s="299">
        <f>E39+J39+O39+T39+Y39</f>
        <v>1292</v>
      </c>
    </row>
    <row r="40" spans="1:31" ht="93">
      <c r="A40" s="323" t="s">
        <v>238</v>
      </c>
      <c r="B40" s="330" t="s">
        <v>77</v>
      </c>
      <c r="C40" s="331" t="s">
        <v>94</v>
      </c>
      <c r="D40" s="322" t="s">
        <v>93</v>
      </c>
      <c r="E40" s="299">
        <f t="shared" si="12"/>
        <v>12</v>
      </c>
      <c r="F40" s="299">
        <v>12</v>
      </c>
      <c r="G40" s="299">
        <v>0</v>
      </c>
      <c r="H40" s="299">
        <v>0</v>
      </c>
      <c r="I40" s="299">
        <v>0</v>
      </c>
      <c r="J40" s="299">
        <f t="shared" si="13"/>
        <v>12</v>
      </c>
      <c r="K40" s="299">
        <v>12</v>
      </c>
      <c r="L40" s="299">
        <v>0</v>
      </c>
      <c r="M40" s="299">
        <v>0</v>
      </c>
      <c r="N40" s="299">
        <v>0</v>
      </c>
      <c r="O40" s="299">
        <f t="shared" si="14"/>
        <v>12</v>
      </c>
      <c r="P40" s="299">
        <v>12</v>
      </c>
      <c r="Q40" s="299">
        <v>0</v>
      </c>
      <c r="R40" s="299">
        <v>0</v>
      </c>
      <c r="S40" s="299">
        <v>0</v>
      </c>
      <c r="T40" s="299">
        <f t="shared" si="15"/>
        <v>0</v>
      </c>
      <c r="U40" s="299">
        <v>0</v>
      </c>
      <c r="V40" s="299">
        <v>0</v>
      </c>
      <c r="W40" s="299">
        <v>0</v>
      </c>
      <c r="X40" s="299">
        <v>0</v>
      </c>
      <c r="Y40" s="299">
        <f t="shared" si="16"/>
        <v>0</v>
      </c>
      <c r="Z40" s="299">
        <v>0</v>
      </c>
      <c r="AA40" s="299">
        <v>0</v>
      </c>
      <c r="AB40" s="299">
        <v>0</v>
      </c>
      <c r="AC40" s="299">
        <v>0</v>
      </c>
      <c r="AD40" s="299">
        <f t="shared" si="17"/>
        <v>36</v>
      </c>
    </row>
    <row r="41" spans="1:31" ht="93">
      <c r="A41" s="323" t="s">
        <v>239</v>
      </c>
      <c r="B41" s="330" t="s">
        <v>265</v>
      </c>
      <c r="C41" s="661" t="s">
        <v>105</v>
      </c>
      <c r="D41" s="322" t="s">
        <v>168</v>
      </c>
      <c r="E41" s="299">
        <f t="shared" si="12"/>
        <v>50</v>
      </c>
      <c r="F41" s="299">
        <v>50</v>
      </c>
      <c r="G41" s="299">
        <v>0</v>
      </c>
      <c r="H41" s="299">
        <v>0</v>
      </c>
      <c r="I41" s="299">
        <v>0</v>
      </c>
      <c r="J41" s="299">
        <f t="shared" si="13"/>
        <v>0</v>
      </c>
      <c r="K41" s="299">
        <v>0</v>
      </c>
      <c r="L41" s="299">
        <v>0</v>
      </c>
      <c r="M41" s="299">
        <v>0</v>
      </c>
      <c r="N41" s="299">
        <v>0</v>
      </c>
      <c r="O41" s="299">
        <f t="shared" si="14"/>
        <v>0</v>
      </c>
      <c r="P41" s="299">
        <v>0</v>
      </c>
      <c r="Q41" s="299">
        <v>0</v>
      </c>
      <c r="R41" s="299">
        <v>0</v>
      </c>
      <c r="S41" s="299">
        <v>0</v>
      </c>
      <c r="T41" s="299">
        <f t="shared" si="15"/>
        <v>0</v>
      </c>
      <c r="U41" s="299">
        <v>0</v>
      </c>
      <c r="V41" s="299">
        <v>0</v>
      </c>
      <c r="W41" s="299">
        <v>0</v>
      </c>
      <c r="X41" s="299">
        <v>0</v>
      </c>
      <c r="Y41" s="299">
        <f t="shared" si="16"/>
        <v>0</v>
      </c>
      <c r="Z41" s="299">
        <v>0</v>
      </c>
      <c r="AA41" s="299">
        <v>0</v>
      </c>
      <c r="AB41" s="299">
        <v>0</v>
      </c>
      <c r="AC41" s="299">
        <v>0</v>
      </c>
      <c r="AD41" s="299">
        <f t="shared" si="17"/>
        <v>50</v>
      </c>
    </row>
    <row r="42" spans="1:31" ht="69.75">
      <c r="A42" s="323" t="s">
        <v>240</v>
      </c>
      <c r="B42" s="330" t="s">
        <v>111</v>
      </c>
      <c r="C42" s="662"/>
      <c r="D42" s="322" t="s">
        <v>168</v>
      </c>
      <c r="E42" s="299">
        <f t="shared" si="12"/>
        <v>50</v>
      </c>
      <c r="F42" s="299">
        <v>50</v>
      </c>
      <c r="G42" s="299">
        <v>0</v>
      </c>
      <c r="H42" s="299">
        <v>0</v>
      </c>
      <c r="I42" s="299">
        <v>0</v>
      </c>
      <c r="J42" s="299">
        <f t="shared" si="13"/>
        <v>50</v>
      </c>
      <c r="K42" s="299">
        <v>50</v>
      </c>
      <c r="L42" s="299">
        <v>0</v>
      </c>
      <c r="M42" s="299">
        <v>0</v>
      </c>
      <c r="N42" s="299">
        <v>0</v>
      </c>
      <c r="O42" s="299">
        <f t="shared" si="14"/>
        <v>50</v>
      </c>
      <c r="P42" s="299">
        <v>50</v>
      </c>
      <c r="Q42" s="299">
        <v>0</v>
      </c>
      <c r="R42" s="299">
        <v>0</v>
      </c>
      <c r="S42" s="299">
        <v>0</v>
      </c>
      <c r="T42" s="299">
        <f t="shared" si="15"/>
        <v>0</v>
      </c>
      <c r="U42" s="299">
        <v>0</v>
      </c>
      <c r="V42" s="299">
        <v>0</v>
      </c>
      <c r="W42" s="299">
        <v>0</v>
      </c>
      <c r="X42" s="299">
        <v>0</v>
      </c>
      <c r="Y42" s="299">
        <f t="shared" si="16"/>
        <v>0</v>
      </c>
      <c r="Z42" s="299">
        <v>0</v>
      </c>
      <c r="AA42" s="299">
        <v>0</v>
      </c>
      <c r="AB42" s="299">
        <v>0</v>
      </c>
      <c r="AC42" s="299">
        <v>0</v>
      </c>
      <c r="AD42" s="299">
        <f t="shared" si="17"/>
        <v>150</v>
      </c>
    </row>
    <row r="43" spans="1:31" ht="93">
      <c r="A43" s="323" t="s">
        <v>241</v>
      </c>
      <c r="B43" s="330" t="s">
        <v>112</v>
      </c>
      <c r="C43" s="662"/>
      <c r="D43" s="322" t="s">
        <v>93</v>
      </c>
      <c r="E43" s="299">
        <f t="shared" si="12"/>
        <v>810</v>
      </c>
      <c r="F43" s="299">
        <f>480+330</f>
        <v>810</v>
      </c>
      <c r="G43" s="299">
        <v>0</v>
      </c>
      <c r="H43" s="299">
        <v>0</v>
      </c>
      <c r="I43" s="299">
        <v>0</v>
      </c>
      <c r="J43" s="299">
        <f>K43+L43+M43+N43</f>
        <v>770</v>
      </c>
      <c r="K43" s="299">
        <f>720+50</f>
        <v>770</v>
      </c>
      <c r="L43" s="299">
        <v>0</v>
      </c>
      <c r="M43" s="299">
        <v>0</v>
      </c>
      <c r="N43" s="299">
        <v>0</v>
      </c>
      <c r="O43" s="299">
        <f t="shared" si="14"/>
        <v>720</v>
      </c>
      <c r="P43" s="299">
        <v>720</v>
      </c>
      <c r="Q43" s="299">
        <v>0</v>
      </c>
      <c r="R43" s="299">
        <v>0</v>
      </c>
      <c r="S43" s="299">
        <v>0</v>
      </c>
      <c r="T43" s="299">
        <f t="shared" si="15"/>
        <v>0</v>
      </c>
      <c r="U43" s="299">
        <v>0</v>
      </c>
      <c r="V43" s="299">
        <v>0</v>
      </c>
      <c r="W43" s="299">
        <v>0</v>
      </c>
      <c r="X43" s="299">
        <v>0</v>
      </c>
      <c r="Y43" s="299">
        <f t="shared" si="16"/>
        <v>0</v>
      </c>
      <c r="Z43" s="299">
        <v>0</v>
      </c>
      <c r="AA43" s="299">
        <v>0</v>
      </c>
      <c r="AB43" s="299">
        <v>0</v>
      </c>
      <c r="AC43" s="299">
        <v>0</v>
      </c>
      <c r="AD43" s="299">
        <f>E43+J43+O43+T43+Y43</f>
        <v>2300</v>
      </c>
    </row>
    <row r="44" spans="1:31" ht="116.25">
      <c r="A44" s="348" t="s">
        <v>242</v>
      </c>
      <c r="B44" s="330" t="s">
        <v>113</v>
      </c>
      <c r="C44" s="662"/>
      <c r="D44" s="322" t="s">
        <v>168</v>
      </c>
      <c r="E44" s="299">
        <f t="shared" si="12"/>
        <v>30</v>
      </c>
      <c r="F44" s="299">
        <v>30</v>
      </c>
      <c r="G44" s="299">
        <v>0</v>
      </c>
      <c r="H44" s="299">
        <v>0</v>
      </c>
      <c r="I44" s="299">
        <v>0</v>
      </c>
      <c r="J44" s="299">
        <f t="shared" si="13"/>
        <v>10</v>
      </c>
      <c r="K44" s="299">
        <v>10</v>
      </c>
      <c r="L44" s="299">
        <v>0</v>
      </c>
      <c r="M44" s="299">
        <v>0</v>
      </c>
      <c r="N44" s="299">
        <v>0</v>
      </c>
      <c r="O44" s="299">
        <f t="shared" si="14"/>
        <v>10</v>
      </c>
      <c r="P44" s="299">
        <v>10</v>
      </c>
      <c r="Q44" s="299">
        <v>0</v>
      </c>
      <c r="R44" s="299">
        <v>0</v>
      </c>
      <c r="S44" s="299">
        <v>0</v>
      </c>
      <c r="T44" s="299">
        <f t="shared" si="15"/>
        <v>0</v>
      </c>
      <c r="U44" s="299">
        <v>0</v>
      </c>
      <c r="V44" s="299">
        <v>0</v>
      </c>
      <c r="W44" s="299">
        <v>0</v>
      </c>
      <c r="X44" s="299">
        <v>0</v>
      </c>
      <c r="Y44" s="299">
        <f t="shared" si="16"/>
        <v>0</v>
      </c>
      <c r="Z44" s="299">
        <v>0</v>
      </c>
      <c r="AA44" s="299">
        <v>0</v>
      </c>
      <c r="AB44" s="299">
        <v>0</v>
      </c>
      <c r="AC44" s="299">
        <v>0</v>
      </c>
      <c r="AD44" s="299">
        <f t="shared" si="17"/>
        <v>50</v>
      </c>
    </row>
    <row r="45" spans="1:31" ht="69.75">
      <c r="A45" s="323" t="s">
        <v>243</v>
      </c>
      <c r="B45" s="330" t="s">
        <v>114</v>
      </c>
      <c r="C45" s="663"/>
      <c r="D45" s="322" t="s">
        <v>168</v>
      </c>
      <c r="E45" s="299">
        <f t="shared" si="12"/>
        <v>50</v>
      </c>
      <c r="F45" s="299">
        <v>50</v>
      </c>
      <c r="G45" s="299">
        <v>0</v>
      </c>
      <c r="H45" s="299">
        <v>0</v>
      </c>
      <c r="I45" s="299">
        <v>0</v>
      </c>
      <c r="J45" s="299">
        <f t="shared" si="13"/>
        <v>50</v>
      </c>
      <c r="K45" s="299">
        <v>50</v>
      </c>
      <c r="L45" s="299">
        <v>0</v>
      </c>
      <c r="M45" s="299">
        <v>0</v>
      </c>
      <c r="N45" s="299">
        <v>0</v>
      </c>
      <c r="O45" s="299">
        <f t="shared" si="14"/>
        <v>100</v>
      </c>
      <c r="P45" s="299">
        <v>100</v>
      </c>
      <c r="Q45" s="299">
        <v>0</v>
      </c>
      <c r="R45" s="299">
        <v>0</v>
      </c>
      <c r="S45" s="299">
        <v>0</v>
      </c>
      <c r="T45" s="299">
        <f t="shared" si="15"/>
        <v>0</v>
      </c>
      <c r="U45" s="299">
        <v>0</v>
      </c>
      <c r="V45" s="299">
        <v>0</v>
      </c>
      <c r="W45" s="299">
        <v>0</v>
      </c>
      <c r="X45" s="299">
        <v>0</v>
      </c>
      <c r="Y45" s="299">
        <f t="shared" si="16"/>
        <v>0</v>
      </c>
      <c r="Z45" s="299">
        <v>0</v>
      </c>
      <c r="AA45" s="299">
        <v>0</v>
      </c>
      <c r="AB45" s="299">
        <v>0</v>
      </c>
      <c r="AC45" s="299">
        <v>0</v>
      </c>
      <c r="AD45" s="299">
        <f t="shared" si="17"/>
        <v>200</v>
      </c>
    </row>
    <row r="46" spans="1:31" ht="69.75">
      <c r="A46" s="323" t="s">
        <v>244</v>
      </c>
      <c r="B46" s="330" t="s">
        <v>78</v>
      </c>
      <c r="C46" s="322" t="s">
        <v>18</v>
      </c>
      <c r="D46" s="322" t="s">
        <v>93</v>
      </c>
      <c r="E46" s="299">
        <f t="shared" si="12"/>
        <v>96</v>
      </c>
      <c r="F46" s="299">
        <f>96</f>
        <v>96</v>
      </c>
      <c r="G46" s="299">
        <v>0</v>
      </c>
      <c r="H46" s="299">
        <v>0</v>
      </c>
      <c r="I46" s="299">
        <v>0</v>
      </c>
      <c r="J46" s="299">
        <f t="shared" si="13"/>
        <v>43</v>
      </c>
      <c r="K46" s="299">
        <f>68-25</f>
        <v>43</v>
      </c>
      <c r="L46" s="299">
        <v>0</v>
      </c>
      <c r="M46" s="299">
        <v>0</v>
      </c>
      <c r="N46" s="299">
        <v>0</v>
      </c>
      <c r="O46" s="299">
        <f t="shared" si="14"/>
        <v>53</v>
      </c>
      <c r="P46" s="299">
        <v>53</v>
      </c>
      <c r="Q46" s="299">
        <v>0</v>
      </c>
      <c r="R46" s="299">
        <v>0</v>
      </c>
      <c r="S46" s="299">
        <v>0</v>
      </c>
      <c r="T46" s="299">
        <f t="shared" si="15"/>
        <v>0</v>
      </c>
      <c r="U46" s="299">
        <v>0</v>
      </c>
      <c r="V46" s="299">
        <v>0</v>
      </c>
      <c r="W46" s="299">
        <v>0</v>
      </c>
      <c r="X46" s="299">
        <v>0</v>
      </c>
      <c r="Y46" s="299">
        <f t="shared" si="16"/>
        <v>0</v>
      </c>
      <c r="Z46" s="299">
        <v>0</v>
      </c>
      <c r="AA46" s="299">
        <v>0</v>
      </c>
      <c r="AB46" s="299">
        <v>0</v>
      </c>
      <c r="AC46" s="299">
        <v>0</v>
      </c>
      <c r="AD46" s="299">
        <f t="shared" si="17"/>
        <v>192</v>
      </c>
    </row>
    <row r="47" spans="1:31" ht="93">
      <c r="A47" s="323" t="s">
        <v>245</v>
      </c>
      <c r="B47" s="330" t="s">
        <v>145</v>
      </c>
      <c r="C47" s="322" t="s">
        <v>94</v>
      </c>
      <c r="D47" s="322" t="s">
        <v>93</v>
      </c>
      <c r="E47" s="299">
        <f>F47+G47+H47+I47</f>
        <v>28325</v>
      </c>
      <c r="F47" s="299">
        <f>6567-902</f>
        <v>5665</v>
      </c>
      <c r="G47" s="299">
        <f>26268-3608</f>
        <v>22660</v>
      </c>
      <c r="H47" s="299">
        <v>0</v>
      </c>
      <c r="I47" s="299">
        <v>0</v>
      </c>
      <c r="J47" s="299">
        <f>K47+L47+M47+N47</f>
        <v>4455</v>
      </c>
      <c r="K47" s="299">
        <f>550+341</f>
        <v>891</v>
      </c>
      <c r="L47" s="299">
        <v>3564</v>
      </c>
      <c r="M47" s="299">
        <v>0</v>
      </c>
      <c r="N47" s="299">
        <v>0</v>
      </c>
      <c r="O47" s="299">
        <f>P47+Q47+R47+S47</f>
        <v>550</v>
      </c>
      <c r="P47" s="299">
        <v>550</v>
      </c>
      <c r="Q47" s="299">
        <v>0</v>
      </c>
      <c r="R47" s="299">
        <v>0</v>
      </c>
      <c r="S47" s="299">
        <v>0</v>
      </c>
      <c r="T47" s="299">
        <f>U47+V47+W47+X47</f>
        <v>0</v>
      </c>
      <c r="U47" s="299">
        <v>0</v>
      </c>
      <c r="V47" s="299">
        <v>0</v>
      </c>
      <c r="W47" s="299">
        <v>0</v>
      </c>
      <c r="X47" s="299">
        <v>0</v>
      </c>
      <c r="Y47" s="299">
        <f>Z47+AA47+AB47+AC47</f>
        <v>0</v>
      </c>
      <c r="Z47" s="299">
        <v>0</v>
      </c>
      <c r="AA47" s="299">
        <v>0</v>
      </c>
      <c r="AB47" s="299">
        <v>0</v>
      </c>
      <c r="AC47" s="299">
        <v>0</v>
      </c>
      <c r="AD47" s="299">
        <f t="shared" si="17"/>
        <v>33330</v>
      </c>
      <c r="AE47" s="349"/>
    </row>
    <row r="48" spans="1:31" ht="46.5">
      <c r="A48" s="350" t="s">
        <v>246</v>
      </c>
      <c r="B48" s="351" t="s">
        <v>87</v>
      </c>
      <c r="C48" s="427" t="s">
        <v>52</v>
      </c>
      <c r="D48" s="322" t="s">
        <v>310</v>
      </c>
      <c r="E48" s="299">
        <f>F48+G48+H48+I48</f>
        <v>384.8</v>
      </c>
      <c r="F48" s="299">
        <f>387-2.2</f>
        <v>384.8</v>
      </c>
      <c r="G48" s="299">
        <v>0</v>
      </c>
      <c r="H48" s="299">
        <v>0</v>
      </c>
      <c r="I48" s="299">
        <v>0</v>
      </c>
      <c r="J48" s="299">
        <f>K48+L48+M48+N48</f>
        <v>362.1</v>
      </c>
      <c r="K48" s="299">
        <f>387-24.9</f>
        <v>362.1</v>
      </c>
      <c r="L48" s="299">
        <v>0</v>
      </c>
      <c r="M48" s="299">
        <v>0</v>
      </c>
      <c r="N48" s="299">
        <v>0</v>
      </c>
      <c r="O48" s="299">
        <v>387</v>
      </c>
      <c r="P48" s="299">
        <v>387</v>
      </c>
      <c r="Q48" s="299">
        <v>0</v>
      </c>
      <c r="R48" s="299">
        <v>0</v>
      </c>
      <c r="S48" s="299">
        <v>0</v>
      </c>
      <c r="T48" s="299">
        <f>U48+V48+W48+X48</f>
        <v>0</v>
      </c>
      <c r="U48" s="299">
        <v>0</v>
      </c>
      <c r="V48" s="299">
        <v>0</v>
      </c>
      <c r="W48" s="299">
        <v>0</v>
      </c>
      <c r="X48" s="299">
        <v>0</v>
      </c>
      <c r="Y48" s="299">
        <f>Z48+AA48+AB48+AC48</f>
        <v>0</v>
      </c>
      <c r="Z48" s="299">
        <v>0</v>
      </c>
      <c r="AA48" s="299">
        <v>0</v>
      </c>
      <c r="AB48" s="299">
        <v>0</v>
      </c>
      <c r="AC48" s="299">
        <v>0</v>
      </c>
      <c r="AD48" s="299">
        <f t="shared" si="17"/>
        <v>1133.9000000000001</v>
      </c>
    </row>
    <row r="49" spans="1:32" ht="75">
      <c r="A49" s="350" t="s">
        <v>247</v>
      </c>
      <c r="B49" s="351" t="s">
        <v>132</v>
      </c>
      <c r="C49" s="427" t="s">
        <v>147</v>
      </c>
      <c r="D49" s="325">
        <v>2020</v>
      </c>
      <c r="E49" s="299">
        <f>F49+G49+H49+I49</f>
        <v>1248</v>
      </c>
      <c r="F49" s="299">
        <f>1248</f>
        <v>1248</v>
      </c>
      <c r="G49" s="299">
        <v>0</v>
      </c>
      <c r="H49" s="299">
        <v>0</v>
      </c>
      <c r="I49" s="299">
        <v>0</v>
      </c>
      <c r="J49" s="299">
        <f>K49+L49+M49+N49</f>
        <v>0</v>
      </c>
      <c r="K49" s="299">
        <v>0</v>
      </c>
      <c r="L49" s="299">
        <v>0</v>
      </c>
      <c r="M49" s="299">
        <v>0</v>
      </c>
      <c r="N49" s="299">
        <v>0</v>
      </c>
      <c r="O49" s="299">
        <f>P49+Q49+R49+S49</f>
        <v>0</v>
      </c>
      <c r="P49" s="299">
        <v>0</v>
      </c>
      <c r="Q49" s="299">
        <v>0</v>
      </c>
      <c r="R49" s="299">
        <v>0</v>
      </c>
      <c r="S49" s="299">
        <v>0</v>
      </c>
      <c r="T49" s="299">
        <f>U49+V49+W49+X49</f>
        <v>0</v>
      </c>
      <c r="U49" s="299">
        <v>0</v>
      </c>
      <c r="V49" s="299">
        <v>0</v>
      </c>
      <c r="W49" s="299">
        <v>0</v>
      </c>
      <c r="X49" s="299">
        <v>0</v>
      </c>
      <c r="Y49" s="299">
        <f>Z49+AA49+AB49+AC49</f>
        <v>0</v>
      </c>
      <c r="Z49" s="299">
        <v>0</v>
      </c>
      <c r="AA49" s="299">
        <v>0</v>
      </c>
      <c r="AB49" s="299">
        <v>0</v>
      </c>
      <c r="AC49" s="299">
        <v>0</v>
      </c>
      <c r="AD49" s="299">
        <f t="shared" si="17"/>
        <v>1248</v>
      </c>
    </row>
    <row r="50" spans="1:32" ht="23.25">
      <c r="A50" s="642" t="s">
        <v>315</v>
      </c>
      <c r="B50" s="643"/>
      <c r="C50" s="644"/>
      <c r="D50" s="347"/>
      <c r="E50" s="326">
        <f t="shared" ref="E50:K50" si="18">E51+E52</f>
        <v>38121.800000000003</v>
      </c>
      <c r="F50" s="326">
        <f t="shared" si="18"/>
        <v>15461.8</v>
      </c>
      <c r="G50" s="326">
        <f t="shared" si="18"/>
        <v>22660</v>
      </c>
      <c r="H50" s="326">
        <f t="shared" si="18"/>
        <v>0</v>
      </c>
      <c r="I50" s="326">
        <f t="shared" si="18"/>
        <v>0</v>
      </c>
      <c r="J50" s="326">
        <f>J52+J51</f>
        <v>11573.1</v>
      </c>
      <c r="K50" s="326">
        <f t="shared" si="18"/>
        <v>8009.1</v>
      </c>
      <c r="L50" s="326">
        <f>SUM(L35,L36:L48)</f>
        <v>3564</v>
      </c>
      <c r="M50" s="326">
        <f>SUM(M35,M36:M48)</f>
        <v>0</v>
      </c>
      <c r="N50" s="326">
        <f>SUM(N35,N36:N48)</f>
        <v>0</v>
      </c>
      <c r="O50" s="326">
        <f>O51+O52</f>
        <v>7476</v>
      </c>
      <c r="P50" s="326">
        <f>P51+P52</f>
        <v>7476</v>
      </c>
      <c r="Q50" s="326">
        <f>SUM(Q35,Q36:Q48)</f>
        <v>0</v>
      </c>
      <c r="R50" s="326">
        <f>SUM(R35,R36:R48)</f>
        <v>0</v>
      </c>
      <c r="S50" s="326">
        <f>SUM(S35,S36:S48)</f>
        <v>0</v>
      </c>
      <c r="T50" s="326">
        <f>T51+T52</f>
        <v>0</v>
      </c>
      <c r="U50" s="326">
        <f>U51+U52</f>
        <v>0</v>
      </c>
      <c r="V50" s="326">
        <f>SUM(V35,V36:V48)</f>
        <v>0</v>
      </c>
      <c r="W50" s="326">
        <f>SUM(W35,W36:W48)</f>
        <v>0</v>
      </c>
      <c r="X50" s="326">
        <f>SUM(X35,X36:X48)</f>
        <v>0</v>
      </c>
      <c r="Y50" s="326">
        <f>Y51+Y52</f>
        <v>0</v>
      </c>
      <c r="Z50" s="326">
        <f>Z51+Z52</f>
        <v>0</v>
      </c>
      <c r="AA50" s="326">
        <f>SUM(AA35,AA36:AA48)</f>
        <v>0</v>
      </c>
      <c r="AB50" s="326">
        <f>SUM(AB35,AB36:AB48)</f>
        <v>0</v>
      </c>
      <c r="AC50" s="326">
        <f>SUM(AC35,AC36:AC48)</f>
        <v>0</v>
      </c>
      <c r="AD50" s="326">
        <f t="shared" si="17"/>
        <v>57170.9</v>
      </c>
    </row>
    <row r="51" spans="1:32" ht="23.25">
      <c r="A51" s="338" t="s">
        <v>73</v>
      </c>
      <c r="B51" s="338"/>
      <c r="C51" s="421"/>
      <c r="D51" s="430"/>
      <c r="E51" s="353">
        <f t="shared" ref="E51:AC51" si="19">E48</f>
        <v>384.8</v>
      </c>
      <c r="F51" s="353">
        <f t="shared" si="19"/>
        <v>384.8</v>
      </c>
      <c r="G51" s="353">
        <v>0</v>
      </c>
      <c r="H51" s="353">
        <f t="shared" si="19"/>
        <v>0</v>
      </c>
      <c r="I51" s="353">
        <f t="shared" si="19"/>
        <v>0</v>
      </c>
      <c r="J51" s="353">
        <f t="shared" si="19"/>
        <v>362.1</v>
      </c>
      <c r="K51" s="353">
        <f t="shared" si="19"/>
        <v>362.1</v>
      </c>
      <c r="L51" s="353">
        <f t="shared" si="19"/>
        <v>0</v>
      </c>
      <c r="M51" s="353">
        <f t="shared" si="19"/>
        <v>0</v>
      </c>
      <c r="N51" s="353">
        <f t="shared" si="19"/>
        <v>0</v>
      </c>
      <c r="O51" s="353">
        <f t="shared" si="19"/>
        <v>387</v>
      </c>
      <c r="P51" s="353">
        <f t="shared" si="19"/>
        <v>387</v>
      </c>
      <c r="Q51" s="353">
        <f t="shared" si="19"/>
        <v>0</v>
      </c>
      <c r="R51" s="353">
        <f t="shared" si="19"/>
        <v>0</v>
      </c>
      <c r="S51" s="353">
        <f t="shared" si="19"/>
        <v>0</v>
      </c>
      <c r="T51" s="353">
        <f t="shared" si="19"/>
        <v>0</v>
      </c>
      <c r="U51" s="353">
        <f t="shared" si="19"/>
        <v>0</v>
      </c>
      <c r="V51" s="353">
        <f t="shared" si="19"/>
        <v>0</v>
      </c>
      <c r="W51" s="353">
        <f t="shared" si="19"/>
        <v>0</v>
      </c>
      <c r="X51" s="353">
        <f t="shared" si="19"/>
        <v>0</v>
      </c>
      <c r="Y51" s="353">
        <f t="shared" si="19"/>
        <v>0</v>
      </c>
      <c r="Z51" s="353">
        <f t="shared" si="19"/>
        <v>0</v>
      </c>
      <c r="AA51" s="353">
        <f t="shared" si="19"/>
        <v>0</v>
      </c>
      <c r="AB51" s="353">
        <f t="shared" si="19"/>
        <v>0</v>
      </c>
      <c r="AC51" s="353">
        <f t="shared" si="19"/>
        <v>0</v>
      </c>
      <c r="AD51" s="354">
        <f t="shared" si="17"/>
        <v>1133.9000000000001</v>
      </c>
    </row>
    <row r="52" spans="1:32" ht="23.25">
      <c r="A52" s="338" t="s">
        <v>135</v>
      </c>
      <c r="B52" s="338"/>
      <c r="C52" s="421"/>
      <c r="D52" s="430"/>
      <c r="E52" s="299">
        <f>E35+E36+E37+E38+E39+E40+E41+E42+E43+E44+E45+E46+E47+E49</f>
        <v>37737</v>
      </c>
      <c r="F52" s="299">
        <f>F35+F36+F37+F38+F39+F40+F41+F42+F43+F44+F45+F46+F47+F49</f>
        <v>15077</v>
      </c>
      <c r="G52" s="299">
        <v>22660</v>
      </c>
      <c r="H52" s="299">
        <f>0</f>
        <v>0</v>
      </c>
      <c r="I52" s="299">
        <v>0</v>
      </c>
      <c r="J52" s="299">
        <f>J35+J36+J37+J38+J39+J40+J41+J42+J43+J44+J45+J46+J47+J49</f>
        <v>11211</v>
      </c>
      <c r="K52" s="299">
        <f>K35+K36+K37+K38+K39+K40+K41+K42+K43+K44+K45+K46+K47+K49</f>
        <v>7647</v>
      </c>
      <c r="L52" s="299">
        <v>0</v>
      </c>
      <c r="M52" s="299">
        <v>0</v>
      </c>
      <c r="N52" s="299">
        <v>0</v>
      </c>
      <c r="O52" s="299">
        <f>O35+O36+O37+O38+O39+O40+O42+O41+O43+O44+O45+O46+O47+O49</f>
        <v>7089</v>
      </c>
      <c r="P52" s="299">
        <f>P35+P36+P37+P38+P39+P40+P41+P42+P43+P44+P45+P46+P47+P49</f>
        <v>7089</v>
      </c>
      <c r="Q52" s="299">
        <v>0</v>
      </c>
      <c r="R52" s="299">
        <v>0</v>
      </c>
      <c r="S52" s="299">
        <v>0</v>
      </c>
      <c r="T52" s="299">
        <f>T35+T36+T37+T38+T39+T40+T41+T42+T43+T44+T45+T46+T47+T49</f>
        <v>0</v>
      </c>
      <c r="U52" s="299">
        <f>U35+U36+U37+U38+U39+U40+U41+U42+U43+U44+U45+U46+U47+U49</f>
        <v>0</v>
      </c>
      <c r="V52" s="299">
        <v>0</v>
      </c>
      <c r="W52" s="299">
        <v>0</v>
      </c>
      <c r="X52" s="299">
        <v>0</v>
      </c>
      <c r="Y52" s="299">
        <f>Y35+Y36+Y37+Y38+Y39+Y40+Y41+Y42+Y43+Y44+Y45+Y46+Y47+Y49</f>
        <v>0</v>
      </c>
      <c r="Z52" s="299">
        <f>Z35+Z36+Z37+Z38+Z39+Z40+Z41+Z42+Z43+Z44+Z45+Z46+Z47+Z49</f>
        <v>0</v>
      </c>
      <c r="AA52" s="299">
        <v>0</v>
      </c>
      <c r="AB52" s="299">
        <v>0</v>
      </c>
      <c r="AC52" s="299">
        <v>0</v>
      </c>
      <c r="AD52" s="299">
        <f t="shared" si="17"/>
        <v>56037</v>
      </c>
    </row>
    <row r="53" spans="1:32" ht="23.25" customHeight="1">
      <c r="A53" s="322" t="s">
        <v>223</v>
      </c>
      <c r="B53" s="639" t="s">
        <v>248</v>
      </c>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1"/>
    </row>
    <row r="54" spans="1:32" ht="63" customHeight="1">
      <c r="A54" s="323" t="s">
        <v>27</v>
      </c>
      <c r="B54" s="330" t="s">
        <v>120</v>
      </c>
      <c r="C54" s="322" t="s">
        <v>94</v>
      </c>
      <c r="D54" s="322" t="s">
        <v>93</v>
      </c>
      <c r="E54" s="299">
        <f>F54+G54+H54+I54</f>
        <v>700</v>
      </c>
      <c r="F54" s="299">
        <f>700</f>
        <v>700</v>
      </c>
      <c r="G54" s="299">
        <v>0</v>
      </c>
      <c r="H54" s="299">
        <v>0</v>
      </c>
      <c r="I54" s="299">
        <v>0</v>
      </c>
      <c r="J54" s="299">
        <f>K54+L54+M54+N54</f>
        <v>498</v>
      </c>
      <c r="K54" s="299">
        <f>600-102</f>
        <v>498</v>
      </c>
      <c r="L54" s="299">
        <v>0</v>
      </c>
      <c r="M54" s="299">
        <v>0</v>
      </c>
      <c r="N54" s="299">
        <v>0</v>
      </c>
      <c r="O54" s="334">
        <f>P54+Q54+R54+S54</f>
        <v>554</v>
      </c>
      <c r="P54" s="334">
        <f>600-46</f>
        <v>554</v>
      </c>
      <c r="Q54" s="299">
        <v>0</v>
      </c>
      <c r="R54" s="299">
        <v>0</v>
      </c>
      <c r="S54" s="299">
        <v>0</v>
      </c>
      <c r="T54" s="299">
        <f>U54+V54+W54+X54</f>
        <v>0</v>
      </c>
      <c r="U54" s="299">
        <v>0</v>
      </c>
      <c r="V54" s="299">
        <v>0</v>
      </c>
      <c r="W54" s="299">
        <v>0</v>
      </c>
      <c r="X54" s="299">
        <v>0</v>
      </c>
      <c r="Y54" s="299">
        <f>Z54+AA54+AB54+AC54</f>
        <v>0</v>
      </c>
      <c r="Z54" s="299">
        <v>0</v>
      </c>
      <c r="AA54" s="299">
        <v>0</v>
      </c>
      <c r="AB54" s="299">
        <v>0</v>
      </c>
      <c r="AC54" s="299">
        <v>0</v>
      </c>
      <c r="AD54" s="299">
        <f>E54+J54+O54+T54+Y54</f>
        <v>1752</v>
      </c>
    </row>
    <row r="55" spans="1:32" ht="23.25">
      <c r="A55" s="642" t="s">
        <v>316</v>
      </c>
      <c r="B55" s="643"/>
      <c r="C55" s="644"/>
      <c r="D55" s="347"/>
      <c r="E55" s="326">
        <f t="shared" ref="E55:AD55" si="20">SUM(E54:E54)</f>
        <v>700</v>
      </c>
      <c r="F55" s="326">
        <f>SUM(F54)</f>
        <v>700</v>
      </c>
      <c r="G55" s="326">
        <f t="shared" si="20"/>
        <v>0</v>
      </c>
      <c r="H55" s="326">
        <f t="shared" si="20"/>
        <v>0</v>
      </c>
      <c r="I55" s="326">
        <f t="shared" si="20"/>
        <v>0</v>
      </c>
      <c r="J55" s="326">
        <f>J54</f>
        <v>498</v>
      </c>
      <c r="K55" s="326">
        <f t="shared" si="20"/>
        <v>498</v>
      </c>
      <c r="L55" s="326">
        <f t="shared" si="20"/>
        <v>0</v>
      </c>
      <c r="M55" s="326">
        <f t="shared" si="20"/>
        <v>0</v>
      </c>
      <c r="N55" s="326">
        <f t="shared" si="20"/>
        <v>0</v>
      </c>
      <c r="O55" s="337">
        <f t="shared" si="20"/>
        <v>554</v>
      </c>
      <c r="P55" s="337">
        <f t="shared" si="20"/>
        <v>554</v>
      </c>
      <c r="Q55" s="326">
        <f t="shared" si="20"/>
        <v>0</v>
      </c>
      <c r="R55" s="326">
        <f t="shared" si="20"/>
        <v>0</v>
      </c>
      <c r="S55" s="326">
        <f t="shared" si="20"/>
        <v>0</v>
      </c>
      <c r="T55" s="326">
        <f t="shared" si="20"/>
        <v>0</v>
      </c>
      <c r="U55" s="326">
        <f t="shared" si="20"/>
        <v>0</v>
      </c>
      <c r="V55" s="326">
        <f t="shared" si="20"/>
        <v>0</v>
      </c>
      <c r="W55" s="326">
        <f t="shared" si="20"/>
        <v>0</v>
      </c>
      <c r="X55" s="326">
        <f t="shared" si="20"/>
        <v>0</v>
      </c>
      <c r="Y55" s="326">
        <f t="shared" si="20"/>
        <v>0</v>
      </c>
      <c r="Z55" s="326">
        <f t="shared" si="20"/>
        <v>0</v>
      </c>
      <c r="AA55" s="326">
        <f t="shared" si="20"/>
        <v>0</v>
      </c>
      <c r="AB55" s="326">
        <f t="shared" si="20"/>
        <v>0</v>
      </c>
      <c r="AC55" s="326">
        <f t="shared" si="20"/>
        <v>0</v>
      </c>
      <c r="AD55" s="326">
        <f t="shared" si="20"/>
        <v>1752</v>
      </c>
    </row>
    <row r="56" spans="1:32" ht="23.25" customHeight="1">
      <c r="A56" s="322" t="s">
        <v>249</v>
      </c>
      <c r="B56" s="639" t="s">
        <v>250</v>
      </c>
      <c r="C56" s="640"/>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1"/>
    </row>
    <row r="57" spans="1:32" ht="111" customHeight="1">
      <c r="A57" s="648" t="s">
        <v>46</v>
      </c>
      <c r="B57" s="650" t="s">
        <v>291</v>
      </c>
      <c r="C57" s="322" t="s">
        <v>285</v>
      </c>
      <c r="D57" s="355">
        <v>2020</v>
      </c>
      <c r="E57" s="299">
        <f>F57+G57+H57+I57</f>
        <v>1449</v>
      </c>
      <c r="F57" s="299">
        <f>1656-207</f>
        <v>1449</v>
      </c>
      <c r="G57" s="299">
        <v>0</v>
      </c>
      <c r="H57" s="299">
        <v>0</v>
      </c>
      <c r="I57" s="299">
        <v>0</v>
      </c>
      <c r="J57" s="299">
        <f>K57+L57+M57+N57</f>
        <v>0</v>
      </c>
      <c r="K57" s="299">
        <v>0</v>
      </c>
      <c r="L57" s="299">
        <v>0</v>
      </c>
      <c r="M57" s="299">
        <v>0</v>
      </c>
      <c r="N57" s="299">
        <v>0</v>
      </c>
      <c r="O57" s="299">
        <f>P57+Q57+R57+S57</f>
        <v>0</v>
      </c>
      <c r="P57" s="299">
        <v>0</v>
      </c>
      <c r="Q57" s="299">
        <v>0</v>
      </c>
      <c r="R57" s="299">
        <v>0</v>
      </c>
      <c r="S57" s="299">
        <v>0</v>
      </c>
      <c r="T57" s="299">
        <f t="shared" ref="T57:T59" si="21">U57+V57+W57+X57</f>
        <v>0</v>
      </c>
      <c r="U57" s="299">
        <v>0</v>
      </c>
      <c r="V57" s="299">
        <v>0</v>
      </c>
      <c r="W57" s="299">
        <v>0</v>
      </c>
      <c r="X57" s="299">
        <v>0</v>
      </c>
      <c r="Y57" s="299">
        <f>Z57+AA57+AB57+AC57</f>
        <v>0</v>
      </c>
      <c r="Z57" s="299">
        <v>0</v>
      </c>
      <c r="AA57" s="299">
        <v>0</v>
      </c>
      <c r="AB57" s="299">
        <v>0</v>
      </c>
      <c r="AC57" s="299">
        <v>0</v>
      </c>
      <c r="AD57" s="299">
        <f>E57+I57+O57+T57+0</f>
        <v>1449</v>
      </c>
    </row>
    <row r="58" spans="1:32" ht="76.5" customHeight="1">
      <c r="A58" s="649"/>
      <c r="B58" s="651"/>
      <c r="C58" s="322" t="s">
        <v>286</v>
      </c>
      <c r="D58" s="355" t="s">
        <v>284</v>
      </c>
      <c r="E58" s="299">
        <f>F58+G58+H58+I58</f>
        <v>0</v>
      </c>
      <c r="F58" s="299">
        <v>0</v>
      </c>
      <c r="G58" s="299">
        <v>0</v>
      </c>
      <c r="H58" s="299">
        <v>0</v>
      </c>
      <c r="I58" s="299">
        <v>0</v>
      </c>
      <c r="J58" s="299">
        <f>K58+L58+M58+N58</f>
        <v>850</v>
      </c>
      <c r="K58" s="299">
        <f>1437-237-350</f>
        <v>850</v>
      </c>
      <c r="L58" s="299">
        <v>0</v>
      </c>
      <c r="M58" s="299">
        <v>0</v>
      </c>
      <c r="N58" s="299">
        <v>0</v>
      </c>
      <c r="O58" s="334">
        <f>P58+Q58+R58+S58</f>
        <v>1262</v>
      </c>
      <c r="P58" s="334">
        <f>1437-175</f>
        <v>1262</v>
      </c>
      <c r="Q58" s="299">
        <v>0</v>
      </c>
      <c r="R58" s="299">
        <v>0</v>
      </c>
      <c r="S58" s="299">
        <v>0</v>
      </c>
      <c r="T58" s="299">
        <f t="shared" si="21"/>
        <v>1437</v>
      </c>
      <c r="U58" s="299">
        <v>1437</v>
      </c>
      <c r="V58" s="299">
        <v>0</v>
      </c>
      <c r="W58" s="299">
        <v>0</v>
      </c>
      <c r="X58" s="299">
        <v>0</v>
      </c>
      <c r="Y58" s="299">
        <f>Z58+AA58+AB58+AC58</f>
        <v>1437</v>
      </c>
      <c r="Z58" s="299">
        <v>1437</v>
      </c>
      <c r="AA58" s="299">
        <v>0</v>
      </c>
      <c r="AB58" s="299">
        <v>0</v>
      </c>
      <c r="AC58" s="299">
        <v>0</v>
      </c>
      <c r="AD58" s="299">
        <f>E58+J58+O58+T58+Y58</f>
        <v>4986</v>
      </c>
    </row>
    <row r="59" spans="1:32" ht="69.75">
      <c r="A59" s="323" t="s">
        <v>251</v>
      </c>
      <c r="B59" s="330" t="s">
        <v>292</v>
      </c>
      <c r="C59" s="322" t="s">
        <v>52</v>
      </c>
      <c r="D59" s="322" t="s">
        <v>93</v>
      </c>
      <c r="E59" s="299">
        <f>F59+G59+H59+I59</f>
        <v>55</v>
      </c>
      <c r="F59" s="299">
        <f>86-31</f>
        <v>55</v>
      </c>
      <c r="G59" s="299">
        <v>0</v>
      </c>
      <c r="H59" s="299">
        <v>0</v>
      </c>
      <c r="I59" s="299">
        <v>0</v>
      </c>
      <c r="J59" s="299">
        <f>K59+L59+M59+N59</f>
        <v>60.5</v>
      </c>
      <c r="K59" s="299">
        <f>70-9.5</f>
        <v>60.5</v>
      </c>
      <c r="L59" s="299">
        <v>0</v>
      </c>
      <c r="M59" s="299">
        <v>0</v>
      </c>
      <c r="N59" s="299">
        <v>0</v>
      </c>
      <c r="O59" s="334">
        <f>P59+Q59+R59+S59</f>
        <v>134.19999999999999</v>
      </c>
      <c r="P59" s="334">
        <f>153-18.8</f>
        <v>134.19999999999999</v>
      </c>
      <c r="Q59" s="299">
        <v>0</v>
      </c>
      <c r="R59" s="299">
        <v>0</v>
      </c>
      <c r="S59" s="299">
        <v>0</v>
      </c>
      <c r="T59" s="299">
        <f t="shared" si="21"/>
        <v>153</v>
      </c>
      <c r="U59" s="299">
        <v>153</v>
      </c>
      <c r="V59" s="299">
        <v>0</v>
      </c>
      <c r="W59" s="299">
        <v>0</v>
      </c>
      <c r="X59" s="299">
        <v>0</v>
      </c>
      <c r="Y59" s="299">
        <f>Z59+AA59+AB59+AC59</f>
        <v>153</v>
      </c>
      <c r="Z59" s="299">
        <v>153</v>
      </c>
      <c r="AA59" s="299">
        <v>0</v>
      </c>
      <c r="AB59" s="299">
        <v>0</v>
      </c>
      <c r="AC59" s="299">
        <v>0</v>
      </c>
      <c r="AD59" s="299">
        <f>E59+J59+O59+T59+Y59</f>
        <v>555.70000000000005</v>
      </c>
    </row>
    <row r="60" spans="1:32" ht="23.25">
      <c r="A60" s="338" t="s">
        <v>73</v>
      </c>
      <c r="B60" s="338"/>
      <c r="C60" s="421"/>
      <c r="D60" s="347"/>
      <c r="E60" s="299">
        <f>E59</f>
        <v>55</v>
      </c>
      <c r="F60" s="299">
        <f>F59</f>
        <v>55</v>
      </c>
      <c r="G60" s="299">
        <v>0</v>
      </c>
      <c r="H60" s="299">
        <v>0</v>
      </c>
      <c r="I60" s="299">
        <v>0</v>
      </c>
      <c r="J60" s="299">
        <f>K60+L60+M60+N60</f>
        <v>910.5</v>
      </c>
      <c r="K60" s="299">
        <f>K58+K59</f>
        <v>910.5</v>
      </c>
      <c r="L60" s="299">
        <v>0</v>
      </c>
      <c r="M60" s="299">
        <v>0</v>
      </c>
      <c r="N60" s="299">
        <v>0</v>
      </c>
      <c r="O60" s="299">
        <f>P60+Q60+R60+S60</f>
        <v>1396.2</v>
      </c>
      <c r="P60" s="299">
        <f>P58+P59</f>
        <v>1396.2</v>
      </c>
      <c r="Q60" s="299">
        <v>0</v>
      </c>
      <c r="R60" s="299">
        <v>0</v>
      </c>
      <c r="S60" s="299">
        <v>0</v>
      </c>
      <c r="T60" s="299">
        <f>T58+T59</f>
        <v>1590</v>
      </c>
      <c r="U60" s="299">
        <f>U58+U59</f>
        <v>1590</v>
      </c>
      <c r="V60" s="299">
        <v>0</v>
      </c>
      <c r="W60" s="299">
        <v>0</v>
      </c>
      <c r="X60" s="299">
        <v>0</v>
      </c>
      <c r="Y60" s="299">
        <f>Y58+Y59</f>
        <v>1590</v>
      </c>
      <c r="Z60" s="299">
        <f>Z58+Z59</f>
        <v>1590</v>
      </c>
      <c r="AA60" s="299">
        <v>0</v>
      </c>
      <c r="AB60" s="299">
        <v>0</v>
      </c>
      <c r="AC60" s="299">
        <v>0</v>
      </c>
      <c r="AD60" s="299">
        <f>AD58+AD59</f>
        <v>5541.7</v>
      </c>
    </row>
    <row r="61" spans="1:32" ht="23.25">
      <c r="A61" s="338" t="s">
        <v>135</v>
      </c>
      <c r="B61" s="338"/>
      <c r="C61" s="421"/>
      <c r="D61" s="347"/>
      <c r="E61" s="299">
        <f>F61+G61+H61+I61</f>
        <v>1449</v>
      </c>
      <c r="F61" s="299">
        <f>F57</f>
        <v>1449</v>
      </c>
      <c r="G61" s="299">
        <v>0</v>
      </c>
      <c r="H61" s="299">
        <v>0</v>
      </c>
      <c r="I61" s="299">
        <v>0</v>
      </c>
      <c r="J61" s="299">
        <v>0</v>
      </c>
      <c r="K61" s="299">
        <v>0</v>
      </c>
      <c r="L61" s="299">
        <v>0</v>
      </c>
      <c r="M61" s="299">
        <v>0</v>
      </c>
      <c r="N61" s="299">
        <v>0</v>
      </c>
      <c r="O61" s="299">
        <v>0</v>
      </c>
      <c r="P61" s="299">
        <v>0</v>
      </c>
      <c r="Q61" s="299">
        <v>0</v>
      </c>
      <c r="R61" s="299">
        <v>0</v>
      </c>
      <c r="S61" s="299">
        <v>0</v>
      </c>
      <c r="T61" s="299">
        <v>0</v>
      </c>
      <c r="U61" s="299">
        <v>0</v>
      </c>
      <c r="V61" s="299">
        <v>0</v>
      </c>
      <c r="W61" s="299">
        <v>0</v>
      </c>
      <c r="X61" s="299">
        <v>0</v>
      </c>
      <c r="Y61" s="299">
        <v>0</v>
      </c>
      <c r="Z61" s="299">
        <v>0</v>
      </c>
      <c r="AA61" s="299">
        <v>0</v>
      </c>
      <c r="AB61" s="299">
        <v>0</v>
      </c>
      <c r="AC61" s="299">
        <v>0</v>
      </c>
      <c r="AD61" s="299">
        <f>AD57</f>
        <v>1449</v>
      </c>
    </row>
    <row r="62" spans="1:32" s="349" customFormat="1" ht="22.5">
      <c r="A62" s="356"/>
      <c r="B62" s="356" t="s">
        <v>303</v>
      </c>
      <c r="C62" s="357"/>
      <c r="D62" s="358"/>
      <c r="E62" s="326">
        <f>F62+G62+H62+I62</f>
        <v>1504</v>
      </c>
      <c r="F62" s="326">
        <f>F60+F61</f>
        <v>1504</v>
      </c>
      <c r="G62" s="326">
        <v>0</v>
      </c>
      <c r="H62" s="326">
        <v>0</v>
      </c>
      <c r="I62" s="326">
        <v>0</v>
      </c>
      <c r="J62" s="326">
        <f>K62+L62+M62+N62</f>
        <v>910.5</v>
      </c>
      <c r="K62" s="326">
        <f>K60+K61</f>
        <v>910.5</v>
      </c>
      <c r="L62" s="326">
        <v>0</v>
      </c>
      <c r="M62" s="326">
        <v>0</v>
      </c>
      <c r="N62" s="326">
        <v>0</v>
      </c>
      <c r="O62" s="326">
        <f>P62+Q62+R62+S62</f>
        <v>1396.2</v>
      </c>
      <c r="P62" s="326">
        <f>P60+P61</f>
        <v>1396.2</v>
      </c>
      <c r="Q62" s="326">
        <v>0</v>
      </c>
      <c r="R62" s="326">
        <v>0</v>
      </c>
      <c r="S62" s="326">
        <v>0</v>
      </c>
      <c r="T62" s="326">
        <f>U62+V62+W62+X62</f>
        <v>1590</v>
      </c>
      <c r="U62" s="326">
        <f>U60+U61</f>
        <v>1590</v>
      </c>
      <c r="V62" s="326">
        <v>0</v>
      </c>
      <c r="W62" s="326">
        <v>0</v>
      </c>
      <c r="X62" s="326">
        <v>0</v>
      </c>
      <c r="Y62" s="326">
        <f>Z62+AA62+AB62+AC62</f>
        <v>1590</v>
      </c>
      <c r="Z62" s="326">
        <f>Z60+Z61</f>
        <v>1590</v>
      </c>
      <c r="AA62" s="326">
        <v>0</v>
      </c>
      <c r="AB62" s="326">
        <v>0</v>
      </c>
      <c r="AC62" s="326">
        <v>0</v>
      </c>
      <c r="AD62" s="326">
        <f>E62+J62+O62+T62+Y62</f>
        <v>6990.7</v>
      </c>
    </row>
    <row r="63" spans="1:32" ht="23.25">
      <c r="A63" s="322" t="s">
        <v>224</v>
      </c>
      <c r="B63" s="639" t="s">
        <v>278</v>
      </c>
      <c r="C63" s="640"/>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1"/>
    </row>
    <row r="64" spans="1:32" ht="87.75" customHeight="1">
      <c r="A64" s="323" t="s">
        <v>48</v>
      </c>
      <c r="B64" s="333" t="s">
        <v>108</v>
      </c>
      <c r="C64" s="322" t="s">
        <v>94</v>
      </c>
      <c r="D64" s="322" t="s">
        <v>93</v>
      </c>
      <c r="E64" s="299">
        <f>F64+G64+H64+I64</f>
        <v>766</v>
      </c>
      <c r="F64" s="299">
        <f>409+357</f>
        <v>766</v>
      </c>
      <c r="G64" s="299">
        <v>0</v>
      </c>
      <c r="H64" s="299">
        <v>0</v>
      </c>
      <c r="I64" s="299">
        <v>0</v>
      </c>
      <c r="J64" s="299">
        <f>K64+L64+M64+N64</f>
        <v>628</v>
      </c>
      <c r="K64" s="299">
        <f>655-27</f>
        <v>628</v>
      </c>
      <c r="L64" s="299">
        <v>0</v>
      </c>
      <c r="M64" s="299">
        <v>0</v>
      </c>
      <c r="N64" s="299">
        <v>0</v>
      </c>
      <c r="O64" s="334">
        <f>P64+Q64+R64+S64</f>
        <v>543.79999999999995</v>
      </c>
      <c r="P64" s="334">
        <f>533-23.2+34</f>
        <v>543.79999999999995</v>
      </c>
      <c r="Q64" s="299">
        <v>0</v>
      </c>
      <c r="R64" s="299">
        <v>0</v>
      </c>
      <c r="S64" s="299">
        <v>0</v>
      </c>
      <c r="T64" s="299">
        <v>0</v>
      </c>
      <c r="U64" s="299">
        <v>0</v>
      </c>
      <c r="V64" s="299">
        <v>0</v>
      </c>
      <c r="W64" s="299">
        <v>0</v>
      </c>
      <c r="X64" s="299">
        <v>0</v>
      </c>
      <c r="Y64" s="299">
        <f>Z64+AA64+AB64+AC64</f>
        <v>0</v>
      </c>
      <c r="Z64" s="299">
        <v>0</v>
      </c>
      <c r="AA64" s="299">
        <v>0</v>
      </c>
      <c r="AB64" s="299">
        <v>0</v>
      </c>
      <c r="AC64" s="299">
        <v>0</v>
      </c>
      <c r="AD64" s="299">
        <f>E64+J64+O64+T64+Y64</f>
        <v>1937.8</v>
      </c>
      <c r="AF64" s="316" t="s">
        <v>131</v>
      </c>
    </row>
    <row r="65" spans="1:30">
      <c r="A65" s="652" t="s">
        <v>317</v>
      </c>
      <c r="B65" s="653"/>
      <c r="C65" s="654"/>
      <c r="D65" s="347"/>
      <c r="E65" s="326">
        <f t="shared" ref="E65:AD65" si="22">SUM(E64:E64)</f>
        <v>766</v>
      </c>
      <c r="F65" s="326">
        <f>SUM(F64)</f>
        <v>766</v>
      </c>
      <c r="G65" s="326">
        <f t="shared" si="22"/>
        <v>0</v>
      </c>
      <c r="H65" s="326">
        <f t="shared" si="22"/>
        <v>0</v>
      </c>
      <c r="I65" s="326">
        <f t="shared" si="22"/>
        <v>0</v>
      </c>
      <c r="J65" s="326">
        <f>J64</f>
        <v>628</v>
      </c>
      <c r="K65" s="326">
        <f t="shared" si="22"/>
        <v>628</v>
      </c>
      <c r="L65" s="326">
        <f t="shared" si="22"/>
        <v>0</v>
      </c>
      <c r="M65" s="326">
        <f t="shared" si="22"/>
        <v>0</v>
      </c>
      <c r="N65" s="326">
        <f t="shared" si="22"/>
        <v>0</v>
      </c>
      <c r="O65" s="337">
        <f t="shared" si="22"/>
        <v>543.79999999999995</v>
      </c>
      <c r="P65" s="337">
        <f t="shared" si="22"/>
        <v>543.79999999999995</v>
      </c>
      <c r="Q65" s="326">
        <f t="shared" si="22"/>
        <v>0</v>
      </c>
      <c r="R65" s="326">
        <f t="shared" si="22"/>
        <v>0</v>
      </c>
      <c r="S65" s="326">
        <f t="shared" si="22"/>
        <v>0</v>
      </c>
      <c r="T65" s="326">
        <f t="shared" si="22"/>
        <v>0</v>
      </c>
      <c r="U65" s="326">
        <f t="shared" si="22"/>
        <v>0</v>
      </c>
      <c r="V65" s="326">
        <f t="shared" si="22"/>
        <v>0</v>
      </c>
      <c r="W65" s="326">
        <f t="shared" si="22"/>
        <v>0</v>
      </c>
      <c r="X65" s="326">
        <f t="shared" si="22"/>
        <v>0</v>
      </c>
      <c r="Y65" s="326">
        <f t="shared" si="22"/>
        <v>0</v>
      </c>
      <c r="Z65" s="326">
        <f t="shared" si="22"/>
        <v>0</v>
      </c>
      <c r="AA65" s="326">
        <f t="shared" si="22"/>
        <v>0</v>
      </c>
      <c r="AB65" s="326">
        <f t="shared" si="22"/>
        <v>0</v>
      </c>
      <c r="AC65" s="326">
        <f t="shared" si="22"/>
        <v>0</v>
      </c>
      <c r="AD65" s="326">
        <f t="shared" si="22"/>
        <v>1937.8</v>
      </c>
    </row>
    <row r="66" spans="1:30" ht="23.25">
      <c r="A66" s="347" t="s">
        <v>252</v>
      </c>
      <c r="B66" s="639" t="s">
        <v>279</v>
      </c>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1"/>
    </row>
    <row r="67" spans="1:30" ht="93.75">
      <c r="A67" s="347" t="s">
        <v>50</v>
      </c>
      <c r="B67" s="333" t="s">
        <v>115</v>
      </c>
      <c r="C67" s="322" t="s">
        <v>106</v>
      </c>
      <c r="D67" s="322" t="s">
        <v>93</v>
      </c>
      <c r="E67" s="299">
        <f>F67+G67+H67+I67</f>
        <v>25286</v>
      </c>
      <c r="F67" s="299">
        <f>27786-2500</f>
        <v>25286</v>
      </c>
      <c r="G67" s="299">
        <v>0</v>
      </c>
      <c r="H67" s="299">
        <v>0</v>
      </c>
      <c r="I67" s="299">
        <v>0</v>
      </c>
      <c r="J67" s="299">
        <f>K67+L67+M67+N67</f>
        <v>29781</v>
      </c>
      <c r="K67" s="299">
        <f>40120-110-10229</f>
        <v>29781</v>
      </c>
      <c r="L67" s="299">
        <v>0</v>
      </c>
      <c r="M67" s="299">
        <v>0</v>
      </c>
      <c r="N67" s="299">
        <v>0</v>
      </c>
      <c r="O67" s="299">
        <f>P67+Q67+R67+S67</f>
        <v>29104</v>
      </c>
      <c r="P67" s="299">
        <v>29104</v>
      </c>
      <c r="Q67" s="299">
        <v>0</v>
      </c>
      <c r="R67" s="299">
        <v>0</v>
      </c>
      <c r="S67" s="299">
        <v>0</v>
      </c>
      <c r="T67" s="299">
        <f>U67+V67+W67+X67</f>
        <v>0</v>
      </c>
      <c r="U67" s="299">
        <v>0</v>
      </c>
      <c r="V67" s="299">
        <v>0</v>
      </c>
      <c r="W67" s="299">
        <v>0</v>
      </c>
      <c r="X67" s="299">
        <v>0</v>
      </c>
      <c r="Y67" s="299">
        <f>Z67+AA67+AB67+AC67</f>
        <v>0</v>
      </c>
      <c r="Z67" s="299">
        <v>0</v>
      </c>
      <c r="AA67" s="299">
        <v>0</v>
      </c>
      <c r="AB67" s="299">
        <v>0</v>
      </c>
      <c r="AC67" s="299">
        <v>0</v>
      </c>
      <c r="AD67" s="299">
        <f>E67+J67+O67+T67+Y67</f>
        <v>84171</v>
      </c>
    </row>
    <row r="68" spans="1:30" ht="23.25">
      <c r="A68" s="642" t="s">
        <v>318</v>
      </c>
      <c r="B68" s="643"/>
      <c r="C68" s="644"/>
      <c r="D68" s="347"/>
      <c r="E68" s="326">
        <f t="shared" ref="E68:AD68" si="23">SUM(E67:E67)</f>
        <v>25286</v>
      </c>
      <c r="F68" s="326">
        <f>SUM(F67)</f>
        <v>25286</v>
      </c>
      <c r="G68" s="326">
        <f t="shared" si="23"/>
        <v>0</v>
      </c>
      <c r="H68" s="326">
        <f t="shared" si="23"/>
        <v>0</v>
      </c>
      <c r="I68" s="326">
        <f t="shared" si="23"/>
        <v>0</v>
      </c>
      <c r="J68" s="326">
        <f>J67</f>
        <v>29781</v>
      </c>
      <c r="K68" s="326">
        <f t="shared" si="23"/>
        <v>29781</v>
      </c>
      <c r="L68" s="326">
        <f t="shared" si="23"/>
        <v>0</v>
      </c>
      <c r="M68" s="326">
        <f t="shared" si="23"/>
        <v>0</v>
      </c>
      <c r="N68" s="326">
        <f t="shared" si="23"/>
        <v>0</v>
      </c>
      <c r="O68" s="326">
        <f t="shared" si="23"/>
        <v>29104</v>
      </c>
      <c r="P68" s="326">
        <f t="shared" si="23"/>
        <v>29104</v>
      </c>
      <c r="Q68" s="326">
        <f t="shared" si="23"/>
        <v>0</v>
      </c>
      <c r="R68" s="326">
        <f t="shared" si="23"/>
        <v>0</v>
      </c>
      <c r="S68" s="326">
        <f t="shared" si="23"/>
        <v>0</v>
      </c>
      <c r="T68" s="326">
        <f t="shared" si="23"/>
        <v>0</v>
      </c>
      <c r="U68" s="326">
        <f t="shared" si="23"/>
        <v>0</v>
      </c>
      <c r="V68" s="326">
        <f t="shared" si="23"/>
        <v>0</v>
      </c>
      <c r="W68" s="326">
        <f t="shared" si="23"/>
        <v>0</v>
      </c>
      <c r="X68" s="326">
        <f t="shared" si="23"/>
        <v>0</v>
      </c>
      <c r="Y68" s="326">
        <f t="shared" si="23"/>
        <v>0</v>
      </c>
      <c r="Z68" s="326">
        <f t="shared" si="23"/>
        <v>0</v>
      </c>
      <c r="AA68" s="326">
        <f t="shared" si="23"/>
        <v>0</v>
      </c>
      <c r="AB68" s="326">
        <f t="shared" si="23"/>
        <v>0</v>
      </c>
      <c r="AC68" s="326">
        <f t="shared" si="23"/>
        <v>0</v>
      </c>
      <c r="AD68" s="326">
        <f t="shared" si="23"/>
        <v>84171</v>
      </c>
    </row>
    <row r="69" spans="1:30" ht="23.25">
      <c r="A69" s="347" t="s">
        <v>254</v>
      </c>
      <c r="B69" s="639" t="s">
        <v>280</v>
      </c>
      <c r="C69" s="640"/>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1"/>
    </row>
    <row r="70" spans="1:30" ht="37.5">
      <c r="A70" s="347" t="s">
        <v>55</v>
      </c>
      <c r="B70" s="328" t="s">
        <v>96</v>
      </c>
      <c r="C70" s="322" t="s">
        <v>94</v>
      </c>
      <c r="D70" s="322" t="s">
        <v>93</v>
      </c>
      <c r="E70" s="299">
        <f>F70+G70+H70+I70</f>
        <v>7420</v>
      </c>
      <c r="F70" s="299">
        <f>6486+934</f>
        <v>7420</v>
      </c>
      <c r="G70" s="299">
        <v>0</v>
      </c>
      <c r="H70" s="299">
        <v>0</v>
      </c>
      <c r="I70" s="299">
        <v>0</v>
      </c>
      <c r="J70" s="299">
        <f>K70+L70+M70+N70</f>
        <v>6270</v>
      </c>
      <c r="K70" s="299">
        <f>7350-300-780</f>
        <v>6270</v>
      </c>
      <c r="L70" s="299">
        <v>0</v>
      </c>
      <c r="M70" s="299">
        <v>0</v>
      </c>
      <c r="N70" s="299">
        <v>0</v>
      </c>
      <c r="O70" s="334">
        <f>P70+Q70+R70+S70</f>
        <v>6660</v>
      </c>
      <c r="P70" s="334">
        <f>7050-390</f>
        <v>6660</v>
      </c>
      <c r="Q70" s="299">
        <v>0</v>
      </c>
      <c r="R70" s="299">
        <v>0</v>
      </c>
      <c r="S70" s="299">
        <v>0</v>
      </c>
      <c r="T70" s="299">
        <f>U70+V70+W70+X70</f>
        <v>0</v>
      </c>
      <c r="U70" s="299">
        <v>0</v>
      </c>
      <c r="V70" s="299">
        <v>0</v>
      </c>
      <c r="W70" s="299">
        <v>0</v>
      </c>
      <c r="X70" s="299">
        <v>0</v>
      </c>
      <c r="Y70" s="299">
        <f>Z70+AA70+AB70+AC70</f>
        <v>0</v>
      </c>
      <c r="Z70" s="299">
        <v>0</v>
      </c>
      <c r="AA70" s="299">
        <v>0</v>
      </c>
      <c r="AB70" s="299">
        <v>0</v>
      </c>
      <c r="AC70" s="299">
        <v>0</v>
      </c>
      <c r="AD70" s="299">
        <f>E70+J70+O70+T70+Y70</f>
        <v>20350</v>
      </c>
    </row>
    <row r="71" spans="1:30" ht="69.75">
      <c r="A71" s="347" t="s">
        <v>256</v>
      </c>
      <c r="B71" s="333" t="s">
        <v>209</v>
      </c>
      <c r="C71" s="322" t="s">
        <v>94</v>
      </c>
      <c r="D71" s="322" t="s">
        <v>93</v>
      </c>
      <c r="E71" s="299">
        <f>SUM(F71:I71)</f>
        <v>681</v>
      </c>
      <c r="F71" s="299">
        <v>681</v>
      </c>
      <c r="G71" s="299">
        <v>0</v>
      </c>
      <c r="H71" s="299">
        <v>0</v>
      </c>
      <c r="I71" s="299">
        <v>0</v>
      </c>
      <c r="J71" s="299">
        <f>K71+L71+M71+N71</f>
        <v>558</v>
      </c>
      <c r="K71" s="299">
        <f>684-126</f>
        <v>558</v>
      </c>
      <c r="L71" s="299">
        <v>0</v>
      </c>
      <c r="M71" s="299">
        <v>0</v>
      </c>
      <c r="N71" s="299">
        <v>0</v>
      </c>
      <c r="O71" s="334">
        <f>P71+Q71+R71+S71</f>
        <v>558</v>
      </c>
      <c r="P71" s="334">
        <f>612-54</f>
        <v>558</v>
      </c>
      <c r="Q71" s="299">
        <v>0</v>
      </c>
      <c r="R71" s="299">
        <v>0</v>
      </c>
      <c r="S71" s="299">
        <v>0</v>
      </c>
      <c r="T71" s="299">
        <f>U71+V71+W71+X71</f>
        <v>0</v>
      </c>
      <c r="U71" s="299">
        <v>0</v>
      </c>
      <c r="V71" s="299">
        <v>0</v>
      </c>
      <c r="W71" s="299">
        <v>0</v>
      </c>
      <c r="X71" s="299">
        <v>0</v>
      </c>
      <c r="Y71" s="299">
        <f>Z71+AA71+AB71+AC71</f>
        <v>0</v>
      </c>
      <c r="Z71" s="299">
        <v>0</v>
      </c>
      <c r="AA71" s="299">
        <v>0</v>
      </c>
      <c r="AB71" s="299">
        <v>0</v>
      </c>
      <c r="AC71" s="299">
        <v>0</v>
      </c>
      <c r="AD71" s="299">
        <f>E71+J71+O71+T71+Y71</f>
        <v>1797</v>
      </c>
    </row>
    <row r="72" spans="1:30" ht="116.25">
      <c r="A72" s="347" t="s">
        <v>257</v>
      </c>
      <c r="B72" s="333" t="s">
        <v>271</v>
      </c>
      <c r="C72" s="322" t="s">
        <v>266</v>
      </c>
      <c r="D72" s="322">
        <v>2020</v>
      </c>
      <c r="E72" s="299">
        <f>F72+G72+H72+I72</f>
        <v>774</v>
      </c>
      <c r="F72" s="299">
        <v>774</v>
      </c>
      <c r="G72" s="299">
        <v>0</v>
      </c>
      <c r="H72" s="299">
        <v>0</v>
      </c>
      <c r="I72" s="299">
        <v>0</v>
      </c>
      <c r="J72" s="299">
        <f>K72+L72+M72+N72</f>
        <v>350</v>
      </c>
      <c r="K72" s="299">
        <v>350</v>
      </c>
      <c r="L72" s="299">
        <v>0</v>
      </c>
      <c r="M72" s="299">
        <v>0</v>
      </c>
      <c r="N72" s="299">
        <v>0</v>
      </c>
      <c r="O72" s="299">
        <f>P72+Q72+R72+S72</f>
        <v>360</v>
      </c>
      <c r="P72" s="299">
        <v>360</v>
      </c>
      <c r="Q72" s="299">
        <v>0</v>
      </c>
      <c r="R72" s="299">
        <v>0</v>
      </c>
      <c r="S72" s="299">
        <v>0</v>
      </c>
      <c r="T72" s="299">
        <f>U72+V72+W72+X72</f>
        <v>0</v>
      </c>
      <c r="U72" s="299">
        <v>0</v>
      </c>
      <c r="V72" s="299">
        <v>0</v>
      </c>
      <c r="W72" s="299">
        <v>0</v>
      </c>
      <c r="X72" s="299">
        <v>0</v>
      </c>
      <c r="Y72" s="299">
        <f>Z72+AA72+AB72+AC72</f>
        <v>0</v>
      </c>
      <c r="Z72" s="299">
        <v>0</v>
      </c>
      <c r="AA72" s="299">
        <v>0</v>
      </c>
      <c r="AB72" s="299">
        <v>0</v>
      </c>
      <c r="AC72" s="299">
        <v>0</v>
      </c>
      <c r="AD72" s="299">
        <f>E72+J72+O72+T72+Y72</f>
        <v>1484</v>
      </c>
    </row>
    <row r="73" spans="1:30" ht="23.25">
      <c r="A73" s="642" t="s">
        <v>322</v>
      </c>
      <c r="B73" s="643"/>
      <c r="C73" s="644"/>
      <c r="D73" s="347"/>
      <c r="E73" s="326">
        <f>E70+E71+E72</f>
        <v>8875</v>
      </c>
      <c r="F73" s="326">
        <f>F70+F71+F72</f>
        <v>8875</v>
      </c>
      <c r="G73" s="326">
        <f>SUM(G70:G70)</f>
        <v>0</v>
      </c>
      <c r="H73" s="326">
        <f>SUM(H70:H70)</f>
        <v>0</v>
      </c>
      <c r="I73" s="326">
        <f>SUM(I70:I70)</f>
        <v>0</v>
      </c>
      <c r="J73" s="326">
        <f>J70+J71+J72</f>
        <v>7178</v>
      </c>
      <c r="K73" s="326">
        <f>K70+K71+K72</f>
        <v>7178</v>
      </c>
      <c r="L73" s="326">
        <f>SUM(L70:L70)</f>
        <v>0</v>
      </c>
      <c r="M73" s="326">
        <f>SUM(M70:M70)</f>
        <v>0</v>
      </c>
      <c r="N73" s="326">
        <f>SUM(N70:N70)</f>
        <v>0</v>
      </c>
      <c r="O73" s="326">
        <f>O70+O71+O72</f>
        <v>7578</v>
      </c>
      <c r="P73" s="326">
        <f>P70+P71+P72</f>
        <v>7578</v>
      </c>
      <c r="Q73" s="326">
        <f>SUM(Q70:Q70)</f>
        <v>0</v>
      </c>
      <c r="R73" s="326">
        <f>SUM(R70:R70)</f>
        <v>0</v>
      </c>
      <c r="S73" s="326">
        <f>SUM(S70:S70)</f>
        <v>0</v>
      </c>
      <c r="T73" s="326">
        <f>T70+T71+T72</f>
        <v>0</v>
      </c>
      <c r="U73" s="326">
        <f>U70+U71+U72</f>
        <v>0</v>
      </c>
      <c r="V73" s="326">
        <f>SUM(V70:V70)</f>
        <v>0</v>
      </c>
      <c r="W73" s="326">
        <f>SUM(W70:W70)</f>
        <v>0</v>
      </c>
      <c r="X73" s="326">
        <f>SUM(X70:X70)</f>
        <v>0</v>
      </c>
      <c r="Y73" s="326">
        <f>Y70+Y71+Y72</f>
        <v>0</v>
      </c>
      <c r="Z73" s="326">
        <f>Z70+Z71+Z72</f>
        <v>0</v>
      </c>
      <c r="AA73" s="326">
        <f>SUM(AA70:AA70)</f>
        <v>0</v>
      </c>
      <c r="AB73" s="326">
        <f>SUM(AB70:AB70)</f>
        <v>0</v>
      </c>
      <c r="AC73" s="326">
        <f>SUM(AC70:AC70)</f>
        <v>0</v>
      </c>
      <c r="AD73" s="326">
        <f>SUM(AD70:AD72)</f>
        <v>23631</v>
      </c>
    </row>
    <row r="74" spans="1:30" ht="23.25">
      <c r="A74" s="338" t="s">
        <v>135</v>
      </c>
      <c r="B74" s="338"/>
      <c r="C74" s="421"/>
      <c r="D74" s="430"/>
      <c r="E74" s="353">
        <f>E70+E71+E72</f>
        <v>8875</v>
      </c>
      <c r="F74" s="353">
        <f>F70+F71+F72</f>
        <v>8875</v>
      </c>
      <c r="G74" s="353">
        <v>0</v>
      </c>
      <c r="H74" s="353">
        <v>0</v>
      </c>
      <c r="I74" s="353">
        <v>0</v>
      </c>
      <c r="J74" s="353">
        <f>J70+J71+J72</f>
        <v>7178</v>
      </c>
      <c r="K74" s="353">
        <f>K70+K71+K72</f>
        <v>7178</v>
      </c>
      <c r="L74" s="353">
        <v>0</v>
      </c>
      <c r="M74" s="353">
        <v>0</v>
      </c>
      <c r="N74" s="353">
        <v>0</v>
      </c>
      <c r="O74" s="353">
        <f>O73</f>
        <v>7578</v>
      </c>
      <c r="P74" s="353">
        <f>P70+P71+P72</f>
        <v>7578</v>
      </c>
      <c r="Q74" s="353">
        <v>0</v>
      </c>
      <c r="R74" s="353">
        <v>0</v>
      </c>
      <c r="S74" s="353">
        <v>0</v>
      </c>
      <c r="T74" s="353">
        <f>T70+T71+T72</f>
        <v>0</v>
      </c>
      <c r="U74" s="353">
        <f>U70+U71+U72</f>
        <v>0</v>
      </c>
      <c r="V74" s="353">
        <v>0</v>
      </c>
      <c r="W74" s="353">
        <v>0</v>
      </c>
      <c r="X74" s="353">
        <v>0</v>
      </c>
      <c r="Y74" s="353">
        <f>Y70+Y71+Y72</f>
        <v>0</v>
      </c>
      <c r="Z74" s="353">
        <f>Z70+Z71+Z72</f>
        <v>0</v>
      </c>
      <c r="AA74" s="353">
        <v>0</v>
      </c>
      <c r="AB74" s="353">
        <v>0</v>
      </c>
      <c r="AC74" s="353">
        <v>0</v>
      </c>
      <c r="AD74" s="354">
        <f>AD70+AD71</f>
        <v>22147</v>
      </c>
    </row>
    <row r="75" spans="1:30" ht="23.25">
      <c r="A75" s="347" t="s">
        <v>97</v>
      </c>
      <c r="B75" s="639" t="s">
        <v>281</v>
      </c>
      <c r="C75" s="640"/>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1"/>
    </row>
    <row r="76" spans="1:30" ht="116.25">
      <c r="A76" s="359" t="s">
        <v>57</v>
      </c>
      <c r="B76" s="328" t="s">
        <v>290</v>
      </c>
      <c r="C76" s="322" t="s">
        <v>73</v>
      </c>
      <c r="D76" s="322" t="s">
        <v>93</v>
      </c>
      <c r="E76" s="299">
        <f xml:space="preserve"> SUM(F76:I76)</f>
        <v>136.19999999999999</v>
      </c>
      <c r="F76" s="299">
        <f>74.6+61.6</f>
        <v>136.19999999999999</v>
      </c>
      <c r="G76" s="299">
        <v>0</v>
      </c>
      <c r="H76" s="299">
        <v>0</v>
      </c>
      <c r="I76" s="299">
        <v>0</v>
      </c>
      <c r="J76" s="299">
        <f xml:space="preserve"> SUM(K76:N76)</f>
        <v>137.5</v>
      </c>
      <c r="K76" s="299">
        <f>142-4.5</f>
        <v>137.5</v>
      </c>
      <c r="L76" s="299">
        <v>0</v>
      </c>
      <c r="M76" s="299">
        <v>0</v>
      </c>
      <c r="N76" s="299">
        <v>0</v>
      </c>
      <c r="O76" s="299">
        <f xml:space="preserve"> SUM(P76:S76)</f>
        <v>142</v>
      </c>
      <c r="P76" s="299">
        <v>142</v>
      </c>
      <c r="Q76" s="299">
        <v>0</v>
      </c>
      <c r="R76" s="299">
        <v>0</v>
      </c>
      <c r="S76" s="299">
        <v>0</v>
      </c>
      <c r="T76" s="299">
        <f xml:space="preserve"> SUM(U76:X76)</f>
        <v>142</v>
      </c>
      <c r="U76" s="299">
        <v>142</v>
      </c>
      <c r="V76" s="299">
        <v>0</v>
      </c>
      <c r="W76" s="299">
        <v>0</v>
      </c>
      <c r="X76" s="299">
        <v>0</v>
      </c>
      <c r="Y76" s="299">
        <f xml:space="preserve"> SUM(Z76:AC76)</f>
        <v>142</v>
      </c>
      <c r="Z76" s="299">
        <v>142</v>
      </c>
      <c r="AA76" s="299">
        <v>0</v>
      </c>
      <c r="AB76" s="299">
        <v>0</v>
      </c>
      <c r="AC76" s="299">
        <v>0</v>
      </c>
      <c r="AD76" s="299">
        <f>E76+J76+O76+T76+Y76</f>
        <v>699.7</v>
      </c>
    </row>
    <row r="77" spans="1:30" ht="23.25">
      <c r="A77" s="642" t="s">
        <v>321</v>
      </c>
      <c r="B77" s="643"/>
      <c r="C77" s="644"/>
      <c r="D77" s="347"/>
      <c r="E77" s="326">
        <f>E76</f>
        <v>136.19999999999999</v>
      </c>
      <c r="F77" s="326">
        <f>F76</f>
        <v>136.19999999999999</v>
      </c>
      <c r="G77" s="326">
        <v>0</v>
      </c>
      <c r="H77" s="326">
        <v>0</v>
      </c>
      <c r="I77" s="326">
        <v>0</v>
      </c>
      <c r="J77" s="326">
        <f t="shared" ref="J77:AC77" si="24">J76</f>
        <v>137.5</v>
      </c>
      <c r="K77" s="326">
        <f t="shared" si="24"/>
        <v>137.5</v>
      </c>
      <c r="L77" s="326">
        <f t="shared" si="24"/>
        <v>0</v>
      </c>
      <c r="M77" s="326">
        <f t="shared" si="24"/>
        <v>0</v>
      </c>
      <c r="N77" s="326">
        <f t="shared" si="24"/>
        <v>0</v>
      </c>
      <c r="O77" s="326">
        <f t="shared" si="24"/>
        <v>142</v>
      </c>
      <c r="P77" s="326">
        <f t="shared" si="24"/>
        <v>142</v>
      </c>
      <c r="Q77" s="326">
        <f t="shared" si="24"/>
        <v>0</v>
      </c>
      <c r="R77" s="326">
        <f t="shared" si="24"/>
        <v>0</v>
      </c>
      <c r="S77" s="326">
        <f t="shared" si="24"/>
        <v>0</v>
      </c>
      <c r="T77" s="326">
        <f t="shared" si="24"/>
        <v>142</v>
      </c>
      <c r="U77" s="326">
        <f t="shared" si="24"/>
        <v>142</v>
      </c>
      <c r="V77" s="326">
        <f t="shared" si="24"/>
        <v>0</v>
      </c>
      <c r="W77" s="326">
        <f t="shared" si="24"/>
        <v>0</v>
      </c>
      <c r="X77" s="326">
        <f t="shared" si="24"/>
        <v>0</v>
      </c>
      <c r="Y77" s="326">
        <f t="shared" si="24"/>
        <v>142</v>
      </c>
      <c r="Z77" s="326">
        <f t="shared" si="24"/>
        <v>142</v>
      </c>
      <c r="AA77" s="326">
        <f t="shared" si="24"/>
        <v>0</v>
      </c>
      <c r="AB77" s="326">
        <f t="shared" si="24"/>
        <v>0</v>
      </c>
      <c r="AC77" s="326">
        <f t="shared" si="24"/>
        <v>0</v>
      </c>
      <c r="AD77" s="326">
        <f>E77+J77+O77+T77+Y77</f>
        <v>699.7</v>
      </c>
    </row>
    <row r="78" spans="1:30" ht="23.25">
      <c r="A78" s="429">
        <v>10</v>
      </c>
      <c r="B78" s="645" t="s">
        <v>259</v>
      </c>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7"/>
    </row>
    <row r="79" spans="1:30" ht="93">
      <c r="A79" s="360" t="s">
        <v>59</v>
      </c>
      <c r="B79" s="328" t="s">
        <v>186</v>
      </c>
      <c r="C79" s="424" t="s">
        <v>107</v>
      </c>
      <c r="D79" s="322" t="s">
        <v>93</v>
      </c>
      <c r="E79" s="300">
        <v>500</v>
      </c>
      <c r="F79" s="300">
        <v>500</v>
      </c>
      <c r="G79" s="300">
        <v>0</v>
      </c>
      <c r="H79" s="300">
        <v>0</v>
      </c>
      <c r="I79" s="300">
        <v>0</v>
      </c>
      <c r="J79" s="300">
        <f>K79+L79+M79+N79</f>
        <v>12</v>
      </c>
      <c r="K79" s="300">
        <f>24-12</f>
        <v>12</v>
      </c>
      <c r="L79" s="300">
        <v>0</v>
      </c>
      <c r="M79" s="300">
        <v>0</v>
      </c>
      <c r="N79" s="300">
        <v>0</v>
      </c>
      <c r="O79" s="385">
        <v>0</v>
      </c>
      <c r="P79" s="385">
        <v>0</v>
      </c>
      <c r="Q79" s="300">
        <v>0</v>
      </c>
      <c r="R79" s="300">
        <v>0</v>
      </c>
      <c r="S79" s="300">
        <v>0</v>
      </c>
      <c r="T79" s="300">
        <f t="shared" ref="T79:T81" si="25">U79+V79+W79+X79</f>
        <v>0</v>
      </c>
      <c r="U79" s="300">
        <v>0</v>
      </c>
      <c r="V79" s="300">
        <v>0</v>
      </c>
      <c r="W79" s="300">
        <v>0</v>
      </c>
      <c r="X79" s="300">
        <v>0</v>
      </c>
      <c r="Y79" s="300">
        <f>Z79+AA79+AB79+AC79</f>
        <v>0</v>
      </c>
      <c r="Z79" s="300">
        <v>0</v>
      </c>
      <c r="AA79" s="300">
        <v>0</v>
      </c>
      <c r="AB79" s="300">
        <v>0</v>
      </c>
      <c r="AC79" s="300">
        <v>0</v>
      </c>
      <c r="AD79" s="300">
        <f>E79+J79+O79+T79+Y79</f>
        <v>512</v>
      </c>
    </row>
    <row r="80" spans="1:30" ht="75">
      <c r="A80" s="360" t="s">
        <v>98</v>
      </c>
      <c r="B80" s="333" t="s">
        <v>159</v>
      </c>
      <c r="C80" s="362" t="s">
        <v>107</v>
      </c>
      <c r="D80" s="322" t="s">
        <v>93</v>
      </c>
      <c r="E80" s="300">
        <v>2880</v>
      </c>
      <c r="F80" s="300">
        <v>2880</v>
      </c>
      <c r="G80" s="300">
        <v>0</v>
      </c>
      <c r="H80" s="300">
        <v>0</v>
      </c>
      <c r="I80" s="300">
        <v>0</v>
      </c>
      <c r="J80" s="300">
        <f>K80+L80+M80+N80</f>
        <v>2730</v>
      </c>
      <c r="K80" s="300">
        <f>2880-150</f>
        <v>2730</v>
      </c>
      <c r="L80" s="300">
        <v>0</v>
      </c>
      <c r="M80" s="300">
        <v>0</v>
      </c>
      <c r="N80" s="300">
        <v>0</v>
      </c>
      <c r="O80" s="385">
        <v>0</v>
      </c>
      <c r="P80" s="385">
        <v>0</v>
      </c>
      <c r="Q80" s="300">
        <v>0</v>
      </c>
      <c r="R80" s="300">
        <v>0</v>
      </c>
      <c r="S80" s="300">
        <v>0</v>
      </c>
      <c r="T80" s="300">
        <f t="shared" si="25"/>
        <v>0</v>
      </c>
      <c r="U80" s="300">
        <v>0</v>
      </c>
      <c r="V80" s="300">
        <v>0</v>
      </c>
      <c r="W80" s="300">
        <v>0</v>
      </c>
      <c r="X80" s="300">
        <v>0</v>
      </c>
      <c r="Y80" s="300">
        <f>Z80+AA80+AB80+AC80</f>
        <v>0</v>
      </c>
      <c r="Z80" s="300">
        <v>0</v>
      </c>
      <c r="AA80" s="300">
        <v>0</v>
      </c>
      <c r="AB80" s="300">
        <v>0</v>
      </c>
      <c r="AC80" s="300">
        <v>0</v>
      </c>
      <c r="AD80" s="300">
        <f>E80+J80+O80+T80+Y80</f>
        <v>5610</v>
      </c>
    </row>
    <row r="81" spans="1:31" ht="23.25">
      <c r="A81" s="642" t="s">
        <v>320</v>
      </c>
      <c r="B81" s="643"/>
      <c r="C81" s="644"/>
      <c r="D81" s="360"/>
      <c r="E81" s="363">
        <f>E79+E80</f>
        <v>3380</v>
      </c>
      <c r="F81" s="363">
        <f>SUM(F79:F80)</f>
        <v>3380</v>
      </c>
      <c r="G81" s="363">
        <f>G79</f>
        <v>0</v>
      </c>
      <c r="H81" s="363">
        <f>I79</f>
        <v>0</v>
      </c>
      <c r="I81" s="363">
        <f t="shared" ref="I81:V81" si="26">I79</f>
        <v>0</v>
      </c>
      <c r="J81" s="363">
        <f>K81+L81+M81+N81</f>
        <v>2742</v>
      </c>
      <c r="K81" s="363">
        <f>K79+K80</f>
        <v>2742</v>
      </c>
      <c r="L81" s="363">
        <f t="shared" si="26"/>
        <v>0</v>
      </c>
      <c r="M81" s="363">
        <f t="shared" si="26"/>
        <v>0</v>
      </c>
      <c r="N81" s="363">
        <f t="shared" si="26"/>
        <v>0</v>
      </c>
      <c r="O81" s="386">
        <f t="shared" ref="O81" si="27">P81+Q81+R81+S81</f>
        <v>0</v>
      </c>
      <c r="P81" s="386">
        <f>P79+P80</f>
        <v>0</v>
      </c>
      <c r="Q81" s="363">
        <f t="shared" si="26"/>
        <v>0</v>
      </c>
      <c r="R81" s="363">
        <f t="shared" si="26"/>
        <v>0</v>
      </c>
      <c r="S81" s="363">
        <f t="shared" si="26"/>
        <v>0</v>
      </c>
      <c r="T81" s="363">
        <f t="shared" si="25"/>
        <v>0</v>
      </c>
      <c r="U81" s="363">
        <f>T79+T80</f>
        <v>0</v>
      </c>
      <c r="V81" s="363">
        <f t="shared" si="26"/>
        <v>0</v>
      </c>
      <c r="W81" s="363">
        <f>V79</f>
        <v>0</v>
      </c>
      <c r="X81" s="363">
        <f t="shared" ref="X81:AC81" si="28">X79</f>
        <v>0</v>
      </c>
      <c r="Y81" s="363">
        <f>Z81+AA81+AB81+AC81</f>
        <v>0</v>
      </c>
      <c r="Z81" s="363">
        <f>Z79+Z80</f>
        <v>0</v>
      </c>
      <c r="AA81" s="363">
        <f t="shared" si="28"/>
        <v>0</v>
      </c>
      <c r="AB81" s="363">
        <f t="shared" si="28"/>
        <v>0</v>
      </c>
      <c r="AC81" s="363">
        <f t="shared" si="28"/>
        <v>0</v>
      </c>
      <c r="AD81" s="363">
        <f>E81+J81+O81+T81+Y81</f>
        <v>6122</v>
      </c>
    </row>
    <row r="82" spans="1:31" ht="23.25">
      <c r="A82" s="420">
        <v>11</v>
      </c>
      <c r="B82" s="421" t="s">
        <v>311</v>
      </c>
      <c r="C82" s="422"/>
      <c r="D82" s="360"/>
      <c r="E82" s="363"/>
      <c r="F82" s="363"/>
      <c r="G82" s="363"/>
      <c r="H82" s="363"/>
      <c r="I82" s="363"/>
      <c r="J82" s="363"/>
      <c r="K82" s="363"/>
      <c r="L82" s="363"/>
      <c r="M82" s="363"/>
      <c r="N82" s="363"/>
      <c r="O82" s="386"/>
      <c r="P82" s="386"/>
      <c r="Q82" s="363"/>
      <c r="R82" s="363"/>
      <c r="S82" s="363"/>
      <c r="T82" s="363"/>
      <c r="U82" s="363"/>
      <c r="V82" s="363"/>
      <c r="W82" s="363"/>
      <c r="X82" s="363"/>
      <c r="Y82" s="363"/>
      <c r="Z82" s="363"/>
      <c r="AA82" s="363"/>
      <c r="AB82" s="363"/>
      <c r="AC82" s="363"/>
      <c r="AD82" s="363"/>
    </row>
    <row r="83" spans="1:31" ht="69.75">
      <c r="A83" s="433" t="s">
        <v>62</v>
      </c>
      <c r="B83" s="434" t="s">
        <v>312</v>
      </c>
      <c r="C83" s="422"/>
      <c r="D83" s="360">
        <v>2022</v>
      </c>
      <c r="E83" s="363">
        <v>0</v>
      </c>
      <c r="F83" s="363">
        <v>0</v>
      </c>
      <c r="G83" s="363">
        <v>0</v>
      </c>
      <c r="H83" s="363">
        <v>0</v>
      </c>
      <c r="I83" s="363">
        <v>0</v>
      </c>
      <c r="J83" s="363">
        <v>0</v>
      </c>
      <c r="K83" s="363">
        <v>0</v>
      </c>
      <c r="L83" s="363">
        <v>0</v>
      </c>
      <c r="M83" s="363">
        <v>0</v>
      </c>
      <c r="N83" s="363">
        <v>0</v>
      </c>
      <c r="O83" s="386">
        <f>P83+Q83+R83+S83</f>
        <v>4256</v>
      </c>
      <c r="P83" s="386">
        <v>4256</v>
      </c>
      <c r="Q83" s="363">
        <v>0</v>
      </c>
      <c r="R83" s="363">
        <v>0</v>
      </c>
      <c r="S83" s="363">
        <v>0</v>
      </c>
      <c r="T83" s="363">
        <v>0</v>
      </c>
      <c r="U83" s="363">
        <v>0</v>
      </c>
      <c r="V83" s="363">
        <v>0</v>
      </c>
      <c r="W83" s="363">
        <v>0</v>
      </c>
      <c r="X83" s="363">
        <v>0</v>
      </c>
      <c r="Y83" s="363">
        <v>0</v>
      </c>
      <c r="Z83" s="363">
        <v>0</v>
      </c>
      <c r="AA83" s="363">
        <v>0</v>
      </c>
      <c r="AB83" s="363">
        <v>0</v>
      </c>
      <c r="AC83" s="363">
        <v>0</v>
      </c>
      <c r="AD83" s="363">
        <f>E83+J83+O83+T83+Y83</f>
        <v>4256</v>
      </c>
    </row>
    <row r="84" spans="1:31" ht="23.25">
      <c r="A84" s="642" t="s">
        <v>319</v>
      </c>
      <c r="B84" s="643"/>
      <c r="C84" s="644"/>
      <c r="D84" s="360"/>
      <c r="E84" s="363">
        <v>0</v>
      </c>
      <c r="F84" s="363">
        <v>0</v>
      </c>
      <c r="G84" s="363">
        <v>0</v>
      </c>
      <c r="H84" s="363">
        <v>0</v>
      </c>
      <c r="I84" s="363">
        <v>0</v>
      </c>
      <c r="J84" s="363">
        <v>0</v>
      </c>
      <c r="K84" s="363">
        <v>0</v>
      </c>
      <c r="L84" s="363">
        <v>0</v>
      </c>
      <c r="M84" s="363">
        <v>0</v>
      </c>
      <c r="N84" s="363">
        <v>0</v>
      </c>
      <c r="O84" s="386">
        <f>O83</f>
        <v>4256</v>
      </c>
      <c r="P84" s="386">
        <f>P83</f>
        <v>4256</v>
      </c>
      <c r="Q84" s="363">
        <v>0</v>
      </c>
      <c r="R84" s="363">
        <v>0</v>
      </c>
      <c r="S84" s="363">
        <v>0</v>
      </c>
      <c r="T84" s="363">
        <v>0</v>
      </c>
      <c r="U84" s="363">
        <v>0</v>
      </c>
      <c r="V84" s="363">
        <v>0</v>
      </c>
      <c r="W84" s="363">
        <v>0</v>
      </c>
      <c r="X84" s="363">
        <v>0</v>
      </c>
      <c r="Y84" s="363">
        <v>0</v>
      </c>
      <c r="Z84" s="363">
        <v>0</v>
      </c>
      <c r="AA84" s="363">
        <v>0</v>
      </c>
      <c r="AB84" s="363">
        <v>0</v>
      </c>
      <c r="AC84" s="363">
        <v>0</v>
      </c>
      <c r="AD84" s="363">
        <f>AD83</f>
        <v>4256</v>
      </c>
      <c r="AE84" s="316">
        <v>0</v>
      </c>
    </row>
    <row r="85" spans="1:31" ht="23.25">
      <c r="A85" s="672" t="s">
        <v>304</v>
      </c>
      <c r="B85" s="673"/>
      <c r="C85" s="674"/>
      <c r="D85" s="360"/>
      <c r="E85" s="363">
        <f>F85+G85+H85+I85</f>
        <v>157092.37000000002</v>
      </c>
      <c r="F85" s="363">
        <f>F27+F33+F50+F55+F62+F65+F68+F73+F77+F81</f>
        <v>108956.7</v>
      </c>
      <c r="G85" s="363">
        <f>G27+G33+G50+G55+G62+G65+G68+G73+G77+G81</f>
        <v>45966</v>
      </c>
      <c r="H85" s="363">
        <f>H27+H33+H50+H55+H62+H65+H68+H73+H77+H81</f>
        <v>0</v>
      </c>
      <c r="I85" s="363">
        <f>I27+I33+I50+I55+I62+I65+I68+I73+I77+I81</f>
        <v>2169.67</v>
      </c>
      <c r="J85" s="363">
        <f>K85+L85+M85+N85</f>
        <v>121069.1</v>
      </c>
      <c r="K85" s="363">
        <f>K27+K33+K50+K55+K62+K65+K68+K73+K77+K81</f>
        <v>94437.1</v>
      </c>
      <c r="L85" s="363">
        <f>L27+L33+L50+L55+L62+L65+L68+L73+L77+L81</f>
        <v>26632</v>
      </c>
      <c r="M85" s="363">
        <f>M27+M33+M50+M55+M62+M65+M68+M73+M77+M81</f>
        <v>0</v>
      </c>
      <c r="N85" s="363">
        <f>N27+N33+N50+N55+N62+N65+N68+N73+N77+N81</f>
        <v>0</v>
      </c>
      <c r="O85" s="386">
        <f>P85+Q85+R85+S85</f>
        <v>136669.51999999999</v>
      </c>
      <c r="P85" s="386">
        <f>P27+P33+P50+P55+P62+P65+P68+P73+P77+P81+P83</f>
        <v>111098</v>
      </c>
      <c r="Q85" s="363">
        <f>Q27+Q33+Q50+Q55+Q62+Q65+Q68+Q73+Q77+Q81</f>
        <v>25571.52</v>
      </c>
      <c r="R85" s="363">
        <f>R27+R33+R50+R55+R62+R65+R68+R73+R77+R81</f>
        <v>0</v>
      </c>
      <c r="S85" s="363">
        <f>S27+S33+S50+S55+S62+S65+S68+S73+S77+S81</f>
        <v>0</v>
      </c>
      <c r="T85" s="363">
        <f>U85+V85+W85+X85</f>
        <v>25809</v>
      </c>
      <c r="U85" s="363">
        <f>U27+U33+U50+U55+U62+U65+U68+U73+U77+U81</f>
        <v>1732</v>
      </c>
      <c r="V85" s="363">
        <f>V27+V33+V50+V55+V62+V65+V68+V73+V77+V81</f>
        <v>24077</v>
      </c>
      <c r="W85" s="363">
        <f>W27+W33+W50+W55+W62+W65+W68+W73+W77+W81</f>
        <v>0</v>
      </c>
      <c r="X85" s="363">
        <f>X27+X33+X50+X55+X62+X65+X68+X73+X77+X81</f>
        <v>0</v>
      </c>
      <c r="Y85" s="363">
        <f>Z85+AA85+AB85+AC85</f>
        <v>25809</v>
      </c>
      <c r="Z85" s="363">
        <f>Z27+Z33+Z50+Z55+Z62+Z65+Z68+Z73+Z77+Z81</f>
        <v>1732</v>
      </c>
      <c r="AA85" s="363">
        <f>AA27+AA33+AA50+AA55+AA62+AA65+AA68+AA73+AA77+AA81</f>
        <v>24077</v>
      </c>
      <c r="AB85" s="363">
        <f>AB27+AB33+AB50+AB55+AB62+AB65+AB68+AB73+AB77+AB81</f>
        <v>0</v>
      </c>
      <c r="AC85" s="363">
        <f>AC27+AC33+AC50+AC55+AC62+AC65+AC68+AC73+AC77+AC81</f>
        <v>0</v>
      </c>
      <c r="AD85" s="363">
        <f>E85+J85+O85+T85+Y85</f>
        <v>466448.99</v>
      </c>
    </row>
    <row r="86" spans="1:31">
      <c r="C86" s="315">
        <v>2020</v>
      </c>
      <c r="E86" s="364"/>
    </row>
    <row r="87" spans="1:31" ht="225">
      <c r="A87" s="365" t="s">
        <v>201</v>
      </c>
      <c r="B87" s="366" t="s">
        <v>134</v>
      </c>
      <c r="C87" s="364">
        <f>E29+E33+E52+E55+E61+E65+E68+E74+E81</f>
        <v>96915</v>
      </c>
      <c r="F87" s="364"/>
      <c r="J87" s="364"/>
      <c r="O87" s="364"/>
      <c r="T87" s="364"/>
      <c r="Y87" s="364"/>
      <c r="AC87" s="364"/>
    </row>
    <row r="88" spans="1:31">
      <c r="B88" s="366" t="s">
        <v>137</v>
      </c>
      <c r="C88" s="364">
        <f>E30+E51+E60+E77</f>
        <v>23882</v>
      </c>
      <c r="J88" s="364"/>
      <c r="O88" s="364"/>
      <c r="T88" s="364"/>
      <c r="Y88" s="364"/>
      <c r="AC88" s="364"/>
    </row>
    <row r="89" spans="1:31">
      <c r="B89" s="366" t="s">
        <v>138</v>
      </c>
      <c r="C89" s="364">
        <f>E28</f>
        <v>36295.369999999995</v>
      </c>
      <c r="J89" s="364"/>
      <c r="O89" s="364"/>
      <c r="T89" s="364"/>
      <c r="Y89" s="364"/>
      <c r="AC89" s="364"/>
    </row>
    <row r="90" spans="1:31">
      <c r="C90" s="364"/>
      <c r="J90" s="364"/>
      <c r="O90" s="364"/>
      <c r="T90" s="364"/>
      <c r="Y90" s="364"/>
      <c r="AC90" s="364"/>
    </row>
    <row r="91" spans="1:31">
      <c r="B91" s="366"/>
      <c r="C91" s="364">
        <f>C87+C88+C89</f>
        <v>157092.37</v>
      </c>
      <c r="J91" s="364"/>
      <c r="K91" s="364"/>
      <c r="O91" s="364"/>
      <c r="T91" s="364"/>
      <c r="Y91" s="364"/>
      <c r="AC91" s="364"/>
    </row>
    <row r="92" spans="1:31">
      <c r="J92" s="364"/>
      <c r="O92" s="364"/>
      <c r="T92" s="364"/>
      <c r="Y92" s="364"/>
      <c r="AC92" s="364"/>
    </row>
    <row r="93" spans="1:31">
      <c r="C93" s="364"/>
      <c r="J93" s="364"/>
      <c r="O93" s="364"/>
      <c r="T93" s="364"/>
      <c r="Y93" s="364"/>
    </row>
    <row r="95" spans="1:31">
      <c r="B95" s="366" t="s">
        <v>195</v>
      </c>
      <c r="C95" s="364">
        <f>I85</f>
        <v>2169.67</v>
      </c>
    </row>
    <row r="96" spans="1:31">
      <c r="B96" s="367" t="s">
        <v>196</v>
      </c>
      <c r="C96" s="364">
        <f>F85+K85+P85+U85+Z85</f>
        <v>317955.8</v>
      </c>
      <c r="E96" s="364"/>
      <c r="H96" s="364"/>
      <c r="R96" s="315" t="s">
        <v>302</v>
      </c>
      <c r="T96" s="364">
        <f>C96-3</f>
        <v>317952.8</v>
      </c>
    </row>
    <row r="97" spans="2:29">
      <c r="B97" s="367" t="s">
        <v>197</v>
      </c>
      <c r="C97" s="364">
        <f>G85+L85+Q85+V85+AA85</f>
        <v>146323.52000000002</v>
      </c>
    </row>
    <row r="98" spans="2:29">
      <c r="C98" s="364"/>
      <c r="AC98" s="364"/>
    </row>
    <row r="99" spans="2:29">
      <c r="C99" s="364">
        <f>C95+C96+C97</f>
        <v>466448.99</v>
      </c>
    </row>
    <row r="100" spans="2:29">
      <c r="B100" s="364" t="e">
        <f>127165-#REF!</f>
        <v>#REF!</v>
      </c>
    </row>
    <row r="102" spans="2:29">
      <c r="Y102" s="368"/>
    </row>
    <row r="105" spans="2:29">
      <c r="D105" s="368"/>
      <c r="E105" s="368"/>
    </row>
    <row r="106" spans="2:29">
      <c r="D106" s="368"/>
      <c r="E106" s="368"/>
    </row>
    <row r="111" spans="2:29">
      <c r="D111" s="364" t="e">
        <f>#REF!+#REF!+#REF!+#REF!+#REF!</f>
        <v>#REF!</v>
      </c>
    </row>
  </sheetData>
  <mergeCells count="41">
    <mergeCell ref="B75:AD75"/>
    <mergeCell ref="A77:C77"/>
    <mergeCell ref="B78:AD78"/>
    <mergeCell ref="A81:C81"/>
    <mergeCell ref="A85:C85"/>
    <mergeCell ref="A84:C84"/>
    <mergeCell ref="A73:C73"/>
    <mergeCell ref="C41:C45"/>
    <mergeCell ref="A50:C50"/>
    <mergeCell ref="B53:AD53"/>
    <mergeCell ref="A55:C55"/>
    <mergeCell ref="B56:AD56"/>
    <mergeCell ref="A57:A58"/>
    <mergeCell ref="B57:B58"/>
    <mergeCell ref="B63:AD63"/>
    <mergeCell ref="A65:C65"/>
    <mergeCell ref="B66:AD66"/>
    <mergeCell ref="A68:C68"/>
    <mergeCell ref="B69:AD69"/>
    <mergeCell ref="C38:C39"/>
    <mergeCell ref="O8:S8"/>
    <mergeCell ref="T8:X8"/>
    <mergeCell ref="Y8:AC8"/>
    <mergeCell ref="AD8:AD9"/>
    <mergeCell ref="A11:AD11"/>
    <mergeCell ref="B12:AD12"/>
    <mergeCell ref="C13:C14"/>
    <mergeCell ref="A27:C27"/>
    <mergeCell ref="B31:AD31"/>
    <mergeCell ref="A33:C33"/>
    <mergeCell ref="B34:AD34"/>
    <mergeCell ref="Z3:AD3"/>
    <mergeCell ref="V4:AD4"/>
    <mergeCell ref="A5:AD5"/>
    <mergeCell ref="A7:A9"/>
    <mergeCell ref="B7:B9"/>
    <mergeCell ref="C7:C9"/>
    <mergeCell ref="D7:D9"/>
    <mergeCell ref="E7:AD7"/>
    <mergeCell ref="E8:I8"/>
    <mergeCell ref="J8:N8"/>
  </mergeCell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dimension ref="A1:AF111"/>
  <sheetViews>
    <sheetView view="pageBreakPreview" zoomScale="60" workbookViewId="0">
      <pane xSplit="3" ySplit="14" topLeftCell="N78" activePane="bottomRight" state="frozen"/>
      <selection pane="topRight" activeCell="D1" sqref="D1"/>
      <selection pane="bottomLeft" activeCell="A15" sqref="A15"/>
      <selection pane="bottomRight" sqref="A1:XFD1048576"/>
    </sheetView>
  </sheetViews>
  <sheetFormatPr defaultRowHeight="18.75"/>
  <cols>
    <col min="1" max="1" width="6.140625" style="440" customWidth="1"/>
    <col min="2" max="2" width="188" style="315" customWidth="1"/>
    <col min="3" max="3" width="42.42578125" style="315" customWidth="1"/>
    <col min="4" max="4" width="23.5703125" style="315" customWidth="1"/>
    <col min="5" max="5" width="21.28515625" style="315" customWidth="1"/>
    <col min="6" max="6" width="22.42578125" style="315" customWidth="1"/>
    <col min="7" max="7" width="16.140625" style="315" customWidth="1"/>
    <col min="8" max="9" width="16.85546875" style="315" customWidth="1"/>
    <col min="10" max="10" width="21.140625" style="315" customWidth="1"/>
    <col min="11" max="11" width="18.140625" style="315" customWidth="1"/>
    <col min="12" max="12" width="15" style="315" customWidth="1"/>
    <col min="13" max="13" width="14.7109375" style="315" customWidth="1"/>
    <col min="14" max="14" width="14.28515625" style="315" customWidth="1"/>
    <col min="15" max="15" width="17.140625" style="315" customWidth="1"/>
    <col min="16" max="16" width="18.7109375" style="315" customWidth="1"/>
    <col min="17" max="17" width="17.28515625" style="315" customWidth="1"/>
    <col min="18" max="18" width="19" style="315" customWidth="1"/>
    <col min="19" max="19" width="13" style="315" customWidth="1"/>
    <col min="20" max="20" width="16.42578125" style="315" customWidth="1"/>
    <col min="21" max="21" width="12.7109375" style="315" customWidth="1"/>
    <col min="22" max="22" width="11.85546875" style="315" customWidth="1"/>
    <col min="23" max="23" width="11.7109375" style="315" customWidth="1"/>
    <col min="24" max="24" width="10.28515625" style="315" customWidth="1"/>
    <col min="25" max="25" width="18" style="315" customWidth="1"/>
    <col min="26" max="26" width="14.5703125" style="315" customWidth="1"/>
    <col min="27" max="27" width="13" style="315" customWidth="1"/>
    <col min="28" max="28" width="12.7109375" style="315" customWidth="1"/>
    <col min="29" max="29" width="14.28515625" style="315" customWidth="1"/>
    <col min="30" max="30" width="17.7109375" style="315" customWidth="1"/>
    <col min="31" max="16384" width="9.140625" style="316"/>
  </cols>
  <sheetData>
    <row r="1" spans="1:30">
      <c r="Z1" s="315" t="s">
        <v>260</v>
      </c>
    </row>
    <row r="2" spans="1:30">
      <c r="Z2" s="315" t="s">
        <v>261</v>
      </c>
    </row>
    <row r="3" spans="1:30">
      <c r="L3" s="438"/>
      <c r="M3" s="438"/>
      <c r="N3" s="438"/>
      <c r="O3" s="438"/>
      <c r="P3" s="438"/>
      <c r="Q3" s="438"/>
      <c r="R3" s="438"/>
      <c r="S3" s="438"/>
      <c r="T3" s="438"/>
      <c r="U3" s="438"/>
      <c r="V3" s="438"/>
      <c r="W3" s="438"/>
      <c r="X3" s="438"/>
      <c r="Y3" s="438"/>
      <c r="Z3" s="675" t="s">
        <v>262</v>
      </c>
      <c r="AA3" s="675"/>
      <c r="AB3" s="675"/>
      <c r="AC3" s="675"/>
      <c r="AD3" s="675"/>
    </row>
    <row r="4" spans="1:30">
      <c r="V4" s="676" t="s">
        <v>272</v>
      </c>
      <c r="W4" s="676"/>
      <c r="X4" s="676"/>
      <c r="Y4" s="676"/>
      <c r="Z4" s="676"/>
      <c r="AA4" s="676"/>
      <c r="AB4" s="676"/>
      <c r="AC4" s="676"/>
      <c r="AD4" s="676"/>
    </row>
    <row r="5" spans="1:30">
      <c r="A5" s="677" t="s">
        <v>0</v>
      </c>
      <c r="B5" s="677"/>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row>
    <row r="7" spans="1:30" ht="19.5">
      <c r="A7" s="664" t="s">
        <v>1</v>
      </c>
      <c r="B7" s="664" t="s">
        <v>219</v>
      </c>
      <c r="C7" s="664" t="s">
        <v>2</v>
      </c>
      <c r="D7" s="664" t="s">
        <v>3</v>
      </c>
      <c r="E7" s="679" t="s">
        <v>273</v>
      </c>
      <c r="F7" s="680"/>
      <c r="G7" s="680"/>
      <c r="H7" s="680"/>
      <c r="I7" s="680"/>
      <c r="J7" s="680"/>
      <c r="K7" s="680"/>
      <c r="L7" s="680"/>
      <c r="M7" s="680"/>
      <c r="N7" s="680"/>
      <c r="O7" s="680"/>
      <c r="P7" s="680"/>
      <c r="Q7" s="680"/>
      <c r="R7" s="680"/>
      <c r="S7" s="680"/>
      <c r="T7" s="680"/>
      <c r="U7" s="680"/>
      <c r="V7" s="680"/>
      <c r="W7" s="680"/>
      <c r="X7" s="680"/>
      <c r="Y7" s="680"/>
      <c r="Z7" s="680"/>
      <c r="AA7" s="680"/>
      <c r="AB7" s="680"/>
      <c r="AC7" s="680"/>
      <c r="AD7" s="681"/>
    </row>
    <row r="8" spans="1:30">
      <c r="A8" s="678"/>
      <c r="B8" s="678"/>
      <c r="C8" s="678"/>
      <c r="D8" s="678"/>
      <c r="E8" s="682" t="s">
        <v>88</v>
      </c>
      <c r="F8" s="683"/>
      <c r="G8" s="683"/>
      <c r="H8" s="683"/>
      <c r="I8" s="684"/>
      <c r="J8" s="682" t="s">
        <v>89</v>
      </c>
      <c r="K8" s="683"/>
      <c r="L8" s="683"/>
      <c r="M8" s="683"/>
      <c r="N8" s="684"/>
      <c r="O8" s="682" t="s">
        <v>90</v>
      </c>
      <c r="P8" s="683"/>
      <c r="Q8" s="683"/>
      <c r="R8" s="683"/>
      <c r="S8" s="684"/>
      <c r="T8" s="682" t="s">
        <v>91</v>
      </c>
      <c r="U8" s="683"/>
      <c r="V8" s="683"/>
      <c r="W8" s="683"/>
      <c r="X8" s="684"/>
      <c r="Y8" s="682" t="s">
        <v>92</v>
      </c>
      <c r="Z8" s="683"/>
      <c r="AA8" s="683"/>
      <c r="AB8" s="683"/>
      <c r="AC8" s="684"/>
      <c r="AD8" s="664" t="s">
        <v>5</v>
      </c>
    </row>
    <row r="9" spans="1:30" ht="87.75">
      <c r="A9" s="665"/>
      <c r="B9" s="665"/>
      <c r="C9" s="665"/>
      <c r="D9" s="665"/>
      <c r="E9" s="441" t="s">
        <v>6</v>
      </c>
      <c r="F9" s="319" t="s">
        <v>7</v>
      </c>
      <c r="G9" s="319" t="s">
        <v>8</v>
      </c>
      <c r="H9" s="319" t="s">
        <v>9</v>
      </c>
      <c r="I9" s="320" t="s">
        <v>10</v>
      </c>
      <c r="J9" s="441" t="s">
        <v>6</v>
      </c>
      <c r="K9" s="319" t="s">
        <v>7</v>
      </c>
      <c r="L9" s="319" t="s">
        <v>8</v>
      </c>
      <c r="M9" s="319" t="s">
        <v>9</v>
      </c>
      <c r="N9" s="320" t="s">
        <v>10</v>
      </c>
      <c r="O9" s="441" t="s">
        <v>6</v>
      </c>
      <c r="P9" s="319" t="s">
        <v>7</v>
      </c>
      <c r="Q9" s="319" t="s">
        <v>8</v>
      </c>
      <c r="R9" s="319" t="s">
        <v>9</v>
      </c>
      <c r="S9" s="320" t="s">
        <v>10</v>
      </c>
      <c r="T9" s="441" t="s">
        <v>6</v>
      </c>
      <c r="U9" s="319" t="s">
        <v>7</v>
      </c>
      <c r="V9" s="319" t="s">
        <v>8</v>
      </c>
      <c r="W9" s="319" t="s">
        <v>9</v>
      </c>
      <c r="X9" s="320" t="s">
        <v>10</v>
      </c>
      <c r="Y9" s="441" t="s">
        <v>6</v>
      </c>
      <c r="Z9" s="319" t="s">
        <v>7</v>
      </c>
      <c r="AA9" s="319" t="s">
        <v>8</v>
      </c>
      <c r="AB9" s="319" t="s">
        <v>9</v>
      </c>
      <c r="AC9" s="320" t="s">
        <v>10</v>
      </c>
      <c r="AD9" s="665"/>
    </row>
    <row r="10" spans="1:30">
      <c r="A10" s="321">
        <v>1</v>
      </c>
      <c r="B10" s="321">
        <v>2</v>
      </c>
      <c r="C10" s="321">
        <v>3</v>
      </c>
      <c r="D10" s="321">
        <v>4</v>
      </c>
      <c r="E10" s="321">
        <v>5</v>
      </c>
      <c r="F10" s="321">
        <v>6</v>
      </c>
      <c r="G10" s="321">
        <v>7</v>
      </c>
      <c r="H10" s="321">
        <v>8</v>
      </c>
      <c r="I10" s="321">
        <v>9</v>
      </c>
      <c r="J10" s="321">
        <v>10</v>
      </c>
      <c r="K10" s="321">
        <v>11</v>
      </c>
      <c r="L10" s="321">
        <v>12</v>
      </c>
      <c r="M10" s="321">
        <v>13</v>
      </c>
      <c r="N10" s="321">
        <v>14</v>
      </c>
      <c r="O10" s="321">
        <v>15</v>
      </c>
      <c r="P10" s="321">
        <v>16</v>
      </c>
      <c r="Q10" s="321">
        <v>17</v>
      </c>
      <c r="R10" s="321">
        <v>18</v>
      </c>
      <c r="S10" s="321">
        <v>19</v>
      </c>
      <c r="T10" s="321">
        <v>20</v>
      </c>
      <c r="U10" s="321">
        <v>21</v>
      </c>
      <c r="V10" s="321">
        <v>22</v>
      </c>
      <c r="W10" s="321">
        <v>23</v>
      </c>
      <c r="X10" s="321">
        <v>24</v>
      </c>
      <c r="Y10" s="321">
        <v>25</v>
      </c>
      <c r="Z10" s="321">
        <v>26</v>
      </c>
      <c r="AA10" s="321">
        <v>27</v>
      </c>
      <c r="AB10" s="321">
        <v>28</v>
      </c>
      <c r="AC10" s="321">
        <v>29</v>
      </c>
      <c r="AD10" s="321">
        <v>30</v>
      </c>
    </row>
    <row r="11" spans="1:30">
      <c r="A11" s="666" t="s">
        <v>274</v>
      </c>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8"/>
    </row>
    <row r="12" spans="1:30" ht="23.25">
      <c r="A12" s="322" t="s">
        <v>221</v>
      </c>
      <c r="B12" s="669" t="s">
        <v>275</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1"/>
    </row>
    <row r="13" spans="1:30" ht="93">
      <c r="A13" s="323" t="s">
        <v>12</v>
      </c>
      <c r="B13" s="324" t="s">
        <v>81</v>
      </c>
      <c r="C13" s="661" t="s">
        <v>14</v>
      </c>
      <c r="D13" s="325" t="s">
        <v>93</v>
      </c>
      <c r="E13" s="298">
        <f>SUM(F13:I13)</f>
        <v>28350</v>
      </c>
      <c r="F13" s="298">
        <f>43350-15000</f>
        <v>28350</v>
      </c>
      <c r="G13" s="298">
        <v>0</v>
      </c>
      <c r="H13" s="298">
        <v>0</v>
      </c>
      <c r="I13" s="298">
        <v>0</v>
      </c>
      <c r="J13" s="298">
        <f>K13+L13+M13+N13</f>
        <v>26292</v>
      </c>
      <c r="K13" s="298">
        <f>19722+15778-9208</f>
        <v>26292</v>
      </c>
      <c r="L13" s="298">
        <v>0</v>
      </c>
      <c r="M13" s="299">
        <v>0</v>
      </c>
      <c r="N13" s="299">
        <v>0</v>
      </c>
      <c r="O13" s="299">
        <f>P13+Q13+R13+S13</f>
        <v>42513</v>
      </c>
      <c r="P13" s="299">
        <v>42513</v>
      </c>
      <c r="Q13" s="299">
        <v>0</v>
      </c>
      <c r="R13" s="299">
        <v>0</v>
      </c>
      <c r="S13" s="299">
        <v>0</v>
      </c>
      <c r="T13" s="299">
        <f>U13+V13+W13+X13</f>
        <v>0</v>
      </c>
      <c r="U13" s="299">
        <v>0</v>
      </c>
      <c r="V13" s="299">
        <v>0</v>
      </c>
      <c r="W13" s="299">
        <v>0</v>
      </c>
      <c r="X13" s="299">
        <v>0</v>
      </c>
      <c r="Y13" s="299">
        <f>Z13+AA13+AB13+AC13</f>
        <v>0</v>
      </c>
      <c r="Z13" s="299">
        <v>0</v>
      </c>
      <c r="AA13" s="299">
        <v>0</v>
      </c>
      <c r="AB13" s="299">
        <v>0</v>
      </c>
      <c r="AC13" s="299">
        <v>0</v>
      </c>
      <c r="AD13" s="326">
        <f t="shared" ref="AD13:AD18" si="0">E13+J13+O13+T13+Y13</f>
        <v>97155</v>
      </c>
    </row>
    <row r="14" spans="1:30" ht="116.25">
      <c r="A14" s="323" t="s">
        <v>13</v>
      </c>
      <c r="B14" s="327" t="s">
        <v>268</v>
      </c>
      <c r="C14" s="663"/>
      <c r="D14" s="325" t="s">
        <v>93</v>
      </c>
      <c r="E14" s="298">
        <f>SUM(F14:I14)</f>
        <v>7359</v>
      </c>
      <c r="F14" s="298">
        <f>12748-5387-2060</f>
        <v>5301</v>
      </c>
      <c r="G14" s="298">
        <v>0</v>
      </c>
      <c r="H14" s="298">
        <v>0</v>
      </c>
      <c r="I14" s="298">
        <f>4602-2544</f>
        <v>2058</v>
      </c>
      <c r="J14" s="298">
        <v>0</v>
      </c>
      <c r="K14" s="298">
        <v>0</v>
      </c>
      <c r="L14" s="298">
        <v>0</v>
      </c>
      <c r="M14" s="299">
        <v>0</v>
      </c>
      <c r="N14" s="299">
        <v>0</v>
      </c>
      <c r="O14" s="299">
        <v>0</v>
      </c>
      <c r="P14" s="299">
        <v>0</v>
      </c>
      <c r="Q14" s="299">
        <v>0</v>
      </c>
      <c r="R14" s="299">
        <v>0</v>
      </c>
      <c r="S14" s="299">
        <v>0</v>
      </c>
      <c r="T14" s="299">
        <f>U14+V14+W14+X14</f>
        <v>0</v>
      </c>
      <c r="U14" s="299">
        <v>0</v>
      </c>
      <c r="V14" s="299">
        <v>0</v>
      </c>
      <c r="W14" s="299">
        <v>0</v>
      </c>
      <c r="X14" s="299">
        <v>0</v>
      </c>
      <c r="Y14" s="299">
        <f>Z14+AA14+AB14+AC14</f>
        <v>0</v>
      </c>
      <c r="Z14" s="299">
        <v>0</v>
      </c>
      <c r="AA14" s="299">
        <v>0</v>
      </c>
      <c r="AB14" s="299">
        <v>0</v>
      </c>
      <c r="AC14" s="299">
        <v>0</v>
      </c>
      <c r="AD14" s="326">
        <f t="shared" si="0"/>
        <v>7359</v>
      </c>
    </row>
    <row r="15" spans="1:30" ht="93">
      <c r="A15" s="323" t="s">
        <v>15</v>
      </c>
      <c r="B15" s="328" t="s">
        <v>117</v>
      </c>
      <c r="C15" s="443" t="s">
        <v>218</v>
      </c>
      <c r="D15" s="322" t="s">
        <v>93</v>
      </c>
      <c r="E15" s="298">
        <f>F15+G15+H15+I15</f>
        <v>8260</v>
      </c>
      <c r="F15" s="298">
        <f>8260</f>
        <v>8260</v>
      </c>
      <c r="G15" s="298">
        <v>0</v>
      </c>
      <c r="H15" s="298">
        <v>0</v>
      </c>
      <c r="I15" s="298">
        <v>0</v>
      </c>
      <c r="J15" s="298">
        <f>K15+L15+M15+N15</f>
        <v>11513</v>
      </c>
      <c r="K15" s="298">
        <v>11513</v>
      </c>
      <c r="L15" s="298">
        <v>0</v>
      </c>
      <c r="M15" s="299">
        <v>0</v>
      </c>
      <c r="N15" s="299">
        <v>0</v>
      </c>
      <c r="O15" s="299">
        <f>P15+Q15+R15+S15</f>
        <v>10547</v>
      </c>
      <c r="P15" s="299">
        <v>10547</v>
      </c>
      <c r="Q15" s="299">
        <v>0</v>
      </c>
      <c r="R15" s="299">
        <v>0</v>
      </c>
      <c r="S15" s="299">
        <v>0</v>
      </c>
      <c r="T15" s="299">
        <f>U15+V15+W15+X15</f>
        <v>0</v>
      </c>
      <c r="U15" s="299">
        <v>0</v>
      </c>
      <c r="V15" s="299">
        <v>0</v>
      </c>
      <c r="W15" s="299">
        <v>0</v>
      </c>
      <c r="X15" s="299">
        <v>0</v>
      </c>
      <c r="Y15" s="299">
        <f>Z15+AA15+AB15+AC15</f>
        <v>0</v>
      </c>
      <c r="Z15" s="299">
        <v>0</v>
      </c>
      <c r="AA15" s="299">
        <v>0</v>
      </c>
      <c r="AB15" s="299">
        <v>0</v>
      </c>
      <c r="AC15" s="299">
        <v>0</v>
      </c>
      <c r="AD15" s="326">
        <f t="shared" si="0"/>
        <v>30320</v>
      </c>
    </row>
    <row r="16" spans="1:30" ht="93">
      <c r="A16" s="323" t="s">
        <v>16</v>
      </c>
      <c r="B16" s="330" t="s">
        <v>270</v>
      </c>
      <c r="C16" s="331" t="s">
        <v>14</v>
      </c>
      <c r="D16" s="322" t="s">
        <v>93</v>
      </c>
      <c r="E16" s="298">
        <f>F16+G16+H16+I16</f>
        <v>586.36999999999978</v>
      </c>
      <c r="F16" s="298">
        <f>3300-2825.3</f>
        <v>474.69999999999982</v>
      </c>
      <c r="G16" s="298">
        <v>0</v>
      </c>
      <c r="H16" s="298">
        <v>0</v>
      </c>
      <c r="I16" s="298">
        <f>775-663.33</f>
        <v>111.66999999999996</v>
      </c>
      <c r="J16" s="298">
        <v>0</v>
      </c>
      <c r="K16" s="298">
        <v>0</v>
      </c>
      <c r="L16" s="298">
        <v>0</v>
      </c>
      <c r="M16" s="299">
        <v>0</v>
      </c>
      <c r="N16" s="299">
        <v>0</v>
      </c>
      <c r="O16" s="299">
        <v>0</v>
      </c>
      <c r="P16" s="299">
        <v>0</v>
      </c>
      <c r="Q16" s="299">
        <v>0</v>
      </c>
      <c r="R16" s="299">
        <v>0</v>
      </c>
      <c r="S16" s="299">
        <v>0</v>
      </c>
      <c r="T16" s="299">
        <v>0</v>
      </c>
      <c r="U16" s="299">
        <v>0</v>
      </c>
      <c r="V16" s="299">
        <v>0</v>
      </c>
      <c r="W16" s="299">
        <v>0</v>
      </c>
      <c r="X16" s="299">
        <v>0</v>
      </c>
      <c r="Y16" s="299">
        <v>0</v>
      </c>
      <c r="Z16" s="299">
        <v>0</v>
      </c>
      <c r="AA16" s="299">
        <v>0</v>
      </c>
      <c r="AB16" s="299">
        <v>0</v>
      </c>
      <c r="AC16" s="299">
        <v>0</v>
      </c>
      <c r="AD16" s="326">
        <f t="shared" si="0"/>
        <v>586.36999999999978</v>
      </c>
    </row>
    <row r="17" spans="1:31" ht="37.5">
      <c r="A17" s="323" t="s">
        <v>17</v>
      </c>
      <c r="B17" s="330" t="s">
        <v>210</v>
      </c>
      <c r="C17" s="443" t="s">
        <v>94</v>
      </c>
      <c r="D17" s="332">
        <v>2020</v>
      </c>
      <c r="E17" s="298">
        <f t="shared" ref="E17:E22" si="1">F17+G17+H17+I17</f>
        <v>1192</v>
      </c>
      <c r="F17" s="298">
        <v>1192</v>
      </c>
      <c r="G17" s="298">
        <v>0</v>
      </c>
      <c r="H17" s="298">
        <v>0</v>
      </c>
      <c r="I17" s="298">
        <v>0</v>
      </c>
      <c r="J17" s="298">
        <f t="shared" ref="J17:J22" si="2">K17+L17+M17+N17</f>
        <v>0</v>
      </c>
      <c r="K17" s="298">
        <v>0</v>
      </c>
      <c r="L17" s="298">
        <v>0</v>
      </c>
      <c r="M17" s="299">
        <v>0</v>
      </c>
      <c r="N17" s="299">
        <v>0</v>
      </c>
      <c r="O17" s="299">
        <f>P17+Q17+R17+S17</f>
        <v>0</v>
      </c>
      <c r="P17" s="299">
        <v>0</v>
      </c>
      <c r="Q17" s="299">
        <v>0</v>
      </c>
      <c r="R17" s="299">
        <v>0</v>
      </c>
      <c r="S17" s="299">
        <v>0</v>
      </c>
      <c r="T17" s="299">
        <f>U17+V17+W17+X17</f>
        <v>0</v>
      </c>
      <c r="U17" s="299">
        <v>0</v>
      </c>
      <c r="V17" s="299">
        <v>0</v>
      </c>
      <c r="W17" s="299">
        <v>0</v>
      </c>
      <c r="X17" s="299">
        <v>0</v>
      </c>
      <c r="Y17" s="299">
        <f>Z17+AA17+AB17+AC17</f>
        <v>0</v>
      </c>
      <c r="Z17" s="299">
        <v>0</v>
      </c>
      <c r="AA17" s="299">
        <v>0</v>
      </c>
      <c r="AB17" s="299">
        <v>0</v>
      </c>
      <c r="AC17" s="299">
        <v>0</v>
      </c>
      <c r="AD17" s="299">
        <f t="shared" si="0"/>
        <v>1192</v>
      </c>
    </row>
    <row r="18" spans="1:31" ht="46.5">
      <c r="A18" s="323" t="s">
        <v>163</v>
      </c>
      <c r="B18" s="330" t="s">
        <v>121</v>
      </c>
      <c r="C18" s="443" t="s">
        <v>94</v>
      </c>
      <c r="D18" s="332" t="s">
        <v>164</v>
      </c>
      <c r="E18" s="298">
        <f t="shared" si="1"/>
        <v>6060</v>
      </c>
      <c r="F18" s="298">
        <f>6183-123</f>
        <v>6060</v>
      </c>
      <c r="G18" s="298">
        <v>0</v>
      </c>
      <c r="H18" s="298">
        <v>0</v>
      </c>
      <c r="I18" s="298">
        <v>0</v>
      </c>
      <c r="J18" s="298">
        <f t="shared" si="2"/>
        <v>5586</v>
      </c>
      <c r="K18" s="298">
        <f>5832-126-120</f>
        <v>5586</v>
      </c>
      <c r="L18" s="298">
        <v>0</v>
      </c>
      <c r="M18" s="299">
        <v>0</v>
      </c>
      <c r="N18" s="299">
        <v>0</v>
      </c>
      <c r="O18" s="299">
        <f>P18+Q18+R18+S18</f>
        <v>5700</v>
      </c>
      <c r="P18" s="299">
        <f>5760-60</f>
        <v>5700</v>
      </c>
      <c r="Q18" s="299">
        <v>0</v>
      </c>
      <c r="R18" s="299">
        <v>0</v>
      </c>
      <c r="S18" s="299">
        <v>0</v>
      </c>
      <c r="T18" s="299">
        <f>U18+V18+W18+X18</f>
        <v>0</v>
      </c>
      <c r="U18" s="299">
        <v>0</v>
      </c>
      <c r="V18" s="299">
        <v>0</v>
      </c>
      <c r="W18" s="299">
        <v>0</v>
      </c>
      <c r="X18" s="299">
        <v>0</v>
      </c>
      <c r="Y18" s="299">
        <f>Z18+AA18+AB18+AC18</f>
        <v>0</v>
      </c>
      <c r="Z18" s="299">
        <v>0</v>
      </c>
      <c r="AA18" s="299">
        <v>0</v>
      </c>
      <c r="AB18" s="299">
        <v>0</v>
      </c>
      <c r="AC18" s="299">
        <v>0</v>
      </c>
      <c r="AD18" s="299">
        <f t="shared" si="0"/>
        <v>17346</v>
      </c>
    </row>
    <row r="19" spans="1:31" ht="37.5">
      <c r="A19" s="323" t="s">
        <v>182</v>
      </c>
      <c r="B19" s="333" t="s">
        <v>124</v>
      </c>
      <c r="C19" s="443" t="s">
        <v>94</v>
      </c>
      <c r="D19" s="332" t="s">
        <v>282</v>
      </c>
      <c r="E19" s="298">
        <f t="shared" si="1"/>
        <v>785</v>
      </c>
      <c r="F19" s="298">
        <v>785</v>
      </c>
      <c r="G19" s="298">
        <v>0</v>
      </c>
      <c r="H19" s="298">
        <v>0</v>
      </c>
      <c r="I19" s="298">
        <v>0</v>
      </c>
      <c r="J19" s="298">
        <f t="shared" si="2"/>
        <v>90</v>
      </c>
      <c r="K19" s="298">
        <v>90</v>
      </c>
      <c r="L19" s="298">
        <v>0</v>
      </c>
      <c r="M19" s="299">
        <v>0</v>
      </c>
      <c r="N19" s="299">
        <v>0</v>
      </c>
      <c r="O19" s="299">
        <v>0</v>
      </c>
      <c r="P19" s="299">
        <v>0</v>
      </c>
      <c r="Q19" s="299">
        <v>0</v>
      </c>
      <c r="R19" s="299">
        <v>0</v>
      </c>
      <c r="S19" s="299">
        <v>0</v>
      </c>
      <c r="T19" s="299">
        <v>0</v>
      </c>
      <c r="U19" s="299">
        <v>0</v>
      </c>
      <c r="V19" s="299">
        <v>0</v>
      </c>
      <c r="W19" s="299">
        <v>0</v>
      </c>
      <c r="X19" s="299">
        <v>0</v>
      </c>
      <c r="Y19" s="299">
        <v>0</v>
      </c>
      <c r="Z19" s="299">
        <v>0</v>
      </c>
      <c r="AA19" s="299">
        <v>0</v>
      </c>
      <c r="AB19" s="299">
        <v>0</v>
      </c>
      <c r="AC19" s="299">
        <v>0</v>
      </c>
      <c r="AD19" s="299">
        <f>E19+J19+O19+T19+Y19</f>
        <v>875</v>
      </c>
    </row>
    <row r="20" spans="1:31" ht="46.5">
      <c r="A20" s="323" t="s">
        <v>208</v>
      </c>
      <c r="B20" s="333" t="s">
        <v>126</v>
      </c>
      <c r="C20" s="443" t="s">
        <v>94</v>
      </c>
      <c r="D20" s="332">
        <v>2020</v>
      </c>
      <c r="E20" s="298">
        <f t="shared" si="1"/>
        <v>110</v>
      </c>
      <c r="F20" s="298">
        <v>110</v>
      </c>
      <c r="G20" s="298">
        <v>0</v>
      </c>
      <c r="H20" s="298">
        <v>0</v>
      </c>
      <c r="I20" s="298">
        <v>0</v>
      </c>
      <c r="J20" s="298">
        <f t="shared" si="2"/>
        <v>0</v>
      </c>
      <c r="K20" s="298">
        <v>0</v>
      </c>
      <c r="L20" s="298">
        <v>0</v>
      </c>
      <c r="M20" s="299">
        <v>0</v>
      </c>
      <c r="N20" s="299">
        <v>0</v>
      </c>
      <c r="O20" s="299">
        <f t="shared" ref="O20:O26" si="3">P20+Q20+R20+S20</f>
        <v>0</v>
      </c>
      <c r="P20" s="299">
        <v>0</v>
      </c>
      <c r="Q20" s="299">
        <v>0</v>
      </c>
      <c r="R20" s="299">
        <v>0</v>
      </c>
      <c r="S20" s="299">
        <v>0</v>
      </c>
      <c r="T20" s="299">
        <f t="shared" ref="T20:T26" si="4">U20+V20+W20+X20</f>
        <v>0</v>
      </c>
      <c r="U20" s="299">
        <v>0</v>
      </c>
      <c r="V20" s="299">
        <v>0</v>
      </c>
      <c r="W20" s="299">
        <v>0</v>
      </c>
      <c r="X20" s="299">
        <v>0</v>
      </c>
      <c r="Y20" s="299">
        <f>Z20+AA20+AB20+AC20</f>
        <v>0</v>
      </c>
      <c r="Z20" s="299">
        <v>0</v>
      </c>
      <c r="AA20" s="299">
        <v>0</v>
      </c>
      <c r="AB20" s="299">
        <v>0</v>
      </c>
      <c r="AC20" s="299">
        <v>0</v>
      </c>
      <c r="AD20" s="299">
        <f t="shared" ref="AD20:AD26" si="5">E20+J20+O20+T20+Y20</f>
        <v>110</v>
      </c>
    </row>
    <row r="21" spans="1:31" ht="69.75">
      <c r="A21" s="323" t="s">
        <v>211</v>
      </c>
      <c r="B21" s="333" t="s">
        <v>122</v>
      </c>
      <c r="C21" s="443" t="s">
        <v>94</v>
      </c>
      <c r="D21" s="332">
        <v>2020</v>
      </c>
      <c r="E21" s="298">
        <f t="shared" si="1"/>
        <v>53</v>
      </c>
      <c r="F21" s="298">
        <v>53</v>
      </c>
      <c r="G21" s="298">
        <v>0</v>
      </c>
      <c r="H21" s="298">
        <v>0</v>
      </c>
      <c r="I21" s="298">
        <v>0</v>
      </c>
      <c r="J21" s="298">
        <f t="shared" si="2"/>
        <v>0</v>
      </c>
      <c r="K21" s="298">
        <v>0</v>
      </c>
      <c r="L21" s="298">
        <v>0</v>
      </c>
      <c r="M21" s="299">
        <v>0</v>
      </c>
      <c r="N21" s="299">
        <v>0</v>
      </c>
      <c r="O21" s="299">
        <f t="shared" si="3"/>
        <v>0</v>
      </c>
      <c r="P21" s="299">
        <v>0</v>
      </c>
      <c r="Q21" s="299">
        <v>0</v>
      </c>
      <c r="R21" s="299">
        <v>0</v>
      </c>
      <c r="S21" s="299">
        <v>0</v>
      </c>
      <c r="T21" s="299">
        <f t="shared" si="4"/>
        <v>0</v>
      </c>
      <c r="U21" s="299">
        <v>0</v>
      </c>
      <c r="V21" s="299">
        <v>0</v>
      </c>
      <c r="W21" s="299">
        <v>0</v>
      </c>
      <c r="X21" s="299">
        <v>0</v>
      </c>
      <c r="Y21" s="299">
        <f>Z21+AA21+AB21+AC21</f>
        <v>0</v>
      </c>
      <c r="Z21" s="299">
        <v>0</v>
      </c>
      <c r="AA21" s="299">
        <v>0</v>
      </c>
      <c r="AB21" s="299">
        <v>0</v>
      </c>
      <c r="AC21" s="299">
        <v>0</v>
      </c>
      <c r="AD21" s="299">
        <f t="shared" si="5"/>
        <v>53</v>
      </c>
    </row>
    <row r="22" spans="1:31" ht="46.5">
      <c r="A22" s="323" t="s">
        <v>212</v>
      </c>
      <c r="B22" s="333" t="s">
        <v>123</v>
      </c>
      <c r="C22" s="443" t="s">
        <v>94</v>
      </c>
      <c r="D22" s="332">
        <v>2020</v>
      </c>
      <c r="E22" s="298">
        <f t="shared" si="1"/>
        <v>130</v>
      </c>
      <c r="F22" s="298">
        <f>112+18</f>
        <v>130</v>
      </c>
      <c r="G22" s="298">
        <v>0</v>
      </c>
      <c r="H22" s="298">
        <v>0</v>
      </c>
      <c r="I22" s="298">
        <v>0</v>
      </c>
      <c r="J22" s="298">
        <f t="shared" si="2"/>
        <v>0</v>
      </c>
      <c r="K22" s="298">
        <v>0</v>
      </c>
      <c r="L22" s="298">
        <v>0</v>
      </c>
      <c r="M22" s="299">
        <v>0</v>
      </c>
      <c r="N22" s="299">
        <v>0</v>
      </c>
      <c r="O22" s="299">
        <f t="shared" si="3"/>
        <v>0</v>
      </c>
      <c r="P22" s="299">
        <v>0</v>
      </c>
      <c r="Q22" s="299">
        <v>0</v>
      </c>
      <c r="R22" s="299">
        <v>0</v>
      </c>
      <c r="S22" s="299">
        <v>0</v>
      </c>
      <c r="T22" s="299">
        <f t="shared" si="4"/>
        <v>0</v>
      </c>
      <c r="U22" s="299">
        <v>0</v>
      </c>
      <c r="V22" s="299">
        <v>0</v>
      </c>
      <c r="W22" s="299">
        <v>0</v>
      </c>
      <c r="X22" s="299">
        <v>0</v>
      </c>
      <c r="Y22" s="299">
        <f>Z22+AA22+AB22+AC22</f>
        <v>0</v>
      </c>
      <c r="Z22" s="299">
        <v>0</v>
      </c>
      <c r="AA22" s="299">
        <v>0</v>
      </c>
      <c r="AB22" s="299">
        <v>0</v>
      </c>
      <c r="AC22" s="299">
        <v>0</v>
      </c>
      <c r="AD22" s="299">
        <f t="shared" si="5"/>
        <v>130</v>
      </c>
    </row>
    <row r="23" spans="1:31" ht="46.5">
      <c r="A23" s="323" t="s">
        <v>213</v>
      </c>
      <c r="B23" s="333" t="s">
        <v>125</v>
      </c>
      <c r="C23" s="443" t="s">
        <v>94</v>
      </c>
      <c r="D23" s="332" t="s">
        <v>164</v>
      </c>
      <c r="E23" s="298">
        <v>120</v>
      </c>
      <c r="F23" s="298">
        <v>120</v>
      </c>
      <c r="G23" s="298">
        <v>0</v>
      </c>
      <c r="H23" s="298">
        <v>0</v>
      </c>
      <c r="I23" s="298">
        <v>0</v>
      </c>
      <c r="J23" s="298">
        <f>K23+L23+M23+N23</f>
        <v>0</v>
      </c>
      <c r="K23" s="298">
        <f>60-60</f>
        <v>0</v>
      </c>
      <c r="L23" s="298">
        <v>0</v>
      </c>
      <c r="M23" s="299">
        <v>0</v>
      </c>
      <c r="N23" s="299">
        <v>0</v>
      </c>
      <c r="O23" s="299">
        <f t="shared" si="3"/>
        <v>120</v>
      </c>
      <c r="P23" s="299">
        <f>60+60</f>
        <v>120</v>
      </c>
      <c r="Q23" s="299">
        <v>0</v>
      </c>
      <c r="R23" s="299">
        <v>0</v>
      </c>
      <c r="S23" s="299">
        <v>0</v>
      </c>
      <c r="T23" s="299">
        <f t="shared" si="4"/>
        <v>0</v>
      </c>
      <c r="U23" s="299">
        <v>0</v>
      </c>
      <c r="V23" s="299">
        <v>0</v>
      </c>
      <c r="W23" s="299">
        <v>0</v>
      </c>
      <c r="X23" s="299">
        <v>0</v>
      </c>
      <c r="Y23" s="299">
        <f>Z23+AA23+AB23+AC23</f>
        <v>0</v>
      </c>
      <c r="Z23" s="299">
        <v>0</v>
      </c>
      <c r="AA23" s="299">
        <v>0</v>
      </c>
      <c r="AB23" s="299">
        <v>0</v>
      </c>
      <c r="AC23" s="299">
        <v>0</v>
      </c>
      <c r="AD23" s="299">
        <f t="shared" si="5"/>
        <v>240</v>
      </c>
    </row>
    <row r="24" spans="1:31" ht="37.5">
      <c r="A24" s="369" t="s">
        <v>214</v>
      </c>
      <c r="B24" s="370" t="s">
        <v>205</v>
      </c>
      <c r="C24" s="371" t="s">
        <v>52</v>
      </c>
      <c r="D24" s="372" t="s">
        <v>287</v>
      </c>
      <c r="E24" s="373">
        <v>23068</v>
      </c>
      <c r="F24" s="373">
        <v>0</v>
      </c>
      <c r="G24" s="373">
        <v>23068</v>
      </c>
      <c r="H24" s="373">
        <v>0</v>
      </c>
      <c r="I24" s="373">
        <v>0</v>
      </c>
      <c r="J24" s="373">
        <f>K24+L24+M24+N24</f>
        <v>22592</v>
      </c>
      <c r="K24" s="373">
        <v>0</v>
      </c>
      <c r="L24" s="373">
        <f>23742-1150</f>
        <v>22592</v>
      </c>
      <c r="M24" s="374">
        <v>0</v>
      </c>
      <c r="N24" s="374">
        <v>0</v>
      </c>
      <c r="O24" s="299">
        <f t="shared" si="3"/>
        <v>25095.52</v>
      </c>
      <c r="P24" s="299">
        <v>0</v>
      </c>
      <c r="Q24" s="299">
        <f>24077+1018.52</f>
        <v>25095.52</v>
      </c>
      <c r="R24" s="374">
        <v>0</v>
      </c>
      <c r="S24" s="374">
        <v>0</v>
      </c>
      <c r="T24" s="374">
        <f t="shared" si="4"/>
        <v>24077</v>
      </c>
      <c r="U24" s="374">
        <v>0</v>
      </c>
      <c r="V24" s="374">
        <v>24077</v>
      </c>
      <c r="W24" s="374">
        <v>0</v>
      </c>
      <c r="X24" s="374">
        <v>0</v>
      </c>
      <c r="Y24" s="374">
        <f>Z24+AA24+AB24+AC24</f>
        <v>24077</v>
      </c>
      <c r="Z24" s="374">
        <v>0</v>
      </c>
      <c r="AA24" s="374">
        <v>24077</v>
      </c>
      <c r="AB24" s="374">
        <v>0</v>
      </c>
      <c r="AC24" s="374">
        <v>0</v>
      </c>
      <c r="AD24" s="374">
        <f>E24+J24+O24+T24+Y24</f>
        <v>118909.52</v>
      </c>
    </row>
    <row r="25" spans="1:31" ht="46.5">
      <c r="A25" s="369" t="s">
        <v>215</v>
      </c>
      <c r="B25" s="370" t="s">
        <v>198</v>
      </c>
      <c r="C25" s="371" t="s">
        <v>52</v>
      </c>
      <c r="D25" s="372" t="s">
        <v>309</v>
      </c>
      <c r="E25" s="373">
        <v>238</v>
      </c>
      <c r="F25" s="375">
        <v>0</v>
      </c>
      <c r="G25" s="373">
        <v>238</v>
      </c>
      <c r="H25" s="373">
        <v>0</v>
      </c>
      <c r="I25" s="373">
        <v>0</v>
      </c>
      <c r="J25" s="373">
        <f>K25+L25+M25+N25</f>
        <v>476</v>
      </c>
      <c r="K25" s="373">
        <v>0</v>
      </c>
      <c r="L25" s="373">
        <v>476</v>
      </c>
      <c r="M25" s="374">
        <v>0</v>
      </c>
      <c r="N25" s="374">
        <v>0</v>
      </c>
      <c r="O25" s="334">
        <f t="shared" si="3"/>
        <v>1904</v>
      </c>
      <c r="P25" s="334">
        <v>0</v>
      </c>
      <c r="Q25" s="334">
        <f>476+1428</f>
        <v>1904</v>
      </c>
      <c r="R25" s="374">
        <v>0</v>
      </c>
      <c r="S25" s="374">
        <v>0</v>
      </c>
      <c r="T25" s="374">
        <f t="shared" si="4"/>
        <v>0</v>
      </c>
      <c r="U25" s="374">
        <v>0</v>
      </c>
      <c r="V25" s="374">
        <v>0</v>
      </c>
      <c r="W25" s="374">
        <v>0</v>
      </c>
      <c r="X25" s="374">
        <v>0</v>
      </c>
      <c r="Y25" s="374">
        <v>0</v>
      </c>
      <c r="Z25" s="374">
        <v>0</v>
      </c>
      <c r="AA25" s="374">
        <v>0</v>
      </c>
      <c r="AB25" s="374">
        <v>0</v>
      </c>
      <c r="AC25" s="374">
        <v>0</v>
      </c>
      <c r="AD25" s="374">
        <f>E25+J25+O25+T25+Y25</f>
        <v>2618</v>
      </c>
    </row>
    <row r="26" spans="1:31" ht="46.5">
      <c r="A26" s="369" t="s">
        <v>216</v>
      </c>
      <c r="B26" s="376" t="s">
        <v>217</v>
      </c>
      <c r="C26" s="371" t="s">
        <v>94</v>
      </c>
      <c r="D26" s="372">
        <v>2020</v>
      </c>
      <c r="E26" s="373">
        <f>F26+G26+H26+I26</f>
        <v>120</v>
      </c>
      <c r="F26" s="373">
        <f>300-180</f>
        <v>120</v>
      </c>
      <c r="G26" s="373">
        <v>0</v>
      </c>
      <c r="H26" s="373">
        <v>0</v>
      </c>
      <c r="I26" s="373">
        <v>0</v>
      </c>
      <c r="J26" s="373">
        <f>K26+L26+M26+N26</f>
        <v>0</v>
      </c>
      <c r="K26" s="373">
        <v>0</v>
      </c>
      <c r="L26" s="373">
        <v>0</v>
      </c>
      <c r="M26" s="374">
        <v>0</v>
      </c>
      <c r="N26" s="374">
        <v>0</v>
      </c>
      <c r="O26" s="374">
        <f t="shared" si="3"/>
        <v>0</v>
      </c>
      <c r="P26" s="374">
        <v>0</v>
      </c>
      <c r="Q26" s="374">
        <v>0</v>
      </c>
      <c r="R26" s="374">
        <v>0</v>
      </c>
      <c r="S26" s="374">
        <v>0</v>
      </c>
      <c r="T26" s="374">
        <f t="shared" si="4"/>
        <v>0</v>
      </c>
      <c r="U26" s="374">
        <v>0</v>
      </c>
      <c r="V26" s="374">
        <v>0</v>
      </c>
      <c r="W26" s="374">
        <v>0</v>
      </c>
      <c r="X26" s="374">
        <v>0</v>
      </c>
      <c r="Y26" s="374">
        <f>Z26+AA26+AB26+AC26</f>
        <v>0</v>
      </c>
      <c r="Z26" s="374">
        <v>0</v>
      </c>
      <c r="AA26" s="374">
        <v>0</v>
      </c>
      <c r="AB26" s="374">
        <v>0</v>
      </c>
      <c r="AC26" s="374">
        <v>0</v>
      </c>
      <c r="AD26" s="374">
        <f t="shared" si="5"/>
        <v>120</v>
      </c>
    </row>
    <row r="27" spans="1:31" ht="23.25">
      <c r="A27" s="687" t="s">
        <v>313</v>
      </c>
      <c r="B27" s="688"/>
      <c r="C27" s="689"/>
      <c r="D27" s="377"/>
      <c r="E27" s="378">
        <f>E28+E29+E30</f>
        <v>76431.37</v>
      </c>
      <c r="F27" s="378">
        <f>SUM(F13:F26)</f>
        <v>50955.7</v>
      </c>
      <c r="G27" s="378">
        <f>G28+G29+G30</f>
        <v>23306</v>
      </c>
      <c r="H27" s="378">
        <f>SUM(H13:H17)</f>
        <v>0</v>
      </c>
      <c r="I27" s="378">
        <f>SUM(I13:I17)</f>
        <v>2169.67</v>
      </c>
      <c r="J27" s="378">
        <f>J28+J29+J30</f>
        <v>66549</v>
      </c>
      <c r="K27" s="378">
        <f>K28+K29</f>
        <v>43481</v>
      </c>
      <c r="L27" s="378">
        <f>L13+L14+L15+L16+L17+L18+L19+L20+L21+L22+L23+L24+L25+L26</f>
        <v>23068</v>
      </c>
      <c r="M27" s="378">
        <f>SUM(M13:M17)</f>
        <v>0</v>
      </c>
      <c r="N27" s="378">
        <f>SUM(N13:N17)</f>
        <v>0</v>
      </c>
      <c r="O27" s="378">
        <f>P27+Q27+R27+S27</f>
        <v>85879.52</v>
      </c>
      <c r="P27" s="378">
        <f>P28+P29</f>
        <v>58880</v>
      </c>
      <c r="Q27" s="378">
        <f>Q28+Q29+Q30</f>
        <v>26999.52</v>
      </c>
      <c r="R27" s="378">
        <f>SUM(R13:R17)</f>
        <v>0</v>
      </c>
      <c r="S27" s="378">
        <f>SUM(S13:S17)</f>
        <v>0</v>
      </c>
      <c r="T27" s="378">
        <f>SUM(T13:T26)</f>
        <v>24077</v>
      </c>
      <c r="U27" s="378">
        <f>SUM(U13:U26)</f>
        <v>0</v>
      </c>
      <c r="V27" s="378">
        <f>V28+V29+V30</f>
        <v>24077</v>
      </c>
      <c r="W27" s="378">
        <f>SUM(W13:W16)</f>
        <v>0</v>
      </c>
      <c r="X27" s="378">
        <f>SUM(X13:X16)</f>
        <v>0</v>
      </c>
      <c r="Y27" s="378">
        <v>24077</v>
      </c>
      <c r="Z27" s="378">
        <f>Z28+Z29+Z30</f>
        <v>0</v>
      </c>
      <c r="AA27" s="378">
        <f>AA28+AA29+AA30</f>
        <v>24077</v>
      </c>
      <c r="AB27" s="378">
        <f>SUM(AB13:AB17)</f>
        <v>0</v>
      </c>
      <c r="AC27" s="378">
        <f>SUM(AC13:AC17)</f>
        <v>0</v>
      </c>
      <c r="AD27" s="378">
        <f>AD28+AD29+AD30</f>
        <v>277013.89</v>
      </c>
    </row>
    <row r="28" spans="1:31" ht="23.25">
      <c r="A28" s="379" t="s">
        <v>14</v>
      </c>
      <c r="B28" s="446"/>
      <c r="C28" s="447"/>
      <c r="D28" s="380"/>
      <c r="E28" s="374">
        <f>F28+G28+H28+I28</f>
        <v>36295.369999999995</v>
      </c>
      <c r="F28" s="374">
        <f>F13+F14+F16</f>
        <v>34125.699999999997</v>
      </c>
      <c r="G28" s="374">
        <f>G13+G14+G16</f>
        <v>0</v>
      </c>
      <c r="H28" s="374">
        <f>G13+G14+G16</f>
        <v>0</v>
      </c>
      <c r="I28" s="374">
        <f>I14+I16</f>
        <v>2169.67</v>
      </c>
      <c r="J28" s="374">
        <f t="shared" ref="J28:V28" si="6">J13+J14+J16</f>
        <v>26292</v>
      </c>
      <c r="K28" s="374">
        <f t="shared" si="6"/>
        <v>26292</v>
      </c>
      <c r="L28" s="374">
        <f t="shared" si="6"/>
        <v>0</v>
      </c>
      <c r="M28" s="374">
        <f t="shared" si="6"/>
        <v>0</v>
      </c>
      <c r="N28" s="374">
        <f t="shared" si="6"/>
        <v>0</v>
      </c>
      <c r="O28" s="374">
        <f t="shared" si="6"/>
        <v>42513</v>
      </c>
      <c r="P28" s="374">
        <f t="shared" si="6"/>
        <v>42513</v>
      </c>
      <c r="Q28" s="374">
        <f t="shared" si="6"/>
        <v>0</v>
      </c>
      <c r="R28" s="374">
        <f t="shared" si="6"/>
        <v>0</v>
      </c>
      <c r="S28" s="374">
        <f t="shared" si="6"/>
        <v>0</v>
      </c>
      <c r="T28" s="374">
        <f t="shared" si="6"/>
        <v>0</v>
      </c>
      <c r="U28" s="374">
        <f t="shared" si="6"/>
        <v>0</v>
      </c>
      <c r="V28" s="374">
        <f t="shared" si="6"/>
        <v>0</v>
      </c>
      <c r="W28" s="374">
        <f>W13+W14+W16</f>
        <v>0</v>
      </c>
      <c r="X28" s="374">
        <f t="shared" ref="X28:AC28" si="7">X13+X14+X16</f>
        <v>0</v>
      </c>
      <c r="Y28" s="374">
        <f t="shared" si="7"/>
        <v>0</v>
      </c>
      <c r="Z28" s="374">
        <f>Z13+Z14+Z16</f>
        <v>0</v>
      </c>
      <c r="AA28" s="374">
        <f t="shared" si="7"/>
        <v>0</v>
      </c>
      <c r="AB28" s="374">
        <f t="shared" si="7"/>
        <v>0</v>
      </c>
      <c r="AC28" s="374">
        <f t="shared" si="7"/>
        <v>0</v>
      </c>
      <c r="AD28" s="374">
        <f>E28+J28+O28+T28+Y28</f>
        <v>105100.37</v>
      </c>
    </row>
    <row r="29" spans="1:31" ht="23.25">
      <c r="A29" s="379" t="s">
        <v>135</v>
      </c>
      <c r="B29" s="381"/>
      <c r="C29" s="382"/>
      <c r="D29" s="380"/>
      <c r="E29" s="374">
        <f>E15+E17+E18+E19+E20+E21+E22+E23+E26</f>
        <v>16830</v>
      </c>
      <c r="F29" s="374">
        <f>F15+F17+F18+F19+F20+F21+F22+F23+F26</f>
        <v>16830</v>
      </c>
      <c r="G29" s="374">
        <f>G15+G16</f>
        <v>0</v>
      </c>
      <c r="H29" s="374">
        <f>H15+H17+H18+H19+H20+H21+H22+H23+H26</f>
        <v>0</v>
      </c>
      <c r="I29" s="374">
        <f>I15+I17+I17+I18+I19+I20+I21+I22+I23+I26</f>
        <v>0</v>
      </c>
      <c r="J29" s="374">
        <f>J15+J17+J18+J19+J20+J21+J22+J23+J26</f>
        <v>17189</v>
      </c>
      <c r="K29" s="374">
        <f>K15+K17+K18+K19+K20+K21+K22+K23+K26</f>
        <v>17189</v>
      </c>
      <c r="L29" s="374">
        <f>L15+L17+L18+L19+L20+L21+L22+L23+L26</f>
        <v>0</v>
      </c>
      <c r="M29" s="374">
        <f>M24+M25</f>
        <v>0</v>
      </c>
      <c r="N29" s="374">
        <f>N24+N25</f>
        <v>0</v>
      </c>
      <c r="O29" s="374">
        <f>O15+O17+O18+O19+O20+O21+O22+O23+O26</f>
        <v>16367</v>
      </c>
      <c r="P29" s="374">
        <f>P15+P17+P18+P19+P20+P21+P22+P23+P26</f>
        <v>16367</v>
      </c>
      <c r="Q29" s="374">
        <f t="shared" ref="Q29:AC29" si="8">Q15+Q17+Q18+Q19+Q20+Q21+Q22+Q23+Q26</f>
        <v>0</v>
      </c>
      <c r="R29" s="374">
        <f t="shared" si="8"/>
        <v>0</v>
      </c>
      <c r="S29" s="374">
        <f t="shared" si="8"/>
        <v>0</v>
      </c>
      <c r="T29" s="374">
        <f t="shared" si="8"/>
        <v>0</v>
      </c>
      <c r="U29" s="374">
        <f>U15+U17+U18+U19+U20+U21+U22+U23+U26</f>
        <v>0</v>
      </c>
      <c r="V29" s="374">
        <f t="shared" si="8"/>
        <v>0</v>
      </c>
      <c r="W29" s="374">
        <f t="shared" si="8"/>
        <v>0</v>
      </c>
      <c r="X29" s="374">
        <f t="shared" si="8"/>
        <v>0</v>
      </c>
      <c r="Y29" s="374">
        <f t="shared" si="8"/>
        <v>0</v>
      </c>
      <c r="Z29" s="374">
        <f>Z15+Z17+Z18+Z19+Z20+Z21+Z22+Z23+Z26</f>
        <v>0</v>
      </c>
      <c r="AA29" s="374">
        <f t="shared" si="8"/>
        <v>0</v>
      </c>
      <c r="AB29" s="374">
        <f t="shared" si="8"/>
        <v>0</v>
      </c>
      <c r="AC29" s="374">
        <f t="shared" si="8"/>
        <v>0</v>
      </c>
      <c r="AD29" s="374">
        <f>E29+J29+O29+T29+Y29</f>
        <v>50386</v>
      </c>
      <c r="AE29" s="344"/>
    </row>
    <row r="30" spans="1:31" ht="23.25">
      <c r="A30" s="446" t="s">
        <v>73</v>
      </c>
      <c r="B30" s="447"/>
      <c r="C30" s="447"/>
      <c r="D30" s="383"/>
      <c r="E30" s="374">
        <f t="shared" ref="E30:S30" si="9">E24+E25</f>
        <v>23306</v>
      </c>
      <c r="F30" s="374">
        <f t="shared" si="9"/>
        <v>0</v>
      </c>
      <c r="G30" s="374">
        <f t="shared" si="9"/>
        <v>23306</v>
      </c>
      <c r="H30" s="374">
        <f t="shared" si="9"/>
        <v>0</v>
      </c>
      <c r="I30" s="374">
        <f t="shared" si="9"/>
        <v>0</v>
      </c>
      <c r="J30" s="374">
        <f t="shared" si="9"/>
        <v>23068</v>
      </c>
      <c r="K30" s="374">
        <f t="shared" si="9"/>
        <v>0</v>
      </c>
      <c r="L30" s="374">
        <f t="shared" si="9"/>
        <v>23068</v>
      </c>
      <c r="M30" s="374">
        <f t="shared" si="9"/>
        <v>0</v>
      </c>
      <c r="N30" s="374">
        <f t="shared" si="9"/>
        <v>0</v>
      </c>
      <c r="O30" s="374">
        <f t="shared" si="9"/>
        <v>26999.52</v>
      </c>
      <c r="P30" s="374">
        <f t="shared" si="9"/>
        <v>0</v>
      </c>
      <c r="Q30" s="374">
        <f>Q24+Q25</f>
        <v>26999.52</v>
      </c>
      <c r="R30" s="374">
        <f t="shared" si="9"/>
        <v>0</v>
      </c>
      <c r="S30" s="374">
        <f t="shared" si="9"/>
        <v>0</v>
      </c>
      <c r="T30" s="374">
        <f>T24+T25</f>
        <v>24077</v>
      </c>
      <c r="U30" s="374">
        <f>U25+U24</f>
        <v>0</v>
      </c>
      <c r="V30" s="374">
        <f>V24+V25</f>
        <v>24077</v>
      </c>
      <c r="W30" s="374">
        <f t="shared" ref="W30:AC30" si="10">W24+W25</f>
        <v>0</v>
      </c>
      <c r="X30" s="374">
        <f t="shared" si="10"/>
        <v>0</v>
      </c>
      <c r="Y30" s="374">
        <f t="shared" si="10"/>
        <v>24077</v>
      </c>
      <c r="Z30" s="374">
        <f t="shared" si="10"/>
        <v>0</v>
      </c>
      <c r="AA30" s="374">
        <f t="shared" si="10"/>
        <v>24077</v>
      </c>
      <c r="AB30" s="374">
        <f t="shared" si="10"/>
        <v>0</v>
      </c>
      <c r="AC30" s="374">
        <f t="shared" si="10"/>
        <v>0</v>
      </c>
      <c r="AD30" s="374">
        <f>E30+J30+O30+T30+Y30</f>
        <v>121527.52</v>
      </c>
      <c r="AE30" s="344"/>
    </row>
    <row r="31" spans="1:31" ht="23.25">
      <c r="A31" s="384" t="s">
        <v>222</v>
      </c>
      <c r="B31" s="690" t="s">
        <v>308</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2"/>
    </row>
    <row r="32" spans="1:31" ht="93">
      <c r="A32" s="323" t="s">
        <v>21</v>
      </c>
      <c r="B32" s="346" t="s">
        <v>192</v>
      </c>
      <c r="C32" s="322" t="s">
        <v>94</v>
      </c>
      <c r="D32" s="322" t="s">
        <v>93</v>
      </c>
      <c r="E32" s="299">
        <f>F32+G32+H32+I32</f>
        <v>1892</v>
      </c>
      <c r="F32" s="299">
        <f>2664-772</f>
        <v>1892</v>
      </c>
      <c r="G32" s="299">
        <v>0</v>
      </c>
      <c r="H32" s="299">
        <v>0</v>
      </c>
      <c r="I32" s="299">
        <v>0</v>
      </c>
      <c r="J32" s="299">
        <f>K32+L32+M32+N32</f>
        <v>1072</v>
      </c>
      <c r="K32" s="299">
        <f>1892-286-534</f>
        <v>1072</v>
      </c>
      <c r="L32" s="299">
        <v>0</v>
      </c>
      <c r="M32" s="299">
        <v>0</v>
      </c>
      <c r="N32" s="299">
        <v>0</v>
      </c>
      <c r="O32" s="299">
        <f>P32+Q32+R32+S32</f>
        <v>1168</v>
      </c>
      <c r="P32" s="299">
        <f>1633-465</f>
        <v>1168</v>
      </c>
      <c r="Q32" s="299">
        <v>0</v>
      </c>
      <c r="R32" s="299">
        <v>0</v>
      </c>
      <c r="S32" s="299">
        <v>0</v>
      </c>
      <c r="T32" s="299">
        <f>U32+V32+W32+X32</f>
        <v>0</v>
      </c>
      <c r="U32" s="299">
        <v>0</v>
      </c>
      <c r="V32" s="299">
        <v>0</v>
      </c>
      <c r="W32" s="299">
        <v>0</v>
      </c>
      <c r="X32" s="299">
        <v>0</v>
      </c>
      <c r="Y32" s="299">
        <f>Z32+AA32+AB32+AC32</f>
        <v>0</v>
      </c>
      <c r="Z32" s="299">
        <v>0</v>
      </c>
      <c r="AA32" s="299">
        <v>0</v>
      </c>
      <c r="AB32" s="299">
        <v>0</v>
      </c>
      <c r="AC32" s="299">
        <v>0</v>
      </c>
      <c r="AD32" s="299">
        <f>E32+J32+O32+T32+Y32</f>
        <v>4132</v>
      </c>
    </row>
    <row r="33" spans="1:31" ht="20.25">
      <c r="A33" s="655" t="s">
        <v>314</v>
      </c>
      <c r="B33" s="656"/>
      <c r="C33" s="657"/>
      <c r="D33" s="347"/>
      <c r="E33" s="326">
        <f>E32</f>
        <v>1892</v>
      </c>
      <c r="F33" s="326">
        <f>SUM(F32)</f>
        <v>1892</v>
      </c>
      <c r="G33" s="326">
        <f t="shared" ref="G33:AD33" si="11">SUM(G32:G32)</f>
        <v>0</v>
      </c>
      <c r="H33" s="326">
        <f t="shared" si="11"/>
        <v>0</v>
      </c>
      <c r="I33" s="326">
        <f t="shared" si="11"/>
        <v>0</v>
      </c>
      <c r="J33" s="326">
        <f>J32</f>
        <v>1072</v>
      </c>
      <c r="K33" s="326">
        <f t="shared" si="11"/>
        <v>1072</v>
      </c>
      <c r="L33" s="326">
        <f t="shared" si="11"/>
        <v>0</v>
      </c>
      <c r="M33" s="326">
        <f t="shared" si="11"/>
        <v>0</v>
      </c>
      <c r="N33" s="326">
        <f t="shared" si="11"/>
        <v>0</v>
      </c>
      <c r="O33" s="326">
        <f t="shared" si="11"/>
        <v>1168</v>
      </c>
      <c r="P33" s="326">
        <f t="shared" si="11"/>
        <v>1168</v>
      </c>
      <c r="Q33" s="326">
        <f t="shared" si="11"/>
        <v>0</v>
      </c>
      <c r="R33" s="326">
        <f t="shared" si="11"/>
        <v>0</v>
      </c>
      <c r="S33" s="326">
        <f t="shared" si="11"/>
        <v>0</v>
      </c>
      <c r="T33" s="326">
        <f t="shared" si="11"/>
        <v>0</v>
      </c>
      <c r="U33" s="326">
        <f t="shared" si="11"/>
        <v>0</v>
      </c>
      <c r="V33" s="326">
        <f t="shared" si="11"/>
        <v>0</v>
      </c>
      <c r="W33" s="326">
        <f t="shared" si="11"/>
        <v>0</v>
      </c>
      <c r="X33" s="326">
        <f t="shared" si="11"/>
        <v>0</v>
      </c>
      <c r="Y33" s="326">
        <f t="shared" si="11"/>
        <v>0</v>
      </c>
      <c r="Z33" s="326">
        <f t="shared" si="11"/>
        <v>0</v>
      </c>
      <c r="AA33" s="326">
        <f t="shared" si="11"/>
        <v>0</v>
      </c>
      <c r="AB33" s="326">
        <f t="shared" si="11"/>
        <v>0</v>
      </c>
      <c r="AC33" s="326">
        <f t="shared" si="11"/>
        <v>0</v>
      </c>
      <c r="AD33" s="326">
        <f t="shared" si="11"/>
        <v>4132</v>
      </c>
    </row>
    <row r="34" spans="1:31" ht="20.25">
      <c r="A34" s="322" t="s">
        <v>229</v>
      </c>
      <c r="B34" s="658" t="s">
        <v>277</v>
      </c>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60"/>
    </row>
    <row r="35" spans="1:31" ht="46.5">
      <c r="A35" s="323" t="s">
        <v>24</v>
      </c>
      <c r="B35" s="346" t="s">
        <v>288</v>
      </c>
      <c r="C35" s="331" t="s">
        <v>94</v>
      </c>
      <c r="D35" s="322" t="s">
        <v>93</v>
      </c>
      <c r="E35" s="299">
        <f>F35+G35+H35+I35</f>
        <v>2949</v>
      </c>
      <c r="F35" s="299">
        <v>2949</v>
      </c>
      <c r="G35" s="299">
        <v>0</v>
      </c>
      <c r="H35" s="299">
        <v>0</v>
      </c>
      <c r="I35" s="299">
        <v>0</v>
      </c>
      <c r="J35" s="299">
        <f>K35+L35+M35+N35</f>
        <v>2313</v>
      </c>
      <c r="K35" s="299">
        <f>1775+587-49</f>
        <v>2313</v>
      </c>
      <c r="L35" s="299">
        <v>0</v>
      </c>
      <c r="M35" s="299">
        <v>0</v>
      </c>
      <c r="N35" s="299">
        <v>0</v>
      </c>
      <c r="O35" s="299">
        <f xml:space="preserve"> SUM(P35:S35)</f>
        <v>2122</v>
      </c>
      <c r="P35" s="299">
        <f>2362-240</f>
        <v>2122</v>
      </c>
      <c r="Q35" s="299">
        <f>SUM(Q36,Q37,Q38,Q39)</f>
        <v>0</v>
      </c>
      <c r="R35" s="299">
        <f>SUM(R36,R37,R38,R39)</f>
        <v>0</v>
      </c>
      <c r="S35" s="299">
        <f>SUM(S36,S37,S38,S39)</f>
        <v>0</v>
      </c>
      <c r="T35" s="299">
        <f xml:space="preserve"> SUM(U35:X35)</f>
        <v>0</v>
      </c>
      <c r="U35" s="299">
        <v>0</v>
      </c>
      <c r="V35" s="299">
        <f>SUM(V36,V37,V38,V39)</f>
        <v>0</v>
      </c>
      <c r="W35" s="299">
        <f>SUM(W36,W37,W38,W39)</f>
        <v>0</v>
      </c>
      <c r="X35" s="299">
        <f>SUM(X36,X37,X38,X39)</f>
        <v>0</v>
      </c>
      <c r="Y35" s="299">
        <f xml:space="preserve"> SUM(Z35:AC35)</f>
        <v>0</v>
      </c>
      <c r="Z35" s="299">
        <v>0</v>
      </c>
      <c r="AA35" s="299">
        <f>SUM(AA36,AA37,AA38,AA39)</f>
        <v>0</v>
      </c>
      <c r="AB35" s="299">
        <f>SUM(AB36,AB37,AB38,AB39)</f>
        <v>0</v>
      </c>
      <c r="AC35" s="299">
        <f>SUM(AC36,AC37,AC38,AC39)</f>
        <v>0</v>
      </c>
      <c r="AD35" s="299">
        <f>E35+J35+O35+T35+Y35</f>
        <v>7384</v>
      </c>
    </row>
    <row r="36" spans="1:31" ht="139.5">
      <c r="A36" s="323" t="s">
        <v>151</v>
      </c>
      <c r="B36" s="330" t="s">
        <v>76</v>
      </c>
      <c r="C36" s="331" t="s">
        <v>94</v>
      </c>
      <c r="D36" s="322" t="s">
        <v>93</v>
      </c>
      <c r="E36" s="299">
        <f t="shared" ref="E36:E46" si="12">F36+G36+H36+I36</f>
        <v>9</v>
      </c>
      <c r="F36" s="299">
        <v>9</v>
      </c>
      <c r="G36" s="299">
        <v>0</v>
      </c>
      <c r="H36" s="299">
        <v>0</v>
      </c>
      <c r="I36" s="299">
        <v>0</v>
      </c>
      <c r="J36" s="299">
        <f t="shared" ref="J36:J46" si="13">K36+L36+M36+N36</f>
        <v>9</v>
      </c>
      <c r="K36" s="299">
        <v>9</v>
      </c>
      <c r="L36" s="299">
        <v>0</v>
      </c>
      <c r="M36" s="299">
        <v>0</v>
      </c>
      <c r="N36" s="299">
        <v>0</v>
      </c>
      <c r="O36" s="299">
        <f t="shared" ref="O36:O46" si="14">P36+Q36+R36+S36</f>
        <v>9</v>
      </c>
      <c r="P36" s="299">
        <v>9</v>
      </c>
      <c r="Q36" s="299">
        <v>0</v>
      </c>
      <c r="R36" s="299">
        <v>0</v>
      </c>
      <c r="S36" s="299">
        <v>0</v>
      </c>
      <c r="T36" s="299">
        <f t="shared" ref="T36:T46" si="15">U36+V36+W36+X36</f>
        <v>0</v>
      </c>
      <c r="U36" s="299">
        <v>0</v>
      </c>
      <c r="V36" s="299">
        <v>0</v>
      </c>
      <c r="W36" s="299">
        <v>0</v>
      </c>
      <c r="X36" s="299">
        <v>0</v>
      </c>
      <c r="Y36" s="299">
        <f t="shared" ref="Y36:Y46" si="16">Z36+AA36+AB36+AC36</f>
        <v>0</v>
      </c>
      <c r="Z36" s="299">
        <v>0</v>
      </c>
      <c r="AA36" s="299">
        <v>0</v>
      </c>
      <c r="AB36" s="299">
        <v>0</v>
      </c>
      <c r="AC36" s="299">
        <v>0</v>
      </c>
      <c r="AD36" s="299">
        <f t="shared" ref="AD36:AD52" si="17">E36+J36+O36+T36+Y36</f>
        <v>27</v>
      </c>
    </row>
    <row r="37" spans="1:31" ht="37.5">
      <c r="A37" s="323" t="s">
        <v>235</v>
      </c>
      <c r="B37" s="330" t="s">
        <v>71</v>
      </c>
      <c r="C37" s="322" t="s">
        <v>94</v>
      </c>
      <c r="D37" s="322" t="s">
        <v>168</v>
      </c>
      <c r="E37" s="299">
        <f t="shared" si="12"/>
        <v>426</v>
      </c>
      <c r="F37" s="299">
        <v>426</v>
      </c>
      <c r="G37" s="299">
        <v>0</v>
      </c>
      <c r="H37" s="299">
        <v>0</v>
      </c>
      <c r="I37" s="299">
        <v>0</v>
      </c>
      <c r="J37" s="299">
        <f t="shared" si="13"/>
        <v>0</v>
      </c>
      <c r="K37" s="299">
        <v>0</v>
      </c>
      <c r="L37" s="299">
        <v>0</v>
      </c>
      <c r="M37" s="299">
        <v>0</v>
      </c>
      <c r="N37" s="299">
        <v>0</v>
      </c>
      <c r="O37" s="299">
        <f t="shared" si="14"/>
        <v>0</v>
      </c>
      <c r="P37" s="299">
        <v>0</v>
      </c>
      <c r="Q37" s="299">
        <v>0</v>
      </c>
      <c r="R37" s="299">
        <v>0</v>
      </c>
      <c r="S37" s="299">
        <v>0</v>
      </c>
      <c r="T37" s="299">
        <f t="shared" si="15"/>
        <v>0</v>
      </c>
      <c r="U37" s="299">
        <v>0</v>
      </c>
      <c r="V37" s="299">
        <v>0</v>
      </c>
      <c r="W37" s="299">
        <v>0</v>
      </c>
      <c r="X37" s="299">
        <v>0</v>
      </c>
      <c r="Y37" s="299">
        <f t="shared" si="16"/>
        <v>0</v>
      </c>
      <c r="Z37" s="299">
        <v>0</v>
      </c>
      <c r="AA37" s="299">
        <v>0</v>
      </c>
      <c r="AB37" s="299">
        <v>0</v>
      </c>
      <c r="AC37" s="299">
        <v>0</v>
      </c>
      <c r="AD37" s="299">
        <f>E37+J37+O37+T37+Y37</f>
        <v>426</v>
      </c>
    </row>
    <row r="38" spans="1:31" ht="23.25">
      <c r="A38" s="323" t="s">
        <v>236</v>
      </c>
      <c r="B38" s="330" t="s">
        <v>110</v>
      </c>
      <c r="C38" s="685" t="s">
        <v>105</v>
      </c>
      <c r="D38" s="322" t="s">
        <v>93</v>
      </c>
      <c r="E38" s="299">
        <f t="shared" si="12"/>
        <v>3304</v>
      </c>
      <c r="F38" s="299">
        <v>3304</v>
      </c>
      <c r="G38" s="299">
        <v>0</v>
      </c>
      <c r="H38" s="299">
        <v>0</v>
      </c>
      <c r="I38" s="299">
        <v>0</v>
      </c>
      <c r="J38" s="299">
        <f t="shared" si="13"/>
        <v>3080</v>
      </c>
      <c r="K38" s="299">
        <f>3304-224</f>
        <v>3080</v>
      </c>
      <c r="L38" s="299">
        <v>0</v>
      </c>
      <c r="M38" s="299">
        <v>0</v>
      </c>
      <c r="N38" s="299">
        <v>0</v>
      </c>
      <c r="O38" s="299">
        <f t="shared" si="14"/>
        <v>2968</v>
      </c>
      <c r="P38" s="299">
        <v>2968</v>
      </c>
      <c r="Q38" s="299">
        <v>0</v>
      </c>
      <c r="R38" s="299">
        <v>0</v>
      </c>
      <c r="S38" s="299">
        <v>0</v>
      </c>
      <c r="T38" s="299">
        <f t="shared" si="15"/>
        <v>0</v>
      </c>
      <c r="U38" s="299">
        <v>0</v>
      </c>
      <c r="V38" s="299">
        <v>0</v>
      </c>
      <c r="W38" s="299">
        <v>0</v>
      </c>
      <c r="X38" s="299">
        <v>0</v>
      </c>
      <c r="Y38" s="299">
        <f t="shared" si="16"/>
        <v>0</v>
      </c>
      <c r="Z38" s="299">
        <v>0</v>
      </c>
      <c r="AA38" s="299">
        <v>0</v>
      </c>
      <c r="AB38" s="299">
        <v>0</v>
      </c>
      <c r="AC38" s="299">
        <v>0</v>
      </c>
      <c r="AD38" s="299">
        <f>E38+J38+O38+T38+Y38</f>
        <v>9352</v>
      </c>
    </row>
    <row r="39" spans="1:31" ht="93">
      <c r="A39" s="323" t="s">
        <v>237</v>
      </c>
      <c r="B39" s="330" t="s">
        <v>191</v>
      </c>
      <c r="C39" s="686"/>
      <c r="D39" s="322" t="s">
        <v>283</v>
      </c>
      <c r="E39" s="299">
        <f t="shared" si="12"/>
        <v>378</v>
      </c>
      <c r="F39" s="299">
        <v>378</v>
      </c>
      <c r="G39" s="299">
        <v>0</v>
      </c>
      <c r="H39" s="299">
        <v>0</v>
      </c>
      <c r="I39" s="299">
        <v>0</v>
      </c>
      <c r="J39" s="299">
        <f t="shared" si="13"/>
        <v>419</v>
      </c>
      <c r="K39" s="299">
        <f>324+95</f>
        <v>419</v>
      </c>
      <c r="L39" s="299">
        <v>0</v>
      </c>
      <c r="M39" s="299">
        <v>0</v>
      </c>
      <c r="N39" s="299">
        <v>0</v>
      </c>
      <c r="O39" s="299">
        <f t="shared" si="14"/>
        <v>495</v>
      </c>
      <c r="P39" s="299">
        <v>495</v>
      </c>
      <c r="Q39" s="299">
        <v>0</v>
      </c>
      <c r="R39" s="299">
        <v>0</v>
      </c>
      <c r="S39" s="299">
        <v>0</v>
      </c>
      <c r="T39" s="299">
        <f t="shared" si="15"/>
        <v>0</v>
      </c>
      <c r="U39" s="299">
        <v>0</v>
      </c>
      <c r="V39" s="299">
        <v>0</v>
      </c>
      <c r="W39" s="299">
        <v>0</v>
      </c>
      <c r="X39" s="299">
        <v>0</v>
      </c>
      <c r="Y39" s="299">
        <f t="shared" si="16"/>
        <v>0</v>
      </c>
      <c r="Z39" s="299">
        <v>0</v>
      </c>
      <c r="AA39" s="299">
        <v>0</v>
      </c>
      <c r="AB39" s="299">
        <v>0</v>
      </c>
      <c r="AC39" s="299">
        <v>0</v>
      </c>
      <c r="AD39" s="299">
        <f>E39+J39+O39+T39+Y39</f>
        <v>1292</v>
      </c>
    </row>
    <row r="40" spans="1:31" ht="93">
      <c r="A40" s="323" t="s">
        <v>238</v>
      </c>
      <c r="B40" s="330" t="s">
        <v>77</v>
      </c>
      <c r="C40" s="331" t="s">
        <v>94</v>
      </c>
      <c r="D40" s="322" t="s">
        <v>93</v>
      </c>
      <c r="E40" s="299">
        <f t="shared" si="12"/>
        <v>12</v>
      </c>
      <c r="F40" s="299">
        <v>12</v>
      </c>
      <c r="G40" s="299">
        <v>0</v>
      </c>
      <c r="H40" s="299">
        <v>0</v>
      </c>
      <c r="I40" s="299">
        <v>0</v>
      </c>
      <c r="J40" s="299">
        <f t="shared" si="13"/>
        <v>12</v>
      </c>
      <c r="K40" s="299">
        <v>12</v>
      </c>
      <c r="L40" s="299">
        <v>0</v>
      </c>
      <c r="M40" s="299">
        <v>0</v>
      </c>
      <c r="N40" s="299">
        <v>0</v>
      </c>
      <c r="O40" s="299">
        <f t="shared" si="14"/>
        <v>12</v>
      </c>
      <c r="P40" s="299">
        <v>12</v>
      </c>
      <c r="Q40" s="299">
        <v>0</v>
      </c>
      <c r="R40" s="299">
        <v>0</v>
      </c>
      <c r="S40" s="299">
        <v>0</v>
      </c>
      <c r="T40" s="299">
        <f t="shared" si="15"/>
        <v>0</v>
      </c>
      <c r="U40" s="299">
        <v>0</v>
      </c>
      <c r="V40" s="299">
        <v>0</v>
      </c>
      <c r="W40" s="299">
        <v>0</v>
      </c>
      <c r="X40" s="299">
        <v>0</v>
      </c>
      <c r="Y40" s="299">
        <f t="shared" si="16"/>
        <v>0</v>
      </c>
      <c r="Z40" s="299">
        <v>0</v>
      </c>
      <c r="AA40" s="299">
        <v>0</v>
      </c>
      <c r="AB40" s="299">
        <v>0</v>
      </c>
      <c r="AC40" s="299">
        <v>0</v>
      </c>
      <c r="AD40" s="299">
        <f t="shared" si="17"/>
        <v>36</v>
      </c>
    </row>
    <row r="41" spans="1:31" ht="93">
      <c r="A41" s="323" t="s">
        <v>239</v>
      </c>
      <c r="B41" s="330" t="s">
        <v>265</v>
      </c>
      <c r="C41" s="661" t="s">
        <v>105</v>
      </c>
      <c r="D41" s="322" t="s">
        <v>168</v>
      </c>
      <c r="E41" s="299">
        <f t="shared" si="12"/>
        <v>50</v>
      </c>
      <c r="F41" s="299">
        <v>50</v>
      </c>
      <c r="G41" s="299">
        <v>0</v>
      </c>
      <c r="H41" s="299">
        <v>0</v>
      </c>
      <c r="I41" s="299">
        <v>0</v>
      </c>
      <c r="J41" s="299">
        <f t="shared" si="13"/>
        <v>0</v>
      </c>
      <c r="K41" s="299">
        <v>0</v>
      </c>
      <c r="L41" s="299">
        <v>0</v>
      </c>
      <c r="M41" s="299">
        <v>0</v>
      </c>
      <c r="N41" s="299">
        <v>0</v>
      </c>
      <c r="O41" s="299">
        <f t="shared" si="14"/>
        <v>0</v>
      </c>
      <c r="P41" s="299">
        <v>0</v>
      </c>
      <c r="Q41" s="299">
        <v>0</v>
      </c>
      <c r="R41" s="299">
        <v>0</v>
      </c>
      <c r="S41" s="299">
        <v>0</v>
      </c>
      <c r="T41" s="299">
        <f t="shared" si="15"/>
        <v>0</v>
      </c>
      <c r="U41" s="299">
        <v>0</v>
      </c>
      <c r="V41" s="299">
        <v>0</v>
      </c>
      <c r="W41" s="299">
        <v>0</v>
      </c>
      <c r="X41" s="299">
        <v>0</v>
      </c>
      <c r="Y41" s="299">
        <f t="shared" si="16"/>
        <v>0</v>
      </c>
      <c r="Z41" s="299">
        <v>0</v>
      </c>
      <c r="AA41" s="299">
        <v>0</v>
      </c>
      <c r="AB41" s="299">
        <v>0</v>
      </c>
      <c r="AC41" s="299">
        <v>0</v>
      </c>
      <c r="AD41" s="299">
        <f t="shared" si="17"/>
        <v>50</v>
      </c>
    </row>
    <row r="42" spans="1:31" ht="69.75">
      <c r="A42" s="323" t="s">
        <v>240</v>
      </c>
      <c r="B42" s="330" t="s">
        <v>111</v>
      </c>
      <c r="C42" s="662"/>
      <c r="D42" s="322" t="s">
        <v>168</v>
      </c>
      <c r="E42" s="299">
        <f t="shared" si="12"/>
        <v>50</v>
      </c>
      <c r="F42" s="299">
        <v>50</v>
      </c>
      <c r="G42" s="299">
        <v>0</v>
      </c>
      <c r="H42" s="299">
        <v>0</v>
      </c>
      <c r="I42" s="299">
        <v>0</v>
      </c>
      <c r="J42" s="299">
        <f t="shared" si="13"/>
        <v>50</v>
      </c>
      <c r="K42" s="299">
        <v>50</v>
      </c>
      <c r="L42" s="299">
        <v>0</v>
      </c>
      <c r="M42" s="299">
        <v>0</v>
      </c>
      <c r="N42" s="299">
        <v>0</v>
      </c>
      <c r="O42" s="299">
        <f t="shared" si="14"/>
        <v>50</v>
      </c>
      <c r="P42" s="299">
        <v>50</v>
      </c>
      <c r="Q42" s="299">
        <v>0</v>
      </c>
      <c r="R42" s="299">
        <v>0</v>
      </c>
      <c r="S42" s="299">
        <v>0</v>
      </c>
      <c r="T42" s="299">
        <f t="shared" si="15"/>
        <v>0</v>
      </c>
      <c r="U42" s="299">
        <v>0</v>
      </c>
      <c r="V42" s="299">
        <v>0</v>
      </c>
      <c r="W42" s="299">
        <v>0</v>
      </c>
      <c r="X42" s="299">
        <v>0</v>
      </c>
      <c r="Y42" s="299">
        <f t="shared" si="16"/>
        <v>0</v>
      </c>
      <c r="Z42" s="299">
        <v>0</v>
      </c>
      <c r="AA42" s="299">
        <v>0</v>
      </c>
      <c r="AB42" s="299">
        <v>0</v>
      </c>
      <c r="AC42" s="299">
        <v>0</v>
      </c>
      <c r="AD42" s="299">
        <f t="shared" si="17"/>
        <v>150</v>
      </c>
    </row>
    <row r="43" spans="1:31" ht="93">
      <c r="A43" s="323" t="s">
        <v>241</v>
      </c>
      <c r="B43" s="330" t="s">
        <v>112</v>
      </c>
      <c r="C43" s="662"/>
      <c r="D43" s="322" t="s">
        <v>93</v>
      </c>
      <c r="E43" s="299">
        <f t="shared" si="12"/>
        <v>810</v>
      </c>
      <c r="F43" s="299">
        <f>480+330</f>
        <v>810</v>
      </c>
      <c r="G43" s="299">
        <v>0</v>
      </c>
      <c r="H43" s="299">
        <v>0</v>
      </c>
      <c r="I43" s="299">
        <v>0</v>
      </c>
      <c r="J43" s="299">
        <f>K43+L43+M43+N43</f>
        <v>770</v>
      </c>
      <c r="K43" s="299">
        <f>720+50</f>
        <v>770</v>
      </c>
      <c r="L43" s="299">
        <v>0</v>
      </c>
      <c r="M43" s="299">
        <v>0</v>
      </c>
      <c r="N43" s="299">
        <v>0</v>
      </c>
      <c r="O43" s="299">
        <f t="shared" si="14"/>
        <v>720</v>
      </c>
      <c r="P43" s="299">
        <v>720</v>
      </c>
      <c r="Q43" s="299">
        <v>0</v>
      </c>
      <c r="R43" s="299">
        <v>0</v>
      </c>
      <c r="S43" s="299">
        <v>0</v>
      </c>
      <c r="T43" s="299">
        <f t="shared" si="15"/>
        <v>0</v>
      </c>
      <c r="U43" s="299">
        <v>0</v>
      </c>
      <c r="V43" s="299">
        <v>0</v>
      </c>
      <c r="W43" s="299">
        <v>0</v>
      </c>
      <c r="X43" s="299">
        <v>0</v>
      </c>
      <c r="Y43" s="299">
        <f t="shared" si="16"/>
        <v>0</v>
      </c>
      <c r="Z43" s="299">
        <v>0</v>
      </c>
      <c r="AA43" s="299">
        <v>0</v>
      </c>
      <c r="AB43" s="299">
        <v>0</v>
      </c>
      <c r="AC43" s="299">
        <v>0</v>
      </c>
      <c r="AD43" s="299">
        <f>E43+J43+O43+T43+Y43</f>
        <v>2300</v>
      </c>
    </row>
    <row r="44" spans="1:31" ht="116.25">
      <c r="A44" s="348" t="s">
        <v>242</v>
      </c>
      <c r="B44" s="330" t="s">
        <v>113</v>
      </c>
      <c r="C44" s="662"/>
      <c r="D44" s="322" t="s">
        <v>168</v>
      </c>
      <c r="E44" s="299">
        <f t="shared" si="12"/>
        <v>30</v>
      </c>
      <c r="F44" s="299">
        <v>30</v>
      </c>
      <c r="G44" s="299">
        <v>0</v>
      </c>
      <c r="H44" s="299">
        <v>0</v>
      </c>
      <c r="I44" s="299">
        <v>0</v>
      </c>
      <c r="J44" s="299">
        <f t="shared" si="13"/>
        <v>10</v>
      </c>
      <c r="K44" s="299">
        <v>10</v>
      </c>
      <c r="L44" s="299">
        <v>0</v>
      </c>
      <c r="M44" s="299">
        <v>0</v>
      </c>
      <c r="N44" s="299">
        <v>0</v>
      </c>
      <c r="O44" s="299">
        <f t="shared" si="14"/>
        <v>10</v>
      </c>
      <c r="P44" s="299">
        <v>10</v>
      </c>
      <c r="Q44" s="299">
        <v>0</v>
      </c>
      <c r="R44" s="299">
        <v>0</v>
      </c>
      <c r="S44" s="299">
        <v>0</v>
      </c>
      <c r="T44" s="299">
        <f t="shared" si="15"/>
        <v>0</v>
      </c>
      <c r="U44" s="299">
        <v>0</v>
      </c>
      <c r="V44" s="299">
        <v>0</v>
      </c>
      <c r="W44" s="299">
        <v>0</v>
      </c>
      <c r="X44" s="299">
        <v>0</v>
      </c>
      <c r="Y44" s="299">
        <f t="shared" si="16"/>
        <v>0</v>
      </c>
      <c r="Z44" s="299">
        <v>0</v>
      </c>
      <c r="AA44" s="299">
        <v>0</v>
      </c>
      <c r="AB44" s="299">
        <v>0</v>
      </c>
      <c r="AC44" s="299">
        <v>0</v>
      </c>
      <c r="AD44" s="299">
        <f t="shared" si="17"/>
        <v>50</v>
      </c>
    </row>
    <row r="45" spans="1:31" ht="69.75">
      <c r="A45" s="323" t="s">
        <v>243</v>
      </c>
      <c r="B45" s="330" t="s">
        <v>114</v>
      </c>
      <c r="C45" s="663"/>
      <c r="D45" s="322" t="s">
        <v>168</v>
      </c>
      <c r="E45" s="299">
        <f t="shared" si="12"/>
        <v>50</v>
      </c>
      <c r="F45" s="299">
        <v>50</v>
      </c>
      <c r="G45" s="299">
        <v>0</v>
      </c>
      <c r="H45" s="299">
        <v>0</v>
      </c>
      <c r="I45" s="299">
        <v>0</v>
      </c>
      <c r="J45" s="299">
        <f t="shared" si="13"/>
        <v>50</v>
      </c>
      <c r="K45" s="299">
        <v>50</v>
      </c>
      <c r="L45" s="299">
        <v>0</v>
      </c>
      <c r="M45" s="299">
        <v>0</v>
      </c>
      <c r="N45" s="299">
        <v>0</v>
      </c>
      <c r="O45" s="299">
        <f t="shared" si="14"/>
        <v>100</v>
      </c>
      <c r="P45" s="299">
        <v>100</v>
      </c>
      <c r="Q45" s="299">
        <v>0</v>
      </c>
      <c r="R45" s="299">
        <v>0</v>
      </c>
      <c r="S45" s="299">
        <v>0</v>
      </c>
      <c r="T45" s="299">
        <f t="shared" si="15"/>
        <v>0</v>
      </c>
      <c r="U45" s="299">
        <v>0</v>
      </c>
      <c r="V45" s="299">
        <v>0</v>
      </c>
      <c r="W45" s="299">
        <v>0</v>
      </c>
      <c r="X45" s="299">
        <v>0</v>
      </c>
      <c r="Y45" s="299">
        <f t="shared" si="16"/>
        <v>0</v>
      </c>
      <c r="Z45" s="299">
        <v>0</v>
      </c>
      <c r="AA45" s="299">
        <v>0</v>
      </c>
      <c r="AB45" s="299">
        <v>0</v>
      </c>
      <c r="AC45" s="299">
        <v>0</v>
      </c>
      <c r="AD45" s="299">
        <f t="shared" si="17"/>
        <v>200</v>
      </c>
    </row>
    <row r="46" spans="1:31" ht="69.75">
      <c r="A46" s="323" t="s">
        <v>244</v>
      </c>
      <c r="B46" s="330" t="s">
        <v>78</v>
      </c>
      <c r="C46" s="322" t="s">
        <v>18</v>
      </c>
      <c r="D46" s="322" t="s">
        <v>93</v>
      </c>
      <c r="E46" s="299">
        <f t="shared" si="12"/>
        <v>96</v>
      </c>
      <c r="F46" s="299">
        <f>96</f>
        <v>96</v>
      </c>
      <c r="G46" s="299">
        <v>0</v>
      </c>
      <c r="H46" s="299">
        <v>0</v>
      </c>
      <c r="I46" s="299">
        <v>0</v>
      </c>
      <c r="J46" s="299">
        <f t="shared" si="13"/>
        <v>43</v>
      </c>
      <c r="K46" s="299">
        <f>68-25</f>
        <v>43</v>
      </c>
      <c r="L46" s="299">
        <v>0</v>
      </c>
      <c r="M46" s="299">
        <v>0</v>
      </c>
      <c r="N46" s="299">
        <v>0</v>
      </c>
      <c r="O46" s="299">
        <f t="shared" si="14"/>
        <v>53</v>
      </c>
      <c r="P46" s="299">
        <v>53</v>
      </c>
      <c r="Q46" s="299">
        <v>0</v>
      </c>
      <c r="R46" s="299">
        <v>0</v>
      </c>
      <c r="S46" s="299">
        <v>0</v>
      </c>
      <c r="T46" s="299">
        <f t="shared" si="15"/>
        <v>0</v>
      </c>
      <c r="U46" s="299">
        <v>0</v>
      </c>
      <c r="V46" s="299">
        <v>0</v>
      </c>
      <c r="W46" s="299">
        <v>0</v>
      </c>
      <c r="X46" s="299">
        <v>0</v>
      </c>
      <c r="Y46" s="299">
        <f t="shared" si="16"/>
        <v>0</v>
      </c>
      <c r="Z46" s="299">
        <v>0</v>
      </c>
      <c r="AA46" s="299">
        <v>0</v>
      </c>
      <c r="AB46" s="299">
        <v>0</v>
      </c>
      <c r="AC46" s="299">
        <v>0</v>
      </c>
      <c r="AD46" s="299">
        <f t="shared" si="17"/>
        <v>192</v>
      </c>
    </row>
    <row r="47" spans="1:31" ht="93">
      <c r="A47" s="323" t="s">
        <v>245</v>
      </c>
      <c r="B47" s="330" t="s">
        <v>145</v>
      </c>
      <c r="C47" s="322" t="s">
        <v>94</v>
      </c>
      <c r="D47" s="322" t="s">
        <v>93</v>
      </c>
      <c r="E47" s="299">
        <f>F47+G47+H47+I47</f>
        <v>28325</v>
      </c>
      <c r="F47" s="299">
        <f>6567-902</f>
        <v>5665</v>
      </c>
      <c r="G47" s="299">
        <f>26268-3608</f>
        <v>22660</v>
      </c>
      <c r="H47" s="299">
        <v>0</v>
      </c>
      <c r="I47" s="299">
        <v>0</v>
      </c>
      <c r="J47" s="299">
        <f>K47+L47+M47+N47</f>
        <v>4455</v>
      </c>
      <c r="K47" s="299">
        <f>550+341</f>
        <v>891</v>
      </c>
      <c r="L47" s="299">
        <v>3564</v>
      </c>
      <c r="M47" s="299">
        <v>0</v>
      </c>
      <c r="N47" s="299">
        <v>0</v>
      </c>
      <c r="O47" s="299">
        <f>P47+Q47+R47+S47</f>
        <v>550</v>
      </c>
      <c r="P47" s="299">
        <v>550</v>
      </c>
      <c r="Q47" s="299">
        <v>0</v>
      </c>
      <c r="R47" s="299">
        <v>0</v>
      </c>
      <c r="S47" s="299">
        <v>0</v>
      </c>
      <c r="T47" s="299">
        <f>U47+V47+W47+X47</f>
        <v>0</v>
      </c>
      <c r="U47" s="299">
        <v>0</v>
      </c>
      <c r="V47" s="299">
        <v>0</v>
      </c>
      <c r="W47" s="299">
        <v>0</v>
      </c>
      <c r="X47" s="299">
        <v>0</v>
      </c>
      <c r="Y47" s="299">
        <f>Z47+AA47+AB47+AC47</f>
        <v>0</v>
      </c>
      <c r="Z47" s="299">
        <v>0</v>
      </c>
      <c r="AA47" s="299">
        <v>0</v>
      </c>
      <c r="AB47" s="299">
        <v>0</v>
      </c>
      <c r="AC47" s="299">
        <v>0</v>
      </c>
      <c r="AD47" s="299">
        <f t="shared" si="17"/>
        <v>33330</v>
      </c>
      <c r="AE47" s="349"/>
    </row>
    <row r="48" spans="1:31" ht="46.5">
      <c r="A48" s="350" t="s">
        <v>246</v>
      </c>
      <c r="B48" s="351" t="s">
        <v>87</v>
      </c>
      <c r="C48" s="442" t="s">
        <v>52</v>
      </c>
      <c r="D48" s="322" t="s">
        <v>310</v>
      </c>
      <c r="E48" s="299">
        <f>F48+G48+H48+I48</f>
        <v>384.8</v>
      </c>
      <c r="F48" s="299">
        <f>387-2.2</f>
        <v>384.8</v>
      </c>
      <c r="G48" s="299">
        <v>0</v>
      </c>
      <c r="H48" s="299">
        <v>0</v>
      </c>
      <c r="I48" s="299">
        <v>0</v>
      </c>
      <c r="J48" s="299">
        <f>K48+L48+M48+N48</f>
        <v>362.1</v>
      </c>
      <c r="K48" s="299">
        <f>387-24.9</f>
        <v>362.1</v>
      </c>
      <c r="L48" s="299">
        <v>0</v>
      </c>
      <c r="M48" s="299">
        <v>0</v>
      </c>
      <c r="N48" s="299">
        <v>0</v>
      </c>
      <c r="O48" s="299">
        <v>387</v>
      </c>
      <c r="P48" s="299">
        <v>387</v>
      </c>
      <c r="Q48" s="299">
        <v>0</v>
      </c>
      <c r="R48" s="299">
        <v>0</v>
      </c>
      <c r="S48" s="299">
        <v>0</v>
      </c>
      <c r="T48" s="299">
        <f>U48+V48+W48+X48</f>
        <v>0</v>
      </c>
      <c r="U48" s="299">
        <v>0</v>
      </c>
      <c r="V48" s="299">
        <v>0</v>
      </c>
      <c r="W48" s="299">
        <v>0</v>
      </c>
      <c r="X48" s="299">
        <v>0</v>
      </c>
      <c r="Y48" s="299">
        <f>Z48+AA48+AB48+AC48</f>
        <v>0</v>
      </c>
      <c r="Z48" s="299">
        <v>0</v>
      </c>
      <c r="AA48" s="299">
        <v>0</v>
      </c>
      <c r="AB48" s="299">
        <v>0</v>
      </c>
      <c r="AC48" s="299">
        <v>0</v>
      </c>
      <c r="AD48" s="299">
        <f t="shared" si="17"/>
        <v>1133.9000000000001</v>
      </c>
    </row>
    <row r="49" spans="1:32" ht="75">
      <c r="A49" s="350" t="s">
        <v>247</v>
      </c>
      <c r="B49" s="351" t="s">
        <v>132</v>
      </c>
      <c r="C49" s="442" t="s">
        <v>147</v>
      </c>
      <c r="D49" s="325">
        <v>2020</v>
      </c>
      <c r="E49" s="299">
        <f>F49+G49+H49+I49</f>
        <v>1248</v>
      </c>
      <c r="F49" s="299">
        <f>1248</f>
        <v>1248</v>
      </c>
      <c r="G49" s="299">
        <v>0</v>
      </c>
      <c r="H49" s="299">
        <v>0</v>
      </c>
      <c r="I49" s="299">
        <v>0</v>
      </c>
      <c r="J49" s="299">
        <f>K49+L49+M49+N49</f>
        <v>0</v>
      </c>
      <c r="K49" s="299">
        <v>0</v>
      </c>
      <c r="L49" s="299">
        <v>0</v>
      </c>
      <c r="M49" s="299">
        <v>0</v>
      </c>
      <c r="N49" s="299">
        <v>0</v>
      </c>
      <c r="O49" s="299">
        <f>P49+Q49+R49+S49</f>
        <v>0</v>
      </c>
      <c r="P49" s="299">
        <v>0</v>
      </c>
      <c r="Q49" s="299">
        <v>0</v>
      </c>
      <c r="R49" s="299">
        <v>0</v>
      </c>
      <c r="S49" s="299">
        <v>0</v>
      </c>
      <c r="T49" s="299">
        <f>U49+V49+W49+X49</f>
        <v>0</v>
      </c>
      <c r="U49" s="299">
        <v>0</v>
      </c>
      <c r="V49" s="299">
        <v>0</v>
      </c>
      <c r="W49" s="299">
        <v>0</v>
      </c>
      <c r="X49" s="299">
        <v>0</v>
      </c>
      <c r="Y49" s="299">
        <f>Z49+AA49+AB49+AC49</f>
        <v>0</v>
      </c>
      <c r="Z49" s="299">
        <v>0</v>
      </c>
      <c r="AA49" s="299">
        <v>0</v>
      </c>
      <c r="AB49" s="299">
        <v>0</v>
      </c>
      <c r="AC49" s="299">
        <v>0</v>
      </c>
      <c r="AD49" s="299">
        <f t="shared" si="17"/>
        <v>1248</v>
      </c>
    </row>
    <row r="50" spans="1:32" ht="23.25">
      <c r="A50" s="642" t="s">
        <v>315</v>
      </c>
      <c r="B50" s="643"/>
      <c r="C50" s="644"/>
      <c r="D50" s="347"/>
      <c r="E50" s="326">
        <f t="shared" ref="E50:K50" si="18">E51+E52</f>
        <v>38121.800000000003</v>
      </c>
      <c r="F50" s="326">
        <f t="shared" si="18"/>
        <v>15461.8</v>
      </c>
      <c r="G50" s="326">
        <f t="shared" si="18"/>
        <v>22660</v>
      </c>
      <c r="H50" s="326">
        <f t="shared" si="18"/>
        <v>0</v>
      </c>
      <c r="I50" s="326">
        <f t="shared" si="18"/>
        <v>0</v>
      </c>
      <c r="J50" s="326">
        <f>J52+J51</f>
        <v>11573.1</v>
      </c>
      <c r="K50" s="326">
        <f t="shared" si="18"/>
        <v>8009.1</v>
      </c>
      <c r="L50" s="326">
        <f>SUM(L35,L36:L48)</f>
        <v>3564</v>
      </c>
      <c r="M50" s="326">
        <f>SUM(M35,M36:M48)</f>
        <v>0</v>
      </c>
      <c r="N50" s="326">
        <f>SUM(N35,N36:N48)</f>
        <v>0</v>
      </c>
      <c r="O50" s="326">
        <f>O51+O52</f>
        <v>7476</v>
      </c>
      <c r="P50" s="326">
        <f>P51+P52</f>
        <v>7476</v>
      </c>
      <c r="Q50" s="326">
        <f>SUM(Q35,Q36:Q48)</f>
        <v>0</v>
      </c>
      <c r="R50" s="326">
        <f>SUM(R35,R36:R48)</f>
        <v>0</v>
      </c>
      <c r="S50" s="326">
        <f>SUM(S35,S36:S48)</f>
        <v>0</v>
      </c>
      <c r="T50" s="326">
        <f>T51+T52</f>
        <v>0</v>
      </c>
      <c r="U50" s="326">
        <f>U51+U52</f>
        <v>0</v>
      </c>
      <c r="V50" s="326">
        <f>SUM(V35,V36:V48)</f>
        <v>0</v>
      </c>
      <c r="W50" s="326">
        <f>SUM(W35,W36:W48)</f>
        <v>0</v>
      </c>
      <c r="X50" s="326">
        <f>SUM(X35,X36:X48)</f>
        <v>0</v>
      </c>
      <c r="Y50" s="326">
        <f>Y51+Y52</f>
        <v>0</v>
      </c>
      <c r="Z50" s="326">
        <f>Z51+Z52</f>
        <v>0</v>
      </c>
      <c r="AA50" s="326">
        <f>SUM(AA35,AA36:AA48)</f>
        <v>0</v>
      </c>
      <c r="AB50" s="326">
        <f>SUM(AB35,AB36:AB48)</f>
        <v>0</v>
      </c>
      <c r="AC50" s="326">
        <f>SUM(AC35,AC36:AC48)</f>
        <v>0</v>
      </c>
      <c r="AD50" s="326">
        <f t="shared" si="17"/>
        <v>57170.9</v>
      </c>
    </row>
    <row r="51" spans="1:32" ht="23.25">
      <c r="A51" s="338" t="s">
        <v>73</v>
      </c>
      <c r="B51" s="338"/>
      <c r="C51" s="436"/>
      <c r="D51" s="445"/>
      <c r="E51" s="353">
        <f t="shared" ref="E51:AC51" si="19">E48</f>
        <v>384.8</v>
      </c>
      <c r="F51" s="353">
        <f t="shared" si="19"/>
        <v>384.8</v>
      </c>
      <c r="G51" s="353">
        <v>0</v>
      </c>
      <c r="H51" s="353">
        <f t="shared" si="19"/>
        <v>0</v>
      </c>
      <c r="I51" s="353">
        <f t="shared" si="19"/>
        <v>0</v>
      </c>
      <c r="J51" s="353">
        <f t="shared" si="19"/>
        <v>362.1</v>
      </c>
      <c r="K51" s="353">
        <f t="shared" si="19"/>
        <v>362.1</v>
      </c>
      <c r="L51" s="353">
        <f t="shared" si="19"/>
        <v>0</v>
      </c>
      <c r="M51" s="353">
        <f t="shared" si="19"/>
        <v>0</v>
      </c>
      <c r="N51" s="353">
        <f t="shared" si="19"/>
        <v>0</v>
      </c>
      <c r="O51" s="353">
        <f t="shared" si="19"/>
        <v>387</v>
      </c>
      <c r="P51" s="353">
        <f t="shared" si="19"/>
        <v>387</v>
      </c>
      <c r="Q51" s="353">
        <f t="shared" si="19"/>
        <v>0</v>
      </c>
      <c r="R51" s="353">
        <f t="shared" si="19"/>
        <v>0</v>
      </c>
      <c r="S51" s="353">
        <f t="shared" si="19"/>
        <v>0</v>
      </c>
      <c r="T51" s="353">
        <f t="shared" si="19"/>
        <v>0</v>
      </c>
      <c r="U51" s="353">
        <f t="shared" si="19"/>
        <v>0</v>
      </c>
      <c r="V51" s="353">
        <f t="shared" si="19"/>
        <v>0</v>
      </c>
      <c r="W51" s="353">
        <f t="shared" si="19"/>
        <v>0</v>
      </c>
      <c r="X51" s="353">
        <f t="shared" si="19"/>
        <v>0</v>
      </c>
      <c r="Y51" s="353">
        <f t="shared" si="19"/>
        <v>0</v>
      </c>
      <c r="Z51" s="353">
        <f t="shared" si="19"/>
        <v>0</v>
      </c>
      <c r="AA51" s="353">
        <f t="shared" si="19"/>
        <v>0</v>
      </c>
      <c r="AB51" s="353">
        <f t="shared" si="19"/>
        <v>0</v>
      </c>
      <c r="AC51" s="353">
        <f t="shared" si="19"/>
        <v>0</v>
      </c>
      <c r="AD51" s="354">
        <f t="shared" si="17"/>
        <v>1133.9000000000001</v>
      </c>
    </row>
    <row r="52" spans="1:32" ht="23.25">
      <c r="A52" s="338" t="s">
        <v>135</v>
      </c>
      <c r="B52" s="338"/>
      <c r="C52" s="436"/>
      <c r="D52" s="445"/>
      <c r="E52" s="299">
        <f>E35+E36+E37+E38+E39+E40+E41+E42+E43+E44+E45+E46+E47+E49</f>
        <v>37737</v>
      </c>
      <c r="F52" s="299">
        <f>F35+F36+F37+F38+F39+F40+F41+F42+F43+F44+F45+F46+F47+F49</f>
        <v>15077</v>
      </c>
      <c r="G52" s="299">
        <v>22660</v>
      </c>
      <c r="H52" s="299">
        <f>0</f>
        <v>0</v>
      </c>
      <c r="I52" s="299">
        <v>0</v>
      </c>
      <c r="J52" s="299">
        <f>J35+J36+J37+J38+J39+J40+J41+J42+J43+J44+J45+J46+J47+J49</f>
        <v>11211</v>
      </c>
      <c r="K52" s="299">
        <f>K35+K36+K37+K38+K39+K40+K41+K42+K43+K44+K45+K46+K47+K49</f>
        <v>7647</v>
      </c>
      <c r="L52" s="299">
        <v>0</v>
      </c>
      <c r="M52" s="299">
        <v>0</v>
      </c>
      <c r="N52" s="299">
        <v>0</v>
      </c>
      <c r="O52" s="299">
        <f>O35+O36+O37+O38+O39+O40+O42+O41+O43+O44+O45+O46+O47+O49</f>
        <v>7089</v>
      </c>
      <c r="P52" s="299">
        <f>P35+P36+P37+P38+P39+P40+P41+P42+P43+P44+P45+P46+P47+P49</f>
        <v>7089</v>
      </c>
      <c r="Q52" s="299">
        <v>0</v>
      </c>
      <c r="R52" s="299">
        <v>0</v>
      </c>
      <c r="S52" s="299">
        <v>0</v>
      </c>
      <c r="T52" s="299">
        <f>T35+T36+T37+T38+T39+T40+T41+T42+T43+T44+T45+T46+T47+T49</f>
        <v>0</v>
      </c>
      <c r="U52" s="299">
        <f>U35+U36+U37+U38+U39+U40+U41+U42+U43+U44+U45+U46+U47+U49</f>
        <v>0</v>
      </c>
      <c r="V52" s="299">
        <v>0</v>
      </c>
      <c r="W52" s="299">
        <v>0</v>
      </c>
      <c r="X52" s="299">
        <v>0</v>
      </c>
      <c r="Y52" s="299">
        <f>Y35+Y36+Y37+Y38+Y39+Y40+Y41+Y42+Y43+Y44+Y45+Y46+Y47+Y49</f>
        <v>0</v>
      </c>
      <c r="Z52" s="299">
        <f>Z35+Z36+Z37+Z38+Z39+Z40+Z41+Z42+Z43+Z44+Z45+Z46+Z47+Z49</f>
        <v>0</v>
      </c>
      <c r="AA52" s="299">
        <v>0</v>
      </c>
      <c r="AB52" s="299">
        <v>0</v>
      </c>
      <c r="AC52" s="299">
        <v>0</v>
      </c>
      <c r="AD52" s="299">
        <f t="shared" si="17"/>
        <v>56037</v>
      </c>
    </row>
    <row r="53" spans="1:32" ht="23.25" customHeight="1">
      <c r="A53" s="322" t="s">
        <v>223</v>
      </c>
      <c r="B53" s="639" t="s">
        <v>248</v>
      </c>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1"/>
    </row>
    <row r="54" spans="1:32" ht="63" customHeight="1">
      <c r="A54" s="323" t="s">
        <v>27</v>
      </c>
      <c r="B54" s="330" t="s">
        <v>120</v>
      </c>
      <c r="C54" s="322" t="s">
        <v>94</v>
      </c>
      <c r="D54" s="322" t="s">
        <v>93</v>
      </c>
      <c r="E54" s="299">
        <f>F54+G54+H54+I54</f>
        <v>700</v>
      </c>
      <c r="F54" s="299">
        <f>700</f>
        <v>700</v>
      </c>
      <c r="G54" s="299">
        <v>0</v>
      </c>
      <c r="H54" s="299">
        <v>0</v>
      </c>
      <c r="I54" s="299">
        <v>0</v>
      </c>
      <c r="J54" s="299">
        <f>K54+L54+M54+N54</f>
        <v>498</v>
      </c>
      <c r="K54" s="299">
        <f>600-102</f>
        <v>498</v>
      </c>
      <c r="L54" s="299">
        <v>0</v>
      </c>
      <c r="M54" s="299">
        <v>0</v>
      </c>
      <c r="N54" s="299">
        <v>0</v>
      </c>
      <c r="O54" s="299">
        <f>P54+Q54+R54+S54</f>
        <v>554</v>
      </c>
      <c r="P54" s="299">
        <f>600-46</f>
        <v>554</v>
      </c>
      <c r="Q54" s="299">
        <v>0</v>
      </c>
      <c r="R54" s="299">
        <v>0</v>
      </c>
      <c r="S54" s="299">
        <v>0</v>
      </c>
      <c r="T54" s="299">
        <f>U54+V54+W54+X54</f>
        <v>0</v>
      </c>
      <c r="U54" s="299">
        <v>0</v>
      </c>
      <c r="V54" s="299">
        <v>0</v>
      </c>
      <c r="W54" s="299">
        <v>0</v>
      </c>
      <c r="X54" s="299">
        <v>0</v>
      </c>
      <c r="Y54" s="299">
        <f>Z54+AA54+AB54+AC54</f>
        <v>0</v>
      </c>
      <c r="Z54" s="299">
        <v>0</v>
      </c>
      <c r="AA54" s="299">
        <v>0</v>
      </c>
      <c r="AB54" s="299">
        <v>0</v>
      </c>
      <c r="AC54" s="299">
        <v>0</v>
      </c>
      <c r="AD54" s="299">
        <f>E54+J54+O54+T54+Y54</f>
        <v>1752</v>
      </c>
    </row>
    <row r="55" spans="1:32" ht="23.25">
      <c r="A55" s="642" t="s">
        <v>316</v>
      </c>
      <c r="B55" s="643"/>
      <c r="C55" s="644"/>
      <c r="D55" s="347"/>
      <c r="E55" s="326">
        <f t="shared" ref="E55:AD55" si="20">SUM(E54:E54)</f>
        <v>700</v>
      </c>
      <c r="F55" s="326">
        <f>SUM(F54)</f>
        <v>700</v>
      </c>
      <c r="G55" s="326">
        <f t="shared" si="20"/>
        <v>0</v>
      </c>
      <c r="H55" s="326">
        <f t="shared" si="20"/>
        <v>0</v>
      </c>
      <c r="I55" s="326">
        <f t="shared" si="20"/>
        <v>0</v>
      </c>
      <c r="J55" s="326">
        <f>J54</f>
        <v>498</v>
      </c>
      <c r="K55" s="326">
        <f t="shared" si="20"/>
        <v>498</v>
      </c>
      <c r="L55" s="326">
        <f t="shared" si="20"/>
        <v>0</v>
      </c>
      <c r="M55" s="326">
        <f t="shared" si="20"/>
        <v>0</v>
      </c>
      <c r="N55" s="326">
        <f t="shared" si="20"/>
        <v>0</v>
      </c>
      <c r="O55" s="326">
        <f t="shared" si="20"/>
        <v>554</v>
      </c>
      <c r="P55" s="326">
        <f t="shared" si="20"/>
        <v>554</v>
      </c>
      <c r="Q55" s="326">
        <f t="shared" si="20"/>
        <v>0</v>
      </c>
      <c r="R55" s="326">
        <f t="shared" si="20"/>
        <v>0</v>
      </c>
      <c r="S55" s="326">
        <f t="shared" si="20"/>
        <v>0</v>
      </c>
      <c r="T55" s="326">
        <f t="shared" si="20"/>
        <v>0</v>
      </c>
      <c r="U55" s="326">
        <f t="shared" si="20"/>
        <v>0</v>
      </c>
      <c r="V55" s="326">
        <f t="shared" si="20"/>
        <v>0</v>
      </c>
      <c r="W55" s="326">
        <f t="shared" si="20"/>
        <v>0</v>
      </c>
      <c r="X55" s="326">
        <f t="shared" si="20"/>
        <v>0</v>
      </c>
      <c r="Y55" s="326">
        <f t="shared" si="20"/>
        <v>0</v>
      </c>
      <c r="Z55" s="326">
        <f t="shared" si="20"/>
        <v>0</v>
      </c>
      <c r="AA55" s="326">
        <f t="shared" si="20"/>
        <v>0</v>
      </c>
      <c r="AB55" s="326">
        <f t="shared" si="20"/>
        <v>0</v>
      </c>
      <c r="AC55" s="326">
        <f t="shared" si="20"/>
        <v>0</v>
      </c>
      <c r="AD55" s="326">
        <f t="shared" si="20"/>
        <v>1752</v>
      </c>
    </row>
    <row r="56" spans="1:32" ht="23.25" customHeight="1">
      <c r="A56" s="322" t="s">
        <v>249</v>
      </c>
      <c r="B56" s="639" t="s">
        <v>250</v>
      </c>
      <c r="C56" s="640"/>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1"/>
    </row>
    <row r="57" spans="1:32" ht="111" customHeight="1">
      <c r="A57" s="648" t="s">
        <v>46</v>
      </c>
      <c r="B57" s="650" t="s">
        <v>291</v>
      </c>
      <c r="C57" s="322" t="s">
        <v>285</v>
      </c>
      <c r="D57" s="355">
        <v>2020</v>
      </c>
      <c r="E57" s="299">
        <f>F57+G57+H57+I57</f>
        <v>1449</v>
      </c>
      <c r="F57" s="299">
        <f>1656-207</f>
        <v>1449</v>
      </c>
      <c r="G57" s="299">
        <v>0</v>
      </c>
      <c r="H57" s="299">
        <v>0</v>
      </c>
      <c r="I57" s="299">
        <v>0</v>
      </c>
      <c r="J57" s="299">
        <f>K57+L57+M57+N57</f>
        <v>0</v>
      </c>
      <c r="K57" s="299">
        <v>0</v>
      </c>
      <c r="L57" s="299">
        <v>0</v>
      </c>
      <c r="M57" s="299">
        <v>0</v>
      </c>
      <c r="N57" s="299">
        <v>0</v>
      </c>
      <c r="O57" s="299">
        <f>P57+Q57+R57+S57</f>
        <v>0</v>
      </c>
      <c r="P57" s="299">
        <v>0</v>
      </c>
      <c r="Q57" s="299">
        <v>0</v>
      </c>
      <c r="R57" s="299">
        <v>0</v>
      </c>
      <c r="S57" s="299">
        <v>0</v>
      </c>
      <c r="T57" s="299">
        <f t="shared" ref="T57:T59" si="21">U57+V57+W57+X57</f>
        <v>0</v>
      </c>
      <c r="U57" s="299">
        <v>0</v>
      </c>
      <c r="V57" s="299">
        <v>0</v>
      </c>
      <c r="W57" s="299">
        <v>0</v>
      </c>
      <c r="X57" s="299">
        <v>0</v>
      </c>
      <c r="Y57" s="299">
        <f>Z57+AA57+AB57+AC57</f>
        <v>0</v>
      </c>
      <c r="Z57" s="299">
        <v>0</v>
      </c>
      <c r="AA57" s="299">
        <v>0</v>
      </c>
      <c r="AB57" s="299">
        <v>0</v>
      </c>
      <c r="AC57" s="299">
        <v>0</v>
      </c>
      <c r="AD57" s="299">
        <f>E57+I57+O57+T57+0</f>
        <v>1449</v>
      </c>
    </row>
    <row r="58" spans="1:32" ht="76.5" customHeight="1">
      <c r="A58" s="649"/>
      <c r="B58" s="651"/>
      <c r="C58" s="322" t="s">
        <v>286</v>
      </c>
      <c r="D58" s="355" t="s">
        <v>284</v>
      </c>
      <c r="E58" s="299">
        <f>F58+G58+H58+I58</f>
        <v>0</v>
      </c>
      <c r="F58" s="299">
        <v>0</v>
      </c>
      <c r="G58" s="299">
        <v>0</v>
      </c>
      <c r="H58" s="299">
        <v>0</v>
      </c>
      <c r="I58" s="299">
        <v>0</v>
      </c>
      <c r="J58" s="299">
        <f>K58+L58+M58+N58</f>
        <v>850</v>
      </c>
      <c r="K58" s="299">
        <f>1437-237-350</f>
        <v>850</v>
      </c>
      <c r="L58" s="299">
        <v>0</v>
      </c>
      <c r="M58" s="299">
        <v>0</v>
      </c>
      <c r="N58" s="299">
        <v>0</v>
      </c>
      <c r="O58" s="334">
        <f>P58+Q58+R58+S58</f>
        <v>1259</v>
      </c>
      <c r="P58" s="334">
        <f>1437-175-3</f>
        <v>1259</v>
      </c>
      <c r="Q58" s="299">
        <v>0</v>
      </c>
      <c r="R58" s="299">
        <v>0</v>
      </c>
      <c r="S58" s="299">
        <v>0</v>
      </c>
      <c r="T58" s="299">
        <f t="shared" si="21"/>
        <v>1437</v>
      </c>
      <c r="U58" s="299">
        <v>1437</v>
      </c>
      <c r="V58" s="299">
        <v>0</v>
      </c>
      <c r="W58" s="299">
        <v>0</v>
      </c>
      <c r="X58" s="299">
        <v>0</v>
      </c>
      <c r="Y58" s="299">
        <f>Z58+AA58+AB58+AC58</f>
        <v>1437</v>
      </c>
      <c r="Z58" s="299">
        <v>1437</v>
      </c>
      <c r="AA58" s="299">
        <v>0</v>
      </c>
      <c r="AB58" s="299">
        <v>0</v>
      </c>
      <c r="AC58" s="299">
        <v>0</v>
      </c>
      <c r="AD58" s="299">
        <f>E58+J58+O58+T58+Y58</f>
        <v>4983</v>
      </c>
    </row>
    <row r="59" spans="1:32" ht="69.75">
      <c r="A59" s="323" t="s">
        <v>251</v>
      </c>
      <c r="B59" s="330" t="s">
        <v>292</v>
      </c>
      <c r="C59" s="322" t="s">
        <v>52</v>
      </c>
      <c r="D59" s="322" t="s">
        <v>93</v>
      </c>
      <c r="E59" s="299">
        <f>F59+G59+H59+I59</f>
        <v>55</v>
      </c>
      <c r="F59" s="299">
        <f>86-31</f>
        <v>55</v>
      </c>
      <c r="G59" s="299">
        <v>0</v>
      </c>
      <c r="H59" s="299">
        <v>0</v>
      </c>
      <c r="I59" s="299">
        <v>0</v>
      </c>
      <c r="J59" s="299">
        <f>K59+L59+M59+N59</f>
        <v>60.5</v>
      </c>
      <c r="K59" s="299">
        <f>70-9.5</f>
        <v>60.5</v>
      </c>
      <c r="L59" s="299">
        <v>0</v>
      </c>
      <c r="M59" s="299">
        <v>0</v>
      </c>
      <c r="N59" s="299">
        <v>0</v>
      </c>
      <c r="O59" s="334">
        <f>P59+Q59+R59+S59</f>
        <v>137.19999999999999</v>
      </c>
      <c r="P59" s="334">
        <f>153-18.8+3</f>
        <v>137.19999999999999</v>
      </c>
      <c r="Q59" s="299">
        <v>0</v>
      </c>
      <c r="R59" s="299">
        <v>0</v>
      </c>
      <c r="S59" s="299">
        <v>0</v>
      </c>
      <c r="T59" s="299">
        <f t="shared" si="21"/>
        <v>153</v>
      </c>
      <c r="U59" s="299">
        <v>153</v>
      </c>
      <c r="V59" s="299">
        <v>0</v>
      </c>
      <c r="W59" s="299">
        <v>0</v>
      </c>
      <c r="X59" s="299">
        <v>0</v>
      </c>
      <c r="Y59" s="299">
        <f>Z59+AA59+AB59+AC59</f>
        <v>153</v>
      </c>
      <c r="Z59" s="299">
        <v>153</v>
      </c>
      <c r="AA59" s="299">
        <v>0</v>
      </c>
      <c r="AB59" s="299">
        <v>0</v>
      </c>
      <c r="AC59" s="299">
        <v>0</v>
      </c>
      <c r="AD59" s="299">
        <f>E59+J59+O59+T59+Y59</f>
        <v>558.70000000000005</v>
      </c>
    </row>
    <row r="60" spans="1:32" ht="23.25">
      <c r="A60" s="338" t="s">
        <v>73</v>
      </c>
      <c r="B60" s="338"/>
      <c r="C60" s="436"/>
      <c r="D60" s="347"/>
      <c r="E60" s="299">
        <f>E59</f>
        <v>55</v>
      </c>
      <c r="F60" s="299">
        <f>F59</f>
        <v>55</v>
      </c>
      <c r="G60" s="299">
        <v>0</v>
      </c>
      <c r="H60" s="299">
        <v>0</v>
      </c>
      <c r="I60" s="299">
        <v>0</v>
      </c>
      <c r="J60" s="299">
        <f>K60+L60+M60+N60</f>
        <v>910.5</v>
      </c>
      <c r="K60" s="299">
        <f>K58+K59</f>
        <v>910.5</v>
      </c>
      <c r="L60" s="299">
        <v>0</v>
      </c>
      <c r="M60" s="299">
        <v>0</v>
      </c>
      <c r="N60" s="299">
        <v>0</v>
      </c>
      <c r="O60" s="299">
        <f>P60+Q60+R60+S60</f>
        <v>1396.2</v>
      </c>
      <c r="P60" s="299">
        <f>P58+P59</f>
        <v>1396.2</v>
      </c>
      <c r="Q60" s="299">
        <v>0</v>
      </c>
      <c r="R60" s="299">
        <v>0</v>
      </c>
      <c r="S60" s="299">
        <v>0</v>
      </c>
      <c r="T60" s="299">
        <f>T58+T59</f>
        <v>1590</v>
      </c>
      <c r="U60" s="299">
        <f>U58+U59</f>
        <v>1590</v>
      </c>
      <c r="V60" s="299">
        <v>0</v>
      </c>
      <c r="W60" s="299">
        <v>0</v>
      </c>
      <c r="X60" s="299">
        <v>0</v>
      </c>
      <c r="Y60" s="299">
        <f>Y58+Y59</f>
        <v>1590</v>
      </c>
      <c r="Z60" s="299">
        <f>Z58+Z59</f>
        <v>1590</v>
      </c>
      <c r="AA60" s="299">
        <v>0</v>
      </c>
      <c r="AB60" s="299">
        <v>0</v>
      </c>
      <c r="AC60" s="299">
        <v>0</v>
      </c>
      <c r="AD60" s="299">
        <f>AD58+AD59</f>
        <v>5541.7</v>
      </c>
    </row>
    <row r="61" spans="1:32" ht="23.25">
      <c r="A61" s="338" t="s">
        <v>135</v>
      </c>
      <c r="B61" s="338"/>
      <c r="C61" s="436"/>
      <c r="D61" s="347"/>
      <c r="E61" s="299">
        <f>F61+G61+H61+I61</f>
        <v>1449</v>
      </c>
      <c r="F61" s="299">
        <f>F57</f>
        <v>1449</v>
      </c>
      <c r="G61" s="299">
        <v>0</v>
      </c>
      <c r="H61" s="299">
        <v>0</v>
      </c>
      <c r="I61" s="299">
        <v>0</v>
      </c>
      <c r="J61" s="299">
        <v>0</v>
      </c>
      <c r="K61" s="299">
        <v>0</v>
      </c>
      <c r="L61" s="299">
        <v>0</v>
      </c>
      <c r="M61" s="299">
        <v>0</v>
      </c>
      <c r="N61" s="299">
        <v>0</v>
      </c>
      <c r="O61" s="299">
        <v>0</v>
      </c>
      <c r="P61" s="299">
        <v>0</v>
      </c>
      <c r="Q61" s="299">
        <v>0</v>
      </c>
      <c r="R61" s="299">
        <v>0</v>
      </c>
      <c r="S61" s="299">
        <v>0</v>
      </c>
      <c r="T61" s="299">
        <v>0</v>
      </c>
      <c r="U61" s="299">
        <v>0</v>
      </c>
      <c r="V61" s="299">
        <v>0</v>
      </c>
      <c r="W61" s="299">
        <v>0</v>
      </c>
      <c r="X61" s="299">
        <v>0</v>
      </c>
      <c r="Y61" s="299">
        <v>0</v>
      </c>
      <c r="Z61" s="299">
        <v>0</v>
      </c>
      <c r="AA61" s="299">
        <v>0</v>
      </c>
      <c r="AB61" s="299">
        <v>0</v>
      </c>
      <c r="AC61" s="299">
        <v>0</v>
      </c>
      <c r="AD61" s="299">
        <f>AD57</f>
        <v>1449</v>
      </c>
    </row>
    <row r="62" spans="1:32" s="349" customFormat="1" ht="22.5">
      <c r="A62" s="356"/>
      <c r="B62" s="356" t="s">
        <v>303</v>
      </c>
      <c r="C62" s="357"/>
      <c r="D62" s="358"/>
      <c r="E62" s="326">
        <f>F62+G62+H62+I62</f>
        <v>1504</v>
      </c>
      <c r="F62" s="326">
        <f>F60+F61</f>
        <v>1504</v>
      </c>
      <c r="G62" s="326">
        <v>0</v>
      </c>
      <c r="H62" s="326">
        <v>0</v>
      </c>
      <c r="I62" s="326">
        <v>0</v>
      </c>
      <c r="J62" s="326">
        <f>K62+L62+M62+N62</f>
        <v>910.5</v>
      </c>
      <c r="K62" s="326">
        <f>K60+K61</f>
        <v>910.5</v>
      </c>
      <c r="L62" s="326">
        <v>0</v>
      </c>
      <c r="M62" s="326">
        <v>0</v>
      </c>
      <c r="N62" s="326">
        <v>0</v>
      </c>
      <c r="O62" s="326">
        <f>P62+Q62+R62+S62</f>
        <v>1396.2</v>
      </c>
      <c r="P62" s="326">
        <f>P60+P61</f>
        <v>1396.2</v>
      </c>
      <c r="Q62" s="326">
        <v>0</v>
      </c>
      <c r="R62" s="326">
        <v>0</v>
      </c>
      <c r="S62" s="326">
        <v>0</v>
      </c>
      <c r="T62" s="326">
        <f>U62+V62+W62+X62</f>
        <v>1590</v>
      </c>
      <c r="U62" s="326">
        <f>U60+U61</f>
        <v>1590</v>
      </c>
      <c r="V62" s="326">
        <v>0</v>
      </c>
      <c r="W62" s="326">
        <v>0</v>
      </c>
      <c r="X62" s="326">
        <v>0</v>
      </c>
      <c r="Y62" s="326">
        <f>Z62+AA62+AB62+AC62</f>
        <v>1590</v>
      </c>
      <c r="Z62" s="326">
        <f>Z60+Z61</f>
        <v>1590</v>
      </c>
      <c r="AA62" s="326">
        <v>0</v>
      </c>
      <c r="AB62" s="326">
        <v>0</v>
      </c>
      <c r="AC62" s="326">
        <v>0</v>
      </c>
      <c r="AD62" s="326">
        <f>E62+J62+O62+T62+Y62</f>
        <v>6990.7</v>
      </c>
    </row>
    <row r="63" spans="1:32" ht="23.25">
      <c r="A63" s="322" t="s">
        <v>224</v>
      </c>
      <c r="B63" s="639" t="s">
        <v>278</v>
      </c>
      <c r="C63" s="640"/>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1"/>
    </row>
    <row r="64" spans="1:32" ht="87.75" customHeight="1">
      <c r="A64" s="323" t="s">
        <v>48</v>
      </c>
      <c r="B64" s="333" t="s">
        <v>108</v>
      </c>
      <c r="C64" s="322" t="s">
        <v>94</v>
      </c>
      <c r="D64" s="322" t="s">
        <v>93</v>
      </c>
      <c r="E64" s="299">
        <f>F64+G64+H64+I64</f>
        <v>766</v>
      </c>
      <c r="F64" s="299">
        <f>409+357</f>
        <v>766</v>
      </c>
      <c r="G64" s="299">
        <v>0</v>
      </c>
      <c r="H64" s="299">
        <v>0</v>
      </c>
      <c r="I64" s="299">
        <v>0</v>
      </c>
      <c r="J64" s="299">
        <f>K64+L64+M64+N64</f>
        <v>628</v>
      </c>
      <c r="K64" s="299">
        <f>655-27</f>
        <v>628</v>
      </c>
      <c r="L64" s="299">
        <v>0</v>
      </c>
      <c r="M64" s="299">
        <v>0</v>
      </c>
      <c r="N64" s="299">
        <v>0</v>
      </c>
      <c r="O64" s="299">
        <f>P64+Q64+R64+S64</f>
        <v>543.79999999999995</v>
      </c>
      <c r="P64" s="299">
        <f>533-23.2+34</f>
        <v>543.79999999999995</v>
      </c>
      <c r="Q64" s="299">
        <v>0</v>
      </c>
      <c r="R64" s="299">
        <v>0</v>
      </c>
      <c r="S64" s="299">
        <v>0</v>
      </c>
      <c r="T64" s="299">
        <v>0</v>
      </c>
      <c r="U64" s="299">
        <v>0</v>
      </c>
      <c r="V64" s="299">
        <v>0</v>
      </c>
      <c r="W64" s="299">
        <v>0</v>
      </c>
      <c r="X64" s="299">
        <v>0</v>
      </c>
      <c r="Y64" s="299">
        <f>Z64+AA64+AB64+AC64</f>
        <v>0</v>
      </c>
      <c r="Z64" s="299">
        <v>0</v>
      </c>
      <c r="AA64" s="299">
        <v>0</v>
      </c>
      <c r="AB64" s="299">
        <v>0</v>
      </c>
      <c r="AC64" s="299">
        <v>0</v>
      </c>
      <c r="AD64" s="299">
        <f>E64+J64+O64+T64+Y64</f>
        <v>1937.8</v>
      </c>
      <c r="AF64" s="316" t="s">
        <v>131</v>
      </c>
    </row>
    <row r="65" spans="1:30">
      <c r="A65" s="652" t="s">
        <v>317</v>
      </c>
      <c r="B65" s="653"/>
      <c r="C65" s="654"/>
      <c r="D65" s="347"/>
      <c r="E65" s="326">
        <f t="shared" ref="E65:AD65" si="22">SUM(E64:E64)</f>
        <v>766</v>
      </c>
      <c r="F65" s="326">
        <f>SUM(F64)</f>
        <v>766</v>
      </c>
      <c r="G65" s="326">
        <f t="shared" si="22"/>
        <v>0</v>
      </c>
      <c r="H65" s="326">
        <f t="shared" si="22"/>
        <v>0</v>
      </c>
      <c r="I65" s="326">
        <f t="shared" si="22"/>
        <v>0</v>
      </c>
      <c r="J65" s="326">
        <f>J64</f>
        <v>628</v>
      </c>
      <c r="K65" s="326">
        <f t="shared" si="22"/>
        <v>628</v>
      </c>
      <c r="L65" s="326">
        <f t="shared" si="22"/>
        <v>0</v>
      </c>
      <c r="M65" s="326">
        <f t="shared" si="22"/>
        <v>0</v>
      </c>
      <c r="N65" s="326">
        <f t="shared" si="22"/>
        <v>0</v>
      </c>
      <c r="O65" s="326">
        <f t="shared" si="22"/>
        <v>543.79999999999995</v>
      </c>
      <c r="P65" s="326">
        <f t="shared" si="22"/>
        <v>543.79999999999995</v>
      </c>
      <c r="Q65" s="326">
        <f t="shared" si="22"/>
        <v>0</v>
      </c>
      <c r="R65" s="326">
        <f t="shared" si="22"/>
        <v>0</v>
      </c>
      <c r="S65" s="326">
        <f t="shared" si="22"/>
        <v>0</v>
      </c>
      <c r="T65" s="326">
        <f t="shared" si="22"/>
        <v>0</v>
      </c>
      <c r="U65" s="326">
        <f t="shared" si="22"/>
        <v>0</v>
      </c>
      <c r="V65" s="326">
        <f t="shared" si="22"/>
        <v>0</v>
      </c>
      <c r="W65" s="326">
        <f t="shared" si="22"/>
        <v>0</v>
      </c>
      <c r="X65" s="326">
        <f t="shared" si="22"/>
        <v>0</v>
      </c>
      <c r="Y65" s="326">
        <f t="shared" si="22"/>
        <v>0</v>
      </c>
      <c r="Z65" s="326">
        <f t="shared" si="22"/>
        <v>0</v>
      </c>
      <c r="AA65" s="326">
        <f t="shared" si="22"/>
        <v>0</v>
      </c>
      <c r="AB65" s="326">
        <f t="shared" si="22"/>
        <v>0</v>
      </c>
      <c r="AC65" s="326">
        <f t="shared" si="22"/>
        <v>0</v>
      </c>
      <c r="AD65" s="326">
        <f t="shared" si="22"/>
        <v>1937.8</v>
      </c>
    </row>
    <row r="66" spans="1:30" ht="23.25">
      <c r="A66" s="347" t="s">
        <v>252</v>
      </c>
      <c r="B66" s="639" t="s">
        <v>279</v>
      </c>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1"/>
    </row>
    <row r="67" spans="1:30" ht="93.75">
      <c r="A67" s="347" t="s">
        <v>50</v>
      </c>
      <c r="B67" s="333" t="s">
        <v>115</v>
      </c>
      <c r="C67" s="322" t="s">
        <v>106</v>
      </c>
      <c r="D67" s="322" t="s">
        <v>93</v>
      </c>
      <c r="E67" s="299">
        <f>F67+G67+H67+I67</f>
        <v>25286</v>
      </c>
      <c r="F67" s="299">
        <f>27786-2500</f>
        <v>25286</v>
      </c>
      <c r="G67" s="299">
        <v>0</v>
      </c>
      <c r="H67" s="299">
        <v>0</v>
      </c>
      <c r="I67" s="299">
        <v>0</v>
      </c>
      <c r="J67" s="299">
        <f>K67+L67+M67+N67</f>
        <v>29781</v>
      </c>
      <c r="K67" s="299">
        <f>40120-110-10229</f>
        <v>29781</v>
      </c>
      <c r="L67" s="299">
        <v>0</v>
      </c>
      <c r="M67" s="299">
        <v>0</v>
      </c>
      <c r="N67" s="299">
        <v>0</v>
      </c>
      <c r="O67" s="299">
        <f>P67+Q67+R67+S67</f>
        <v>29104</v>
      </c>
      <c r="P67" s="299">
        <v>29104</v>
      </c>
      <c r="Q67" s="299">
        <v>0</v>
      </c>
      <c r="R67" s="299">
        <v>0</v>
      </c>
      <c r="S67" s="299">
        <v>0</v>
      </c>
      <c r="T67" s="299">
        <f>U67+V67+W67+X67</f>
        <v>0</v>
      </c>
      <c r="U67" s="299">
        <v>0</v>
      </c>
      <c r="V67" s="299">
        <v>0</v>
      </c>
      <c r="W67" s="299">
        <v>0</v>
      </c>
      <c r="X67" s="299">
        <v>0</v>
      </c>
      <c r="Y67" s="299">
        <f>Z67+AA67+AB67+AC67</f>
        <v>0</v>
      </c>
      <c r="Z67" s="299">
        <v>0</v>
      </c>
      <c r="AA67" s="299">
        <v>0</v>
      </c>
      <c r="AB67" s="299">
        <v>0</v>
      </c>
      <c r="AC67" s="299">
        <v>0</v>
      </c>
      <c r="AD67" s="299">
        <f>E67+J67+O67+T67+Y67</f>
        <v>84171</v>
      </c>
    </row>
    <row r="68" spans="1:30" ht="23.25">
      <c r="A68" s="642" t="s">
        <v>318</v>
      </c>
      <c r="B68" s="643"/>
      <c r="C68" s="644"/>
      <c r="D68" s="347"/>
      <c r="E68" s="326">
        <f t="shared" ref="E68:AD68" si="23">SUM(E67:E67)</f>
        <v>25286</v>
      </c>
      <c r="F68" s="326">
        <f>SUM(F67)</f>
        <v>25286</v>
      </c>
      <c r="G68" s="326">
        <f t="shared" si="23"/>
        <v>0</v>
      </c>
      <c r="H68" s="326">
        <f t="shared" si="23"/>
        <v>0</v>
      </c>
      <c r="I68" s="326">
        <f t="shared" si="23"/>
        <v>0</v>
      </c>
      <c r="J68" s="326">
        <f>J67</f>
        <v>29781</v>
      </c>
      <c r="K68" s="326">
        <f t="shared" si="23"/>
        <v>29781</v>
      </c>
      <c r="L68" s="326">
        <f t="shared" si="23"/>
        <v>0</v>
      </c>
      <c r="M68" s="326">
        <f t="shared" si="23"/>
        <v>0</v>
      </c>
      <c r="N68" s="326">
        <f t="shared" si="23"/>
        <v>0</v>
      </c>
      <c r="O68" s="326">
        <f t="shared" si="23"/>
        <v>29104</v>
      </c>
      <c r="P68" s="326">
        <f t="shared" si="23"/>
        <v>29104</v>
      </c>
      <c r="Q68" s="326">
        <f t="shared" si="23"/>
        <v>0</v>
      </c>
      <c r="R68" s="326">
        <f t="shared" si="23"/>
        <v>0</v>
      </c>
      <c r="S68" s="326">
        <f t="shared" si="23"/>
        <v>0</v>
      </c>
      <c r="T68" s="326">
        <f t="shared" si="23"/>
        <v>0</v>
      </c>
      <c r="U68" s="326">
        <f t="shared" si="23"/>
        <v>0</v>
      </c>
      <c r="V68" s="326">
        <f t="shared" si="23"/>
        <v>0</v>
      </c>
      <c r="W68" s="326">
        <f t="shared" si="23"/>
        <v>0</v>
      </c>
      <c r="X68" s="326">
        <f t="shared" si="23"/>
        <v>0</v>
      </c>
      <c r="Y68" s="326">
        <f t="shared" si="23"/>
        <v>0</v>
      </c>
      <c r="Z68" s="326">
        <f t="shared" si="23"/>
        <v>0</v>
      </c>
      <c r="AA68" s="326">
        <f t="shared" si="23"/>
        <v>0</v>
      </c>
      <c r="AB68" s="326">
        <f t="shared" si="23"/>
        <v>0</v>
      </c>
      <c r="AC68" s="326">
        <f t="shared" si="23"/>
        <v>0</v>
      </c>
      <c r="AD68" s="326">
        <f t="shared" si="23"/>
        <v>84171</v>
      </c>
    </row>
    <row r="69" spans="1:30" ht="23.25">
      <c r="A69" s="347" t="s">
        <v>254</v>
      </c>
      <c r="B69" s="639" t="s">
        <v>280</v>
      </c>
      <c r="C69" s="640"/>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1"/>
    </row>
    <row r="70" spans="1:30" ht="37.5">
      <c r="A70" s="347" t="s">
        <v>55</v>
      </c>
      <c r="B70" s="328" t="s">
        <v>96</v>
      </c>
      <c r="C70" s="322" t="s">
        <v>94</v>
      </c>
      <c r="D70" s="322" t="s">
        <v>93</v>
      </c>
      <c r="E70" s="299">
        <f>F70+G70+H70+I70</f>
        <v>7420</v>
      </c>
      <c r="F70" s="299">
        <f>6486+934</f>
        <v>7420</v>
      </c>
      <c r="G70" s="299">
        <v>0</v>
      </c>
      <c r="H70" s="299">
        <v>0</v>
      </c>
      <c r="I70" s="299">
        <v>0</v>
      </c>
      <c r="J70" s="299">
        <f>K70+L70+M70+N70</f>
        <v>6270</v>
      </c>
      <c r="K70" s="299">
        <f>7350-300-780</f>
        <v>6270</v>
      </c>
      <c r="L70" s="299">
        <v>0</v>
      </c>
      <c r="M70" s="299">
        <v>0</v>
      </c>
      <c r="N70" s="299">
        <v>0</v>
      </c>
      <c r="O70" s="299">
        <f>P70+Q70+R70+S70</f>
        <v>6660</v>
      </c>
      <c r="P70" s="299">
        <f>7050-390</f>
        <v>6660</v>
      </c>
      <c r="Q70" s="299">
        <v>0</v>
      </c>
      <c r="R70" s="299">
        <v>0</v>
      </c>
      <c r="S70" s="299">
        <v>0</v>
      </c>
      <c r="T70" s="299">
        <f>U70+V70+W70+X70</f>
        <v>0</v>
      </c>
      <c r="U70" s="299">
        <v>0</v>
      </c>
      <c r="V70" s="299">
        <v>0</v>
      </c>
      <c r="W70" s="299">
        <v>0</v>
      </c>
      <c r="X70" s="299">
        <v>0</v>
      </c>
      <c r="Y70" s="299">
        <f>Z70+AA70+AB70+AC70</f>
        <v>0</v>
      </c>
      <c r="Z70" s="299">
        <v>0</v>
      </c>
      <c r="AA70" s="299">
        <v>0</v>
      </c>
      <c r="AB70" s="299">
        <v>0</v>
      </c>
      <c r="AC70" s="299">
        <v>0</v>
      </c>
      <c r="AD70" s="299">
        <f>E70+J70+O70+T70+Y70</f>
        <v>20350</v>
      </c>
    </row>
    <row r="71" spans="1:30" ht="69.75">
      <c r="A71" s="347" t="s">
        <v>256</v>
      </c>
      <c r="B71" s="333" t="s">
        <v>209</v>
      </c>
      <c r="C71" s="322" t="s">
        <v>94</v>
      </c>
      <c r="D71" s="322" t="s">
        <v>93</v>
      </c>
      <c r="E71" s="299">
        <f>SUM(F71:I71)</f>
        <v>681</v>
      </c>
      <c r="F71" s="299">
        <v>681</v>
      </c>
      <c r="G71" s="299">
        <v>0</v>
      </c>
      <c r="H71" s="299">
        <v>0</v>
      </c>
      <c r="I71" s="299">
        <v>0</v>
      </c>
      <c r="J71" s="299">
        <f>K71+L71+M71+N71</f>
        <v>558</v>
      </c>
      <c r="K71" s="299">
        <f>684-126</f>
        <v>558</v>
      </c>
      <c r="L71" s="299">
        <v>0</v>
      </c>
      <c r="M71" s="299">
        <v>0</v>
      </c>
      <c r="N71" s="299">
        <v>0</v>
      </c>
      <c r="O71" s="299">
        <f>P71+Q71+R71+S71</f>
        <v>558</v>
      </c>
      <c r="P71" s="299">
        <f>612-54</f>
        <v>558</v>
      </c>
      <c r="Q71" s="299">
        <v>0</v>
      </c>
      <c r="R71" s="299">
        <v>0</v>
      </c>
      <c r="S71" s="299">
        <v>0</v>
      </c>
      <c r="T71" s="299">
        <f>U71+V71+W71+X71</f>
        <v>0</v>
      </c>
      <c r="U71" s="299">
        <v>0</v>
      </c>
      <c r="V71" s="299">
        <v>0</v>
      </c>
      <c r="W71" s="299">
        <v>0</v>
      </c>
      <c r="X71" s="299">
        <v>0</v>
      </c>
      <c r="Y71" s="299">
        <f>Z71+AA71+AB71+AC71</f>
        <v>0</v>
      </c>
      <c r="Z71" s="299">
        <v>0</v>
      </c>
      <c r="AA71" s="299">
        <v>0</v>
      </c>
      <c r="AB71" s="299">
        <v>0</v>
      </c>
      <c r="AC71" s="299">
        <v>0</v>
      </c>
      <c r="AD71" s="299">
        <f>E71+J71+O71+T71+Y71</f>
        <v>1797</v>
      </c>
    </row>
    <row r="72" spans="1:30" ht="116.25">
      <c r="A72" s="347" t="s">
        <v>257</v>
      </c>
      <c r="B72" s="333" t="s">
        <v>271</v>
      </c>
      <c r="C72" s="322" t="s">
        <v>266</v>
      </c>
      <c r="D72" s="322">
        <v>2020</v>
      </c>
      <c r="E72" s="299">
        <f>F72+G72+H72+I72</f>
        <v>774</v>
      </c>
      <c r="F72" s="299">
        <v>774</v>
      </c>
      <c r="G72" s="299">
        <v>0</v>
      </c>
      <c r="H72" s="299">
        <v>0</v>
      </c>
      <c r="I72" s="299">
        <v>0</v>
      </c>
      <c r="J72" s="299">
        <f>K72+L72+M72+N72</f>
        <v>350</v>
      </c>
      <c r="K72" s="299">
        <v>350</v>
      </c>
      <c r="L72" s="299">
        <v>0</v>
      </c>
      <c r="M72" s="299">
        <v>0</v>
      </c>
      <c r="N72" s="299">
        <v>0</v>
      </c>
      <c r="O72" s="299">
        <f>P72+Q72+R72+S72</f>
        <v>360</v>
      </c>
      <c r="P72" s="299">
        <v>360</v>
      </c>
      <c r="Q72" s="299">
        <v>0</v>
      </c>
      <c r="R72" s="299">
        <v>0</v>
      </c>
      <c r="S72" s="299">
        <v>0</v>
      </c>
      <c r="T72" s="299">
        <f>U72+V72+W72+X72</f>
        <v>0</v>
      </c>
      <c r="U72" s="299">
        <v>0</v>
      </c>
      <c r="V72" s="299">
        <v>0</v>
      </c>
      <c r="W72" s="299">
        <v>0</v>
      </c>
      <c r="X72" s="299">
        <v>0</v>
      </c>
      <c r="Y72" s="299">
        <f>Z72+AA72+AB72+AC72</f>
        <v>0</v>
      </c>
      <c r="Z72" s="299">
        <v>0</v>
      </c>
      <c r="AA72" s="299">
        <v>0</v>
      </c>
      <c r="AB72" s="299">
        <v>0</v>
      </c>
      <c r="AC72" s="299">
        <v>0</v>
      </c>
      <c r="AD72" s="299">
        <f>E72+J72+O72+T72+Y72</f>
        <v>1484</v>
      </c>
    </row>
    <row r="73" spans="1:30" ht="23.25">
      <c r="A73" s="642" t="s">
        <v>322</v>
      </c>
      <c r="B73" s="643"/>
      <c r="C73" s="644"/>
      <c r="D73" s="347"/>
      <c r="E73" s="326">
        <f>E70+E71+E72</f>
        <v>8875</v>
      </c>
      <c r="F73" s="326">
        <f>F70+F71+F72</f>
        <v>8875</v>
      </c>
      <c r="G73" s="326">
        <f>SUM(G70:G70)</f>
        <v>0</v>
      </c>
      <c r="H73" s="326">
        <f>SUM(H70:H70)</f>
        <v>0</v>
      </c>
      <c r="I73" s="326">
        <f>SUM(I70:I70)</f>
        <v>0</v>
      </c>
      <c r="J73" s="326">
        <f>J70+J71+J72</f>
        <v>7178</v>
      </c>
      <c r="K73" s="326">
        <f>K70+K71+K72</f>
        <v>7178</v>
      </c>
      <c r="L73" s="326">
        <f>SUM(L70:L70)</f>
        <v>0</v>
      </c>
      <c r="M73" s="326">
        <f>SUM(M70:M70)</f>
        <v>0</v>
      </c>
      <c r="N73" s="326">
        <f>SUM(N70:N70)</f>
        <v>0</v>
      </c>
      <c r="O73" s="326">
        <f>O70+O71+O72</f>
        <v>7578</v>
      </c>
      <c r="P73" s="326">
        <f>P70+P71+P72</f>
        <v>7578</v>
      </c>
      <c r="Q73" s="326">
        <f>SUM(Q70:Q70)</f>
        <v>0</v>
      </c>
      <c r="R73" s="326">
        <f>SUM(R70:R70)</f>
        <v>0</v>
      </c>
      <c r="S73" s="326">
        <f>SUM(S70:S70)</f>
        <v>0</v>
      </c>
      <c r="T73" s="326">
        <f>T70+T71+T72</f>
        <v>0</v>
      </c>
      <c r="U73" s="326">
        <f>U70+U71+U72</f>
        <v>0</v>
      </c>
      <c r="V73" s="326">
        <f>SUM(V70:V70)</f>
        <v>0</v>
      </c>
      <c r="W73" s="326">
        <f>SUM(W70:W70)</f>
        <v>0</v>
      </c>
      <c r="X73" s="326">
        <f>SUM(X70:X70)</f>
        <v>0</v>
      </c>
      <c r="Y73" s="326">
        <f>Y70+Y71+Y72</f>
        <v>0</v>
      </c>
      <c r="Z73" s="326">
        <f>Z70+Z71+Z72</f>
        <v>0</v>
      </c>
      <c r="AA73" s="326">
        <f>SUM(AA70:AA70)</f>
        <v>0</v>
      </c>
      <c r="AB73" s="326">
        <f>SUM(AB70:AB70)</f>
        <v>0</v>
      </c>
      <c r="AC73" s="326">
        <f>SUM(AC70:AC70)</f>
        <v>0</v>
      </c>
      <c r="AD73" s="326">
        <f>SUM(AD70:AD72)</f>
        <v>23631</v>
      </c>
    </row>
    <row r="74" spans="1:30" ht="23.25">
      <c r="A74" s="338" t="s">
        <v>135</v>
      </c>
      <c r="B74" s="338"/>
      <c r="C74" s="436"/>
      <c r="D74" s="445"/>
      <c r="E74" s="353">
        <f>E70+E71+E72</f>
        <v>8875</v>
      </c>
      <c r="F74" s="353">
        <f>F70+F71+F72</f>
        <v>8875</v>
      </c>
      <c r="G74" s="353">
        <v>0</v>
      </c>
      <c r="H74" s="353">
        <v>0</v>
      </c>
      <c r="I74" s="353">
        <v>0</v>
      </c>
      <c r="J74" s="353">
        <f>J70+J71+J72</f>
        <v>7178</v>
      </c>
      <c r="K74" s="353">
        <f>K70+K71+K72</f>
        <v>7178</v>
      </c>
      <c r="L74" s="353">
        <v>0</v>
      </c>
      <c r="M74" s="353">
        <v>0</v>
      </c>
      <c r="N74" s="353">
        <v>0</v>
      </c>
      <c r="O74" s="353">
        <f>O73</f>
        <v>7578</v>
      </c>
      <c r="P74" s="353">
        <f>P70+P71+P72</f>
        <v>7578</v>
      </c>
      <c r="Q74" s="353">
        <v>0</v>
      </c>
      <c r="R74" s="353">
        <v>0</v>
      </c>
      <c r="S74" s="353">
        <v>0</v>
      </c>
      <c r="T74" s="353">
        <f>T70+T71+T72</f>
        <v>0</v>
      </c>
      <c r="U74" s="353">
        <f>U70+U71+U72</f>
        <v>0</v>
      </c>
      <c r="V74" s="353">
        <v>0</v>
      </c>
      <c r="W74" s="353">
        <v>0</v>
      </c>
      <c r="X74" s="353">
        <v>0</v>
      </c>
      <c r="Y74" s="353">
        <f>Y70+Y71+Y72</f>
        <v>0</v>
      </c>
      <c r="Z74" s="353">
        <f>Z70+Z71+Z72</f>
        <v>0</v>
      </c>
      <c r="AA74" s="353">
        <v>0</v>
      </c>
      <c r="AB74" s="353">
        <v>0</v>
      </c>
      <c r="AC74" s="353">
        <v>0</v>
      </c>
      <c r="AD74" s="354">
        <f>AD70+AD71</f>
        <v>22147</v>
      </c>
    </row>
    <row r="75" spans="1:30" ht="23.25">
      <c r="A75" s="347" t="s">
        <v>97</v>
      </c>
      <c r="B75" s="639" t="s">
        <v>281</v>
      </c>
      <c r="C75" s="640"/>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1"/>
    </row>
    <row r="76" spans="1:30" ht="116.25">
      <c r="A76" s="359" t="s">
        <v>57</v>
      </c>
      <c r="B76" s="328" t="s">
        <v>290</v>
      </c>
      <c r="C76" s="322" t="s">
        <v>73</v>
      </c>
      <c r="D76" s="322" t="s">
        <v>93</v>
      </c>
      <c r="E76" s="299">
        <f xml:space="preserve"> SUM(F76:I76)</f>
        <v>136.19999999999999</v>
      </c>
      <c r="F76" s="299">
        <f>74.6+61.6</f>
        <v>136.19999999999999</v>
      </c>
      <c r="G76" s="299">
        <v>0</v>
      </c>
      <c r="H76" s="299">
        <v>0</v>
      </c>
      <c r="I76" s="299">
        <v>0</v>
      </c>
      <c r="J76" s="299">
        <f xml:space="preserve"> SUM(K76:N76)</f>
        <v>137.5</v>
      </c>
      <c r="K76" s="299">
        <f>142-4.5</f>
        <v>137.5</v>
      </c>
      <c r="L76" s="299">
        <v>0</v>
      </c>
      <c r="M76" s="299">
        <v>0</v>
      </c>
      <c r="N76" s="299">
        <v>0</v>
      </c>
      <c r="O76" s="299">
        <f xml:space="preserve"> SUM(P76:S76)</f>
        <v>142</v>
      </c>
      <c r="P76" s="299">
        <v>142</v>
      </c>
      <c r="Q76" s="299">
        <v>0</v>
      </c>
      <c r="R76" s="299">
        <v>0</v>
      </c>
      <c r="S76" s="299">
        <v>0</v>
      </c>
      <c r="T76" s="299">
        <f xml:space="preserve"> SUM(U76:X76)</f>
        <v>142</v>
      </c>
      <c r="U76" s="299">
        <v>142</v>
      </c>
      <c r="V76" s="299">
        <v>0</v>
      </c>
      <c r="W76" s="299">
        <v>0</v>
      </c>
      <c r="X76" s="299">
        <v>0</v>
      </c>
      <c r="Y76" s="299">
        <f xml:space="preserve"> SUM(Z76:AC76)</f>
        <v>142</v>
      </c>
      <c r="Z76" s="299">
        <v>142</v>
      </c>
      <c r="AA76" s="299">
        <v>0</v>
      </c>
      <c r="AB76" s="299">
        <v>0</v>
      </c>
      <c r="AC76" s="299">
        <v>0</v>
      </c>
      <c r="AD76" s="299">
        <f>E76+J76+O76+T76+Y76</f>
        <v>699.7</v>
      </c>
    </row>
    <row r="77" spans="1:30" ht="23.25">
      <c r="A77" s="642" t="s">
        <v>321</v>
      </c>
      <c r="B77" s="643"/>
      <c r="C77" s="644"/>
      <c r="D77" s="347"/>
      <c r="E77" s="326">
        <f>E76</f>
        <v>136.19999999999999</v>
      </c>
      <c r="F77" s="326">
        <f>F76</f>
        <v>136.19999999999999</v>
      </c>
      <c r="G77" s="326">
        <v>0</v>
      </c>
      <c r="H77" s="326">
        <v>0</v>
      </c>
      <c r="I77" s="326">
        <v>0</v>
      </c>
      <c r="J77" s="326">
        <f t="shared" ref="J77:AC77" si="24">J76</f>
        <v>137.5</v>
      </c>
      <c r="K77" s="326">
        <f t="shared" si="24"/>
        <v>137.5</v>
      </c>
      <c r="L77" s="326">
        <f t="shared" si="24"/>
        <v>0</v>
      </c>
      <c r="M77" s="326">
        <f t="shared" si="24"/>
        <v>0</v>
      </c>
      <c r="N77" s="326">
        <f t="shared" si="24"/>
        <v>0</v>
      </c>
      <c r="O77" s="326">
        <f t="shared" si="24"/>
        <v>142</v>
      </c>
      <c r="P77" s="326">
        <f t="shared" si="24"/>
        <v>142</v>
      </c>
      <c r="Q77" s="326">
        <f t="shared" si="24"/>
        <v>0</v>
      </c>
      <c r="R77" s="326">
        <f t="shared" si="24"/>
        <v>0</v>
      </c>
      <c r="S77" s="326">
        <f t="shared" si="24"/>
        <v>0</v>
      </c>
      <c r="T77" s="326">
        <f t="shared" si="24"/>
        <v>142</v>
      </c>
      <c r="U77" s="326">
        <f t="shared" si="24"/>
        <v>142</v>
      </c>
      <c r="V77" s="326">
        <f t="shared" si="24"/>
        <v>0</v>
      </c>
      <c r="W77" s="326">
        <f t="shared" si="24"/>
        <v>0</v>
      </c>
      <c r="X77" s="326">
        <f t="shared" si="24"/>
        <v>0</v>
      </c>
      <c r="Y77" s="326">
        <f t="shared" si="24"/>
        <v>142</v>
      </c>
      <c r="Z77" s="326">
        <f t="shared" si="24"/>
        <v>142</v>
      </c>
      <c r="AA77" s="326">
        <f t="shared" si="24"/>
        <v>0</v>
      </c>
      <c r="AB77" s="326">
        <f t="shared" si="24"/>
        <v>0</v>
      </c>
      <c r="AC77" s="326">
        <f t="shared" si="24"/>
        <v>0</v>
      </c>
      <c r="AD77" s="326">
        <f>E77+J77+O77+T77+Y77</f>
        <v>699.7</v>
      </c>
    </row>
    <row r="78" spans="1:30" ht="23.25">
      <c r="A78" s="444">
        <v>10</v>
      </c>
      <c r="B78" s="645" t="s">
        <v>259</v>
      </c>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7"/>
    </row>
    <row r="79" spans="1:30" ht="93">
      <c r="A79" s="360" t="s">
        <v>59</v>
      </c>
      <c r="B79" s="328" t="s">
        <v>186</v>
      </c>
      <c r="C79" s="439" t="s">
        <v>107</v>
      </c>
      <c r="D79" s="322" t="s">
        <v>93</v>
      </c>
      <c r="E79" s="300">
        <v>500</v>
      </c>
      <c r="F79" s="300">
        <v>500</v>
      </c>
      <c r="G79" s="300">
        <v>0</v>
      </c>
      <c r="H79" s="300">
        <v>0</v>
      </c>
      <c r="I79" s="300">
        <v>0</v>
      </c>
      <c r="J79" s="300">
        <f>K79+L79+M79+N79</f>
        <v>12</v>
      </c>
      <c r="K79" s="300">
        <f>24-12</f>
        <v>12</v>
      </c>
      <c r="L79" s="300">
        <v>0</v>
      </c>
      <c r="M79" s="300">
        <v>0</v>
      </c>
      <c r="N79" s="300">
        <v>0</v>
      </c>
      <c r="O79" s="300">
        <v>0</v>
      </c>
      <c r="P79" s="300">
        <v>0</v>
      </c>
      <c r="Q79" s="300">
        <v>0</v>
      </c>
      <c r="R79" s="300">
        <v>0</v>
      </c>
      <c r="S79" s="300">
        <v>0</v>
      </c>
      <c r="T79" s="300">
        <f t="shared" ref="T79:T81" si="25">U79+V79+W79+X79</f>
        <v>0</v>
      </c>
      <c r="U79" s="300">
        <v>0</v>
      </c>
      <c r="V79" s="300">
        <v>0</v>
      </c>
      <c r="W79" s="300">
        <v>0</v>
      </c>
      <c r="X79" s="300">
        <v>0</v>
      </c>
      <c r="Y79" s="300">
        <f>Z79+AA79+AB79+AC79</f>
        <v>0</v>
      </c>
      <c r="Z79" s="300">
        <v>0</v>
      </c>
      <c r="AA79" s="300">
        <v>0</v>
      </c>
      <c r="AB79" s="300">
        <v>0</v>
      </c>
      <c r="AC79" s="300">
        <v>0</v>
      </c>
      <c r="AD79" s="300">
        <f>E79+J79+O79+T79+Y79</f>
        <v>512</v>
      </c>
    </row>
    <row r="80" spans="1:30" ht="75">
      <c r="A80" s="360" t="s">
        <v>98</v>
      </c>
      <c r="B80" s="333" t="s">
        <v>159</v>
      </c>
      <c r="C80" s="362" t="s">
        <v>107</v>
      </c>
      <c r="D80" s="322" t="s">
        <v>93</v>
      </c>
      <c r="E80" s="300">
        <v>2880</v>
      </c>
      <c r="F80" s="300">
        <v>2880</v>
      </c>
      <c r="G80" s="300">
        <v>0</v>
      </c>
      <c r="H80" s="300">
        <v>0</v>
      </c>
      <c r="I80" s="300">
        <v>0</v>
      </c>
      <c r="J80" s="300">
        <f>K80+L80+M80+N80</f>
        <v>2730</v>
      </c>
      <c r="K80" s="300">
        <f>2880-150</f>
        <v>2730</v>
      </c>
      <c r="L80" s="300">
        <v>0</v>
      </c>
      <c r="M80" s="300">
        <v>0</v>
      </c>
      <c r="N80" s="300">
        <v>0</v>
      </c>
      <c r="O80" s="300">
        <v>0</v>
      </c>
      <c r="P80" s="300">
        <v>0</v>
      </c>
      <c r="Q80" s="300">
        <v>0</v>
      </c>
      <c r="R80" s="300">
        <v>0</v>
      </c>
      <c r="S80" s="300">
        <v>0</v>
      </c>
      <c r="T80" s="300">
        <f t="shared" si="25"/>
        <v>0</v>
      </c>
      <c r="U80" s="300">
        <v>0</v>
      </c>
      <c r="V80" s="300">
        <v>0</v>
      </c>
      <c r="W80" s="300">
        <v>0</v>
      </c>
      <c r="X80" s="300">
        <v>0</v>
      </c>
      <c r="Y80" s="300">
        <f>Z80+AA80+AB80+AC80</f>
        <v>0</v>
      </c>
      <c r="Z80" s="300">
        <v>0</v>
      </c>
      <c r="AA80" s="300">
        <v>0</v>
      </c>
      <c r="AB80" s="300">
        <v>0</v>
      </c>
      <c r="AC80" s="300">
        <v>0</v>
      </c>
      <c r="AD80" s="300">
        <f>E80+J80+O80+T80+Y80</f>
        <v>5610</v>
      </c>
    </row>
    <row r="81" spans="1:31" ht="23.25">
      <c r="A81" s="642" t="s">
        <v>320</v>
      </c>
      <c r="B81" s="643"/>
      <c r="C81" s="644"/>
      <c r="D81" s="360"/>
      <c r="E81" s="363">
        <f>E79+E80</f>
        <v>3380</v>
      </c>
      <c r="F81" s="363">
        <f>SUM(F79:F80)</f>
        <v>3380</v>
      </c>
      <c r="G81" s="363">
        <f>G79</f>
        <v>0</v>
      </c>
      <c r="H81" s="363">
        <f>I79</f>
        <v>0</v>
      </c>
      <c r="I81" s="363">
        <f t="shared" ref="I81:V81" si="26">I79</f>
        <v>0</v>
      </c>
      <c r="J81" s="363">
        <f>K81+L81+M81+N81</f>
        <v>2742</v>
      </c>
      <c r="K81" s="363">
        <f>K79+K80</f>
        <v>2742</v>
      </c>
      <c r="L81" s="363">
        <f t="shared" si="26"/>
        <v>0</v>
      </c>
      <c r="M81" s="363">
        <f t="shared" si="26"/>
        <v>0</v>
      </c>
      <c r="N81" s="363">
        <f t="shared" si="26"/>
        <v>0</v>
      </c>
      <c r="O81" s="363">
        <f t="shared" ref="O81" si="27">P81+Q81+R81+S81</f>
        <v>0</v>
      </c>
      <c r="P81" s="363">
        <f>P79+P80</f>
        <v>0</v>
      </c>
      <c r="Q81" s="363">
        <f t="shared" si="26"/>
        <v>0</v>
      </c>
      <c r="R81" s="363">
        <f t="shared" si="26"/>
        <v>0</v>
      </c>
      <c r="S81" s="363">
        <f t="shared" si="26"/>
        <v>0</v>
      </c>
      <c r="T81" s="363">
        <f t="shared" si="25"/>
        <v>0</v>
      </c>
      <c r="U81" s="363">
        <f>T79+T80</f>
        <v>0</v>
      </c>
      <c r="V81" s="363">
        <f t="shared" si="26"/>
        <v>0</v>
      </c>
      <c r="W81" s="363">
        <f>V79</f>
        <v>0</v>
      </c>
      <c r="X81" s="363">
        <f t="shared" ref="X81:AC81" si="28">X79</f>
        <v>0</v>
      </c>
      <c r="Y81" s="363">
        <f>Z81+AA81+AB81+AC81</f>
        <v>0</v>
      </c>
      <c r="Z81" s="363">
        <f>Z79+Z80</f>
        <v>0</v>
      </c>
      <c r="AA81" s="363">
        <f t="shared" si="28"/>
        <v>0</v>
      </c>
      <c r="AB81" s="363">
        <f t="shared" si="28"/>
        <v>0</v>
      </c>
      <c r="AC81" s="363">
        <f t="shared" si="28"/>
        <v>0</v>
      </c>
      <c r="AD81" s="363">
        <f>E81+J81+O81+T81+Y81</f>
        <v>6122</v>
      </c>
    </row>
    <row r="82" spans="1:31" ht="23.25">
      <c r="A82" s="435">
        <v>11</v>
      </c>
      <c r="B82" s="436" t="s">
        <v>311</v>
      </c>
      <c r="C82" s="437"/>
      <c r="D82" s="360"/>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row>
    <row r="83" spans="1:31" ht="69.75">
      <c r="A83" s="433" t="s">
        <v>62</v>
      </c>
      <c r="B83" s="434" t="s">
        <v>312</v>
      </c>
      <c r="C83" s="437"/>
      <c r="D83" s="360">
        <v>2022</v>
      </c>
      <c r="E83" s="363">
        <v>0</v>
      </c>
      <c r="F83" s="363">
        <v>0</v>
      </c>
      <c r="G83" s="363">
        <v>0</v>
      </c>
      <c r="H83" s="363">
        <v>0</v>
      </c>
      <c r="I83" s="363">
        <v>0</v>
      </c>
      <c r="J83" s="363">
        <v>0</v>
      </c>
      <c r="K83" s="363">
        <v>0</v>
      </c>
      <c r="L83" s="363">
        <v>0</v>
      </c>
      <c r="M83" s="363">
        <v>0</v>
      </c>
      <c r="N83" s="363">
        <v>0</v>
      </c>
      <c r="O83" s="363">
        <f>P83+Q83+R83+S83</f>
        <v>4256</v>
      </c>
      <c r="P83" s="363">
        <v>4256</v>
      </c>
      <c r="Q83" s="363">
        <v>0</v>
      </c>
      <c r="R83" s="363">
        <v>0</v>
      </c>
      <c r="S83" s="363">
        <v>0</v>
      </c>
      <c r="T83" s="363">
        <v>0</v>
      </c>
      <c r="U83" s="363">
        <v>0</v>
      </c>
      <c r="V83" s="363">
        <v>0</v>
      </c>
      <c r="W83" s="363">
        <v>0</v>
      </c>
      <c r="X83" s="363">
        <v>0</v>
      </c>
      <c r="Y83" s="363">
        <v>0</v>
      </c>
      <c r="Z83" s="363">
        <v>0</v>
      </c>
      <c r="AA83" s="363">
        <v>0</v>
      </c>
      <c r="AB83" s="363">
        <v>0</v>
      </c>
      <c r="AC83" s="363">
        <v>0</v>
      </c>
      <c r="AD83" s="363">
        <f>E83+J83+O83+T83+Y83</f>
        <v>4256</v>
      </c>
    </row>
    <row r="84" spans="1:31" ht="23.25">
      <c r="A84" s="642" t="s">
        <v>319</v>
      </c>
      <c r="B84" s="643"/>
      <c r="C84" s="644"/>
      <c r="D84" s="360"/>
      <c r="E84" s="363">
        <v>0</v>
      </c>
      <c r="F84" s="363">
        <v>0</v>
      </c>
      <c r="G84" s="363">
        <v>0</v>
      </c>
      <c r="H84" s="363">
        <v>0</v>
      </c>
      <c r="I84" s="363">
        <v>0</v>
      </c>
      <c r="J84" s="363">
        <v>0</v>
      </c>
      <c r="K84" s="363">
        <v>0</v>
      </c>
      <c r="L84" s="363">
        <v>0</v>
      </c>
      <c r="M84" s="363">
        <v>0</v>
      </c>
      <c r="N84" s="363">
        <v>0</v>
      </c>
      <c r="O84" s="363">
        <f>O83</f>
        <v>4256</v>
      </c>
      <c r="P84" s="363">
        <f>P83</f>
        <v>4256</v>
      </c>
      <c r="Q84" s="363">
        <v>0</v>
      </c>
      <c r="R84" s="363">
        <v>0</v>
      </c>
      <c r="S84" s="363">
        <v>0</v>
      </c>
      <c r="T84" s="363">
        <v>0</v>
      </c>
      <c r="U84" s="363">
        <v>0</v>
      </c>
      <c r="V84" s="363">
        <v>0</v>
      </c>
      <c r="W84" s="363">
        <v>0</v>
      </c>
      <c r="X84" s="363">
        <v>0</v>
      </c>
      <c r="Y84" s="363">
        <v>0</v>
      </c>
      <c r="Z84" s="363">
        <v>0</v>
      </c>
      <c r="AA84" s="363">
        <v>0</v>
      </c>
      <c r="AB84" s="363">
        <v>0</v>
      </c>
      <c r="AC84" s="363">
        <v>0</v>
      </c>
      <c r="AD84" s="363">
        <f>AD83</f>
        <v>4256</v>
      </c>
      <c r="AE84" s="316">
        <v>0</v>
      </c>
    </row>
    <row r="85" spans="1:31" ht="23.25">
      <c r="A85" s="672" t="s">
        <v>304</v>
      </c>
      <c r="B85" s="673"/>
      <c r="C85" s="674"/>
      <c r="D85" s="360"/>
      <c r="E85" s="363">
        <f>F85+G85+H85+I85</f>
        <v>157092.37000000002</v>
      </c>
      <c r="F85" s="363">
        <f>F27+F33+F50+F55+F62+F65+F68+F73+F77+F81</f>
        <v>108956.7</v>
      </c>
      <c r="G85" s="363">
        <f>G27+G33+G50+G55+G62+G65+G68+G73+G77+G81</f>
        <v>45966</v>
      </c>
      <c r="H85" s="363">
        <f>H27+H33+H50+H55+H62+H65+H68+H73+H77+H81</f>
        <v>0</v>
      </c>
      <c r="I85" s="363">
        <f>I27+I33+I50+I55+I62+I65+I68+I73+I77+I81</f>
        <v>2169.67</v>
      </c>
      <c r="J85" s="363">
        <f>K85+L85+M85+N85</f>
        <v>121069.1</v>
      </c>
      <c r="K85" s="363">
        <f>K27+K33+K50+K55+K62+K65+K68+K73+K77+K81</f>
        <v>94437.1</v>
      </c>
      <c r="L85" s="363">
        <f>L27+L33+L50+L55+L62+L65+L68+L73+L77+L81</f>
        <v>26632</v>
      </c>
      <c r="M85" s="363">
        <f>M27+M33+M50+M55+M62+M65+M68+M73+M77+M81</f>
        <v>0</v>
      </c>
      <c r="N85" s="363">
        <f>N27+N33+N50+N55+N62+N65+N68+N73+N77+N81</f>
        <v>0</v>
      </c>
      <c r="O85" s="363">
        <f>P85+Q85+R85+S85</f>
        <v>138097.51999999999</v>
      </c>
      <c r="P85" s="363">
        <f>P27+P33+P50+P55+P62+P65+P68+P73+P77+P81+P83</f>
        <v>111098</v>
      </c>
      <c r="Q85" s="363">
        <f>Q27+Q33+Q50+Q55+Q62+Q65+Q68+Q73+Q77+Q81</f>
        <v>26999.52</v>
      </c>
      <c r="R85" s="363">
        <f>R27+R33+R50+R55+R62+R65+R68+R73+R77+R81</f>
        <v>0</v>
      </c>
      <c r="S85" s="363">
        <f>S27+S33+S50+S55+S62+S65+S68+S73+S77+S81</f>
        <v>0</v>
      </c>
      <c r="T85" s="363">
        <f>U85+V85+W85+X85</f>
        <v>25809</v>
      </c>
      <c r="U85" s="363">
        <f>U27+U33+U50+U55+U62+U65+U68+U73+U77+U81</f>
        <v>1732</v>
      </c>
      <c r="V85" s="363">
        <f>V27+V33+V50+V55+V62+V65+V68+V73+V77+V81</f>
        <v>24077</v>
      </c>
      <c r="W85" s="363">
        <f>W27+W33+W50+W55+W62+W65+W68+W73+W77+W81</f>
        <v>0</v>
      </c>
      <c r="X85" s="363">
        <f>X27+X33+X50+X55+X62+X65+X68+X73+X77+X81</f>
        <v>0</v>
      </c>
      <c r="Y85" s="363">
        <f>Z85+AA85+AB85+AC85</f>
        <v>25809</v>
      </c>
      <c r="Z85" s="363">
        <f>Z27+Z33+Z50+Z55+Z62+Z65+Z68+Z73+Z77+Z81</f>
        <v>1732</v>
      </c>
      <c r="AA85" s="363">
        <f>AA27+AA33+AA50+AA55+AA62+AA65+AA68+AA73+AA77+AA81</f>
        <v>24077</v>
      </c>
      <c r="AB85" s="363">
        <f>AB27+AB33+AB50+AB55+AB62+AB65+AB68+AB73+AB77+AB81</f>
        <v>0</v>
      </c>
      <c r="AC85" s="363">
        <f>AC27+AC33+AC50+AC55+AC62+AC65+AC68+AC73+AC77+AC81</f>
        <v>0</v>
      </c>
      <c r="AD85" s="363">
        <f>E85+J85+O85+T85+Y85</f>
        <v>467876.99</v>
      </c>
    </row>
    <row r="86" spans="1:31">
      <c r="C86" s="315">
        <v>2020</v>
      </c>
      <c r="E86" s="364"/>
    </row>
    <row r="87" spans="1:31" ht="225">
      <c r="A87" s="365" t="s">
        <v>201</v>
      </c>
      <c r="B87" s="366" t="s">
        <v>134</v>
      </c>
      <c r="C87" s="364">
        <f>E29+E33+E52+E55+E61+E65+E68+E74+E81</f>
        <v>96915</v>
      </c>
      <c r="F87" s="364"/>
      <c r="J87" s="364"/>
      <c r="O87" s="364"/>
      <c r="T87" s="364"/>
      <c r="Y87" s="364"/>
      <c r="AC87" s="364"/>
    </row>
    <row r="88" spans="1:31">
      <c r="B88" s="366" t="s">
        <v>137</v>
      </c>
      <c r="C88" s="364">
        <f>E30+E51+E60+E77</f>
        <v>23882</v>
      </c>
      <c r="J88" s="364"/>
      <c r="O88" s="364"/>
      <c r="T88" s="364"/>
      <c r="Y88" s="364"/>
      <c r="AC88" s="364"/>
    </row>
    <row r="89" spans="1:31">
      <c r="B89" s="366" t="s">
        <v>138</v>
      </c>
      <c r="C89" s="364">
        <f>E28</f>
        <v>36295.369999999995</v>
      </c>
      <c r="J89" s="364"/>
      <c r="O89" s="364"/>
      <c r="T89" s="364"/>
      <c r="Y89" s="364"/>
      <c r="AC89" s="364"/>
    </row>
    <row r="90" spans="1:31">
      <c r="C90" s="364"/>
      <c r="J90" s="364"/>
      <c r="O90" s="364"/>
      <c r="T90" s="364"/>
      <c r="Y90" s="364"/>
      <c r="AC90" s="364"/>
    </row>
    <row r="91" spans="1:31">
      <c r="B91" s="366"/>
      <c r="C91" s="364">
        <f>C87+C88+C89</f>
        <v>157092.37</v>
      </c>
      <c r="J91" s="364"/>
      <c r="K91" s="364"/>
      <c r="O91" s="364"/>
      <c r="T91" s="364"/>
      <c r="Y91" s="364"/>
      <c r="AC91" s="364"/>
    </row>
    <row r="92" spans="1:31">
      <c r="J92" s="364"/>
      <c r="O92" s="364"/>
      <c r="T92" s="364"/>
      <c r="Y92" s="364"/>
      <c r="AC92" s="364"/>
    </row>
    <row r="93" spans="1:31">
      <c r="C93" s="364"/>
      <c r="J93" s="364"/>
      <c r="O93" s="364"/>
      <c r="T93" s="364"/>
      <c r="Y93" s="364"/>
    </row>
    <row r="95" spans="1:31">
      <c r="B95" s="366" t="s">
        <v>195</v>
      </c>
      <c r="C95" s="364">
        <f>I85</f>
        <v>2169.67</v>
      </c>
    </row>
    <row r="96" spans="1:31">
      <c r="B96" s="367" t="s">
        <v>196</v>
      </c>
      <c r="C96" s="364">
        <f>F85+K85+P85+U85+Z85</f>
        <v>317955.8</v>
      </c>
      <c r="E96" s="364"/>
      <c r="H96" s="364"/>
      <c r="R96" s="315" t="s">
        <v>302</v>
      </c>
      <c r="T96" s="364">
        <f>C96-3</f>
        <v>317952.8</v>
      </c>
    </row>
    <row r="97" spans="2:29">
      <c r="B97" s="367" t="s">
        <v>197</v>
      </c>
      <c r="C97" s="364">
        <f>G85+L85+Q85+V85+AA85</f>
        <v>147751.52000000002</v>
      </c>
    </row>
    <row r="98" spans="2:29">
      <c r="C98" s="364"/>
      <c r="AC98" s="364"/>
    </row>
    <row r="99" spans="2:29">
      <c r="C99" s="364">
        <f>C95+C96+C97</f>
        <v>467876.99</v>
      </c>
    </row>
    <row r="100" spans="2:29">
      <c r="B100" s="364" t="e">
        <f>127165-#REF!</f>
        <v>#REF!</v>
      </c>
    </row>
    <row r="102" spans="2:29">
      <c r="Y102" s="368"/>
    </row>
    <row r="105" spans="2:29">
      <c r="D105" s="368"/>
      <c r="E105" s="368"/>
    </row>
    <row r="106" spans="2:29">
      <c r="D106" s="368"/>
      <c r="E106" s="368"/>
    </row>
    <row r="111" spans="2:29">
      <c r="D111" s="364" t="e">
        <f>#REF!+#REF!+#REF!+#REF!+#REF!</f>
        <v>#REF!</v>
      </c>
    </row>
  </sheetData>
  <mergeCells count="41">
    <mergeCell ref="A85:C85"/>
    <mergeCell ref="B63:AD63"/>
    <mergeCell ref="A65:C65"/>
    <mergeCell ref="B66:AD66"/>
    <mergeCell ref="A68:C68"/>
    <mergeCell ref="B69:AD69"/>
    <mergeCell ref="A73:C73"/>
    <mergeCell ref="B75:AD75"/>
    <mergeCell ref="A77:C77"/>
    <mergeCell ref="B78:AD78"/>
    <mergeCell ref="A81:C81"/>
    <mergeCell ref="A84:C84"/>
    <mergeCell ref="A57:A58"/>
    <mergeCell ref="B57:B58"/>
    <mergeCell ref="C13:C14"/>
    <mergeCell ref="A27:C27"/>
    <mergeCell ref="B31:AD31"/>
    <mergeCell ref="A33:C33"/>
    <mergeCell ref="B34:AD34"/>
    <mergeCell ref="C38:C39"/>
    <mergeCell ref="C41:C45"/>
    <mergeCell ref="A50:C50"/>
    <mergeCell ref="B53:AD53"/>
    <mergeCell ref="A55:C55"/>
    <mergeCell ref="B56:AD56"/>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dimension ref="A1:AF111"/>
  <sheetViews>
    <sheetView view="pageBreakPreview" zoomScale="60" workbookViewId="0">
      <pane xSplit="3" ySplit="14" topLeftCell="N74" activePane="bottomRight" state="frozen"/>
      <selection pane="topRight" activeCell="D1" sqref="D1"/>
      <selection pane="bottomLeft" activeCell="A15" sqref="A15"/>
      <selection pane="bottomRight" activeCell="U73" sqref="U73"/>
    </sheetView>
  </sheetViews>
  <sheetFormatPr defaultRowHeight="18.75"/>
  <cols>
    <col min="1" max="1" width="6.140625" style="451" customWidth="1"/>
    <col min="2" max="2" width="205.7109375" style="452" customWidth="1"/>
    <col min="3" max="3" width="42.42578125" style="452" customWidth="1"/>
    <col min="4" max="4" width="23.5703125" style="452" customWidth="1"/>
    <col min="5" max="5" width="21.28515625" style="452" customWidth="1"/>
    <col min="6" max="6" width="22.42578125" style="452" customWidth="1"/>
    <col min="7" max="7" width="16.140625" style="452" customWidth="1"/>
    <col min="8" max="9" width="16.85546875" style="452" customWidth="1"/>
    <col min="10" max="10" width="21.140625" style="452" customWidth="1"/>
    <col min="11" max="11" width="18.140625" style="452" customWidth="1"/>
    <col min="12" max="12" width="15" style="452" customWidth="1"/>
    <col min="13" max="13" width="14.7109375" style="452" customWidth="1"/>
    <col min="14" max="14" width="14.28515625" style="452" customWidth="1"/>
    <col min="15" max="15" width="17.140625" style="452" customWidth="1"/>
    <col min="16" max="16" width="18.7109375" style="452" customWidth="1"/>
    <col min="17" max="17" width="17.28515625" style="452" customWidth="1"/>
    <col min="18" max="18" width="19" style="452" customWidth="1"/>
    <col min="19" max="19" width="13" style="452" customWidth="1"/>
    <col min="20" max="20" width="16.42578125" style="452" customWidth="1"/>
    <col min="21" max="21" width="12.7109375" style="452" customWidth="1"/>
    <col min="22" max="22" width="11.85546875" style="452" customWidth="1"/>
    <col min="23" max="23" width="11.7109375" style="452" customWidth="1"/>
    <col min="24" max="24" width="10.28515625" style="452" customWidth="1"/>
    <col min="25" max="25" width="18" style="452" customWidth="1"/>
    <col min="26" max="26" width="14.5703125" style="452" customWidth="1"/>
    <col min="27" max="27" width="13" style="452" customWidth="1"/>
    <col min="28" max="28" width="12.7109375" style="452" customWidth="1"/>
    <col min="29" max="29" width="14.28515625" style="452" customWidth="1"/>
    <col min="30" max="30" width="17.7109375" style="452" customWidth="1"/>
    <col min="31" max="16384" width="9.140625" style="453"/>
  </cols>
  <sheetData>
    <row r="1" spans="1:30">
      <c r="Z1" s="452" t="s">
        <v>260</v>
      </c>
    </row>
    <row r="2" spans="1:30">
      <c r="Z2" s="452" t="s">
        <v>261</v>
      </c>
    </row>
    <row r="3" spans="1:30">
      <c r="L3" s="454"/>
      <c r="M3" s="454"/>
      <c r="N3" s="454"/>
      <c r="O3" s="454"/>
      <c r="P3" s="454"/>
      <c r="Q3" s="454"/>
      <c r="R3" s="454"/>
      <c r="S3" s="454"/>
      <c r="T3" s="491"/>
      <c r="U3" s="491"/>
      <c r="V3" s="491"/>
      <c r="W3" s="491"/>
      <c r="X3" s="491"/>
      <c r="Y3" s="491"/>
      <c r="Z3" s="720" t="s">
        <v>262</v>
      </c>
      <c r="AA3" s="720"/>
      <c r="AB3" s="720"/>
      <c r="AC3" s="720"/>
      <c r="AD3" s="720"/>
    </row>
    <row r="4" spans="1:30">
      <c r="V4" s="721" t="s">
        <v>272</v>
      </c>
      <c r="W4" s="721"/>
      <c r="X4" s="721"/>
      <c r="Y4" s="721"/>
      <c r="Z4" s="721"/>
      <c r="AA4" s="721"/>
      <c r="AB4" s="721"/>
      <c r="AC4" s="721"/>
      <c r="AD4" s="721"/>
    </row>
    <row r="5" spans="1:30">
      <c r="A5" s="722" t="s">
        <v>0</v>
      </c>
      <c r="B5" s="722"/>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7" spans="1:30" ht="19.5">
      <c r="A7" s="723" t="s">
        <v>1</v>
      </c>
      <c r="B7" s="723" t="s">
        <v>219</v>
      </c>
      <c r="C7" s="723" t="s">
        <v>2</v>
      </c>
      <c r="D7" s="723" t="s">
        <v>3</v>
      </c>
      <c r="E7" s="726" t="s">
        <v>220</v>
      </c>
      <c r="F7" s="727"/>
      <c r="G7" s="727"/>
      <c r="H7" s="727"/>
      <c r="I7" s="727"/>
      <c r="J7" s="727"/>
      <c r="K7" s="727"/>
      <c r="L7" s="727"/>
      <c r="M7" s="727"/>
      <c r="N7" s="727"/>
      <c r="O7" s="727"/>
      <c r="P7" s="727"/>
      <c r="Q7" s="727"/>
      <c r="R7" s="727"/>
      <c r="S7" s="727"/>
      <c r="T7" s="727"/>
      <c r="U7" s="727"/>
      <c r="V7" s="727"/>
      <c r="W7" s="727"/>
      <c r="X7" s="727"/>
      <c r="Y7" s="727"/>
      <c r="Z7" s="727"/>
      <c r="AA7" s="727"/>
      <c r="AB7" s="727"/>
      <c r="AC7" s="727"/>
      <c r="AD7" s="728"/>
    </row>
    <row r="8" spans="1:30">
      <c r="A8" s="724"/>
      <c r="B8" s="724"/>
      <c r="C8" s="724"/>
      <c r="D8" s="724"/>
      <c r="E8" s="729" t="s">
        <v>88</v>
      </c>
      <c r="F8" s="730"/>
      <c r="G8" s="730"/>
      <c r="H8" s="730"/>
      <c r="I8" s="731"/>
      <c r="J8" s="729" t="s">
        <v>89</v>
      </c>
      <c r="K8" s="730"/>
      <c r="L8" s="730"/>
      <c r="M8" s="730"/>
      <c r="N8" s="731"/>
      <c r="O8" s="729" t="s">
        <v>90</v>
      </c>
      <c r="P8" s="730"/>
      <c r="Q8" s="730"/>
      <c r="R8" s="730"/>
      <c r="S8" s="731"/>
      <c r="T8" s="729" t="s">
        <v>91</v>
      </c>
      <c r="U8" s="730"/>
      <c r="V8" s="730"/>
      <c r="W8" s="730"/>
      <c r="X8" s="731"/>
      <c r="Y8" s="729" t="s">
        <v>92</v>
      </c>
      <c r="Z8" s="730"/>
      <c r="AA8" s="730"/>
      <c r="AB8" s="730"/>
      <c r="AC8" s="731"/>
      <c r="AD8" s="723" t="s">
        <v>5</v>
      </c>
    </row>
    <row r="9" spans="1:30" ht="88.5">
      <c r="A9" s="725"/>
      <c r="B9" s="725"/>
      <c r="C9" s="725"/>
      <c r="D9" s="725"/>
      <c r="E9" s="455" t="s">
        <v>6</v>
      </c>
      <c r="F9" s="456" t="s">
        <v>7</v>
      </c>
      <c r="G9" s="456" t="s">
        <v>8</v>
      </c>
      <c r="H9" s="456" t="s">
        <v>9</v>
      </c>
      <c r="I9" s="457" t="s">
        <v>10</v>
      </c>
      <c r="J9" s="455" t="s">
        <v>6</v>
      </c>
      <c r="K9" s="456" t="s">
        <v>7</v>
      </c>
      <c r="L9" s="456" t="s">
        <v>8</v>
      </c>
      <c r="M9" s="456" t="s">
        <v>9</v>
      </c>
      <c r="N9" s="457" t="s">
        <v>10</v>
      </c>
      <c r="O9" s="455" t="s">
        <v>6</v>
      </c>
      <c r="P9" s="456" t="s">
        <v>7</v>
      </c>
      <c r="Q9" s="456" t="s">
        <v>8</v>
      </c>
      <c r="R9" s="456" t="s">
        <v>9</v>
      </c>
      <c r="S9" s="457" t="s">
        <v>10</v>
      </c>
      <c r="T9" s="492" t="s">
        <v>6</v>
      </c>
      <c r="U9" s="456" t="s">
        <v>7</v>
      </c>
      <c r="V9" s="456" t="s">
        <v>8</v>
      </c>
      <c r="W9" s="456" t="s">
        <v>9</v>
      </c>
      <c r="X9" s="457" t="s">
        <v>10</v>
      </c>
      <c r="Y9" s="492" t="s">
        <v>6</v>
      </c>
      <c r="Z9" s="456" t="s">
        <v>7</v>
      </c>
      <c r="AA9" s="456" t="s">
        <v>8</v>
      </c>
      <c r="AB9" s="456" t="s">
        <v>9</v>
      </c>
      <c r="AC9" s="457" t="s">
        <v>10</v>
      </c>
      <c r="AD9" s="725"/>
    </row>
    <row r="10" spans="1:30">
      <c r="A10" s="458">
        <v>1</v>
      </c>
      <c r="B10" s="458">
        <v>2</v>
      </c>
      <c r="C10" s="458">
        <v>3</v>
      </c>
      <c r="D10" s="458">
        <v>4</v>
      </c>
      <c r="E10" s="458">
        <v>5</v>
      </c>
      <c r="F10" s="458">
        <v>6</v>
      </c>
      <c r="G10" s="458">
        <v>7</v>
      </c>
      <c r="H10" s="458">
        <v>8</v>
      </c>
      <c r="I10" s="458">
        <v>9</v>
      </c>
      <c r="J10" s="458">
        <v>10</v>
      </c>
      <c r="K10" s="458">
        <v>11</v>
      </c>
      <c r="L10" s="458">
        <v>12</v>
      </c>
      <c r="M10" s="458">
        <v>13</v>
      </c>
      <c r="N10" s="458">
        <v>14</v>
      </c>
      <c r="O10" s="458">
        <v>15</v>
      </c>
      <c r="P10" s="458">
        <v>16</v>
      </c>
      <c r="Q10" s="458">
        <v>17</v>
      </c>
      <c r="R10" s="458">
        <v>18</v>
      </c>
      <c r="S10" s="458">
        <v>19</v>
      </c>
      <c r="T10" s="458">
        <v>20</v>
      </c>
      <c r="U10" s="458">
        <v>21</v>
      </c>
      <c r="V10" s="458">
        <v>22</v>
      </c>
      <c r="W10" s="458">
        <v>23</v>
      </c>
      <c r="X10" s="458">
        <v>24</v>
      </c>
      <c r="Y10" s="458">
        <v>25</v>
      </c>
      <c r="Z10" s="458">
        <v>26</v>
      </c>
      <c r="AA10" s="458">
        <v>27</v>
      </c>
      <c r="AB10" s="458">
        <v>28</v>
      </c>
      <c r="AC10" s="458">
        <v>29</v>
      </c>
      <c r="AD10" s="458">
        <v>30</v>
      </c>
    </row>
    <row r="11" spans="1:30">
      <c r="A11" s="732" t="s">
        <v>86</v>
      </c>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pans="1:30" ht="23.25">
      <c r="A12" s="384" t="s">
        <v>221</v>
      </c>
      <c r="B12" s="717" t="s">
        <v>323</v>
      </c>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9"/>
    </row>
    <row r="13" spans="1:30" ht="93">
      <c r="A13" s="369" t="s">
        <v>12</v>
      </c>
      <c r="B13" s="459" t="s">
        <v>81</v>
      </c>
      <c r="C13" s="706" t="s">
        <v>14</v>
      </c>
      <c r="D13" s="460" t="s">
        <v>93</v>
      </c>
      <c r="E13" s="373">
        <f>SUM(F13:I13)</f>
        <v>28350</v>
      </c>
      <c r="F13" s="373">
        <f>43350-15000</f>
        <v>28350</v>
      </c>
      <c r="G13" s="373">
        <v>0</v>
      </c>
      <c r="H13" s="373">
        <v>0</v>
      </c>
      <c r="I13" s="373">
        <v>0</v>
      </c>
      <c r="J13" s="373">
        <f>K13+L13+M13+N13</f>
        <v>26292</v>
      </c>
      <c r="K13" s="373">
        <f>19722+15778-9208</f>
        <v>26292</v>
      </c>
      <c r="L13" s="373">
        <v>0</v>
      </c>
      <c r="M13" s="374">
        <v>0</v>
      </c>
      <c r="N13" s="374">
        <v>0</v>
      </c>
      <c r="O13" s="334">
        <f>P13+Q13+R13+S13</f>
        <v>27273</v>
      </c>
      <c r="P13" s="334">
        <f>42513-15240</f>
        <v>27273</v>
      </c>
      <c r="Q13" s="374">
        <v>0</v>
      </c>
      <c r="R13" s="374">
        <v>0</v>
      </c>
      <c r="S13" s="374">
        <v>0</v>
      </c>
      <c r="T13" s="374">
        <f>U13+V13+W13+X13</f>
        <v>0</v>
      </c>
      <c r="U13" s="374">
        <v>0</v>
      </c>
      <c r="V13" s="374">
        <v>0</v>
      </c>
      <c r="W13" s="374">
        <v>0</v>
      </c>
      <c r="X13" s="374">
        <v>0</v>
      </c>
      <c r="Y13" s="374">
        <f>Z13+AA13+AB13+AC13</f>
        <v>0</v>
      </c>
      <c r="Z13" s="374">
        <v>0</v>
      </c>
      <c r="AA13" s="374">
        <v>0</v>
      </c>
      <c r="AB13" s="374">
        <v>0</v>
      </c>
      <c r="AC13" s="374">
        <v>0</v>
      </c>
      <c r="AD13" s="378">
        <f t="shared" ref="AD13:AD18" si="0">E13+J13+O13+T13+Y13</f>
        <v>81915</v>
      </c>
    </row>
    <row r="14" spans="1:30" ht="93">
      <c r="A14" s="369" t="s">
        <v>13</v>
      </c>
      <c r="B14" s="461" t="s">
        <v>268</v>
      </c>
      <c r="C14" s="707"/>
      <c r="D14" s="460" t="s">
        <v>93</v>
      </c>
      <c r="E14" s="373">
        <f>SUM(F14:I14)</f>
        <v>7359</v>
      </c>
      <c r="F14" s="373">
        <f>12748-5387-2060</f>
        <v>5301</v>
      </c>
      <c r="G14" s="373">
        <v>0</v>
      </c>
      <c r="H14" s="373">
        <v>0</v>
      </c>
      <c r="I14" s="373">
        <f>4602-2544</f>
        <v>2058</v>
      </c>
      <c r="J14" s="373">
        <v>0</v>
      </c>
      <c r="K14" s="373">
        <v>0</v>
      </c>
      <c r="L14" s="373">
        <v>0</v>
      </c>
      <c r="M14" s="374">
        <v>0</v>
      </c>
      <c r="N14" s="374">
        <v>0</v>
      </c>
      <c r="O14" s="374">
        <v>0</v>
      </c>
      <c r="P14" s="374">
        <v>0</v>
      </c>
      <c r="Q14" s="374">
        <v>0</v>
      </c>
      <c r="R14" s="374">
        <v>0</v>
      </c>
      <c r="S14" s="374">
        <v>0</v>
      </c>
      <c r="T14" s="374">
        <f>U14+V14+W14+X14</f>
        <v>0</v>
      </c>
      <c r="U14" s="374">
        <v>0</v>
      </c>
      <c r="V14" s="374">
        <v>0</v>
      </c>
      <c r="W14" s="374">
        <v>0</v>
      </c>
      <c r="X14" s="374">
        <v>0</v>
      </c>
      <c r="Y14" s="374">
        <f>Z14+AA14+AB14+AC14</f>
        <v>0</v>
      </c>
      <c r="Z14" s="374">
        <v>0</v>
      </c>
      <c r="AA14" s="374">
        <v>0</v>
      </c>
      <c r="AB14" s="374">
        <v>0</v>
      </c>
      <c r="AC14" s="374">
        <v>0</v>
      </c>
      <c r="AD14" s="378">
        <f t="shared" si="0"/>
        <v>7359</v>
      </c>
    </row>
    <row r="15" spans="1:30" ht="93">
      <c r="A15" s="369" t="s">
        <v>15</v>
      </c>
      <c r="B15" s="462" t="s">
        <v>117</v>
      </c>
      <c r="C15" s="371" t="s">
        <v>218</v>
      </c>
      <c r="D15" s="384" t="s">
        <v>93</v>
      </c>
      <c r="E15" s="373">
        <f>F15+G15+H15+I15</f>
        <v>8260</v>
      </c>
      <c r="F15" s="373">
        <f>8260</f>
        <v>8260</v>
      </c>
      <c r="G15" s="373">
        <v>0</v>
      </c>
      <c r="H15" s="373">
        <v>0</v>
      </c>
      <c r="I15" s="373">
        <v>0</v>
      </c>
      <c r="J15" s="373">
        <f>K15+L15+M15+N15</f>
        <v>11513</v>
      </c>
      <c r="K15" s="373">
        <v>11513</v>
      </c>
      <c r="L15" s="373">
        <v>0</v>
      </c>
      <c r="M15" s="374">
        <v>0</v>
      </c>
      <c r="N15" s="374">
        <v>0</v>
      </c>
      <c r="O15" s="374">
        <f>P15+Q15+R15+S15</f>
        <v>10547</v>
      </c>
      <c r="P15" s="374">
        <v>10547</v>
      </c>
      <c r="Q15" s="374">
        <v>0</v>
      </c>
      <c r="R15" s="374">
        <v>0</v>
      </c>
      <c r="S15" s="374">
        <v>0</v>
      </c>
      <c r="T15" s="374">
        <f>U15+V15+W15+X15</f>
        <v>0</v>
      </c>
      <c r="U15" s="374">
        <v>0</v>
      </c>
      <c r="V15" s="374">
        <v>0</v>
      </c>
      <c r="W15" s="374">
        <v>0</v>
      </c>
      <c r="X15" s="374">
        <v>0</v>
      </c>
      <c r="Y15" s="374">
        <f>Z15+AA15+AB15+AC15</f>
        <v>0</v>
      </c>
      <c r="Z15" s="374">
        <v>0</v>
      </c>
      <c r="AA15" s="374">
        <v>0</v>
      </c>
      <c r="AB15" s="374">
        <v>0</v>
      </c>
      <c r="AC15" s="374">
        <v>0</v>
      </c>
      <c r="AD15" s="378">
        <f t="shared" si="0"/>
        <v>30320</v>
      </c>
    </row>
    <row r="16" spans="1:30" ht="69.75">
      <c r="A16" s="369" t="s">
        <v>16</v>
      </c>
      <c r="B16" s="376" t="s">
        <v>270</v>
      </c>
      <c r="C16" s="463" t="s">
        <v>14</v>
      </c>
      <c r="D16" s="384" t="s">
        <v>93</v>
      </c>
      <c r="E16" s="373">
        <f>F16+G16+H16+I16</f>
        <v>586.36999999999978</v>
      </c>
      <c r="F16" s="373">
        <f>3300-2825.3</f>
        <v>474.69999999999982</v>
      </c>
      <c r="G16" s="373">
        <v>0</v>
      </c>
      <c r="H16" s="373">
        <v>0</v>
      </c>
      <c r="I16" s="373">
        <f>775-663.33</f>
        <v>111.66999999999996</v>
      </c>
      <c r="J16" s="373">
        <v>0</v>
      </c>
      <c r="K16" s="373">
        <v>0</v>
      </c>
      <c r="L16" s="373">
        <v>0</v>
      </c>
      <c r="M16" s="374">
        <v>0</v>
      </c>
      <c r="N16" s="374">
        <v>0</v>
      </c>
      <c r="O16" s="374">
        <v>0</v>
      </c>
      <c r="P16" s="374">
        <v>0</v>
      </c>
      <c r="Q16" s="374">
        <v>0</v>
      </c>
      <c r="R16" s="374">
        <v>0</v>
      </c>
      <c r="S16" s="374">
        <v>0</v>
      </c>
      <c r="T16" s="374">
        <v>0</v>
      </c>
      <c r="U16" s="374">
        <v>0</v>
      </c>
      <c r="V16" s="374">
        <v>0</v>
      </c>
      <c r="W16" s="374">
        <v>0</v>
      </c>
      <c r="X16" s="374">
        <v>0</v>
      </c>
      <c r="Y16" s="374">
        <v>0</v>
      </c>
      <c r="Z16" s="374">
        <v>0</v>
      </c>
      <c r="AA16" s="374">
        <v>0</v>
      </c>
      <c r="AB16" s="374">
        <v>0</v>
      </c>
      <c r="AC16" s="374">
        <v>0</v>
      </c>
      <c r="AD16" s="378">
        <f t="shared" si="0"/>
        <v>586.36999999999978</v>
      </c>
    </row>
    <row r="17" spans="1:31" ht="37.5">
      <c r="A17" s="369" t="s">
        <v>17</v>
      </c>
      <c r="B17" s="376" t="s">
        <v>210</v>
      </c>
      <c r="C17" s="371" t="s">
        <v>94</v>
      </c>
      <c r="D17" s="372">
        <v>2020</v>
      </c>
      <c r="E17" s="373">
        <f t="shared" ref="E17:E22" si="1">F17+G17+H17+I17</f>
        <v>1192</v>
      </c>
      <c r="F17" s="373">
        <v>1192</v>
      </c>
      <c r="G17" s="373">
        <v>0</v>
      </c>
      <c r="H17" s="373">
        <v>0</v>
      </c>
      <c r="I17" s="373">
        <v>0</v>
      </c>
      <c r="J17" s="373">
        <f t="shared" ref="J17:J22" si="2">K17+L17+M17+N17</f>
        <v>0</v>
      </c>
      <c r="K17" s="373">
        <v>0</v>
      </c>
      <c r="L17" s="373">
        <v>0</v>
      </c>
      <c r="M17" s="374">
        <v>0</v>
      </c>
      <c r="N17" s="374">
        <v>0</v>
      </c>
      <c r="O17" s="374">
        <f>P17+Q17+R17+S17</f>
        <v>0</v>
      </c>
      <c r="P17" s="374">
        <v>0</v>
      </c>
      <c r="Q17" s="374">
        <v>0</v>
      </c>
      <c r="R17" s="374">
        <v>0</v>
      </c>
      <c r="S17" s="374">
        <v>0</v>
      </c>
      <c r="T17" s="374">
        <f>U17+V17+W17+X17</f>
        <v>0</v>
      </c>
      <c r="U17" s="374">
        <v>0</v>
      </c>
      <c r="V17" s="374">
        <v>0</v>
      </c>
      <c r="W17" s="374">
        <v>0</v>
      </c>
      <c r="X17" s="374">
        <v>0</v>
      </c>
      <c r="Y17" s="374">
        <f>Z17+AA17+AB17+AC17</f>
        <v>0</v>
      </c>
      <c r="Z17" s="374">
        <v>0</v>
      </c>
      <c r="AA17" s="374">
        <v>0</v>
      </c>
      <c r="AB17" s="374">
        <v>0</v>
      </c>
      <c r="AC17" s="374">
        <v>0</v>
      </c>
      <c r="AD17" s="374">
        <f t="shared" si="0"/>
        <v>1192</v>
      </c>
    </row>
    <row r="18" spans="1:31" ht="46.5">
      <c r="A18" s="369" t="s">
        <v>163</v>
      </c>
      <c r="B18" s="376" t="s">
        <v>121</v>
      </c>
      <c r="C18" s="371" t="s">
        <v>94</v>
      </c>
      <c r="D18" s="372" t="s">
        <v>164</v>
      </c>
      <c r="E18" s="373">
        <f t="shared" si="1"/>
        <v>6060</v>
      </c>
      <c r="F18" s="373">
        <f>6183-123</f>
        <v>6060</v>
      </c>
      <c r="G18" s="373">
        <v>0</v>
      </c>
      <c r="H18" s="373">
        <v>0</v>
      </c>
      <c r="I18" s="373">
        <v>0</v>
      </c>
      <c r="J18" s="373">
        <f t="shared" si="2"/>
        <v>5586</v>
      </c>
      <c r="K18" s="373">
        <f>5832-126-120</f>
        <v>5586</v>
      </c>
      <c r="L18" s="373">
        <v>0</v>
      </c>
      <c r="M18" s="374">
        <v>0</v>
      </c>
      <c r="N18" s="374">
        <v>0</v>
      </c>
      <c r="O18" s="136">
        <f>P18+Q18+R18+S18</f>
        <v>5310</v>
      </c>
      <c r="P18" s="136">
        <f>5760-60-390</f>
        <v>5310</v>
      </c>
      <c r="Q18" s="137">
        <v>0</v>
      </c>
      <c r="R18" s="137">
        <v>0</v>
      </c>
      <c r="S18" s="137">
        <v>0</v>
      </c>
      <c r="T18" s="374">
        <f>U18+V18+W18+X18</f>
        <v>0</v>
      </c>
      <c r="U18" s="374">
        <v>0</v>
      </c>
      <c r="V18" s="374">
        <v>0</v>
      </c>
      <c r="W18" s="374">
        <v>0</v>
      </c>
      <c r="X18" s="374">
        <v>0</v>
      </c>
      <c r="Y18" s="374">
        <f>Z18+AA18+AB18+AC18</f>
        <v>0</v>
      </c>
      <c r="Z18" s="374">
        <v>0</v>
      </c>
      <c r="AA18" s="374">
        <v>0</v>
      </c>
      <c r="AB18" s="374">
        <v>0</v>
      </c>
      <c r="AC18" s="374">
        <v>0</v>
      </c>
      <c r="AD18" s="374">
        <f t="shared" si="0"/>
        <v>16956</v>
      </c>
    </row>
    <row r="19" spans="1:31" ht="37.5">
      <c r="A19" s="369" t="s">
        <v>182</v>
      </c>
      <c r="B19" s="370" t="s">
        <v>124</v>
      </c>
      <c r="C19" s="371" t="s">
        <v>94</v>
      </c>
      <c r="D19" s="372" t="s">
        <v>282</v>
      </c>
      <c r="E19" s="373">
        <f t="shared" si="1"/>
        <v>785</v>
      </c>
      <c r="F19" s="373">
        <v>785</v>
      </c>
      <c r="G19" s="373">
        <v>0</v>
      </c>
      <c r="H19" s="373">
        <v>0</v>
      </c>
      <c r="I19" s="373">
        <v>0</v>
      </c>
      <c r="J19" s="373">
        <f t="shared" si="2"/>
        <v>90</v>
      </c>
      <c r="K19" s="373">
        <v>90</v>
      </c>
      <c r="L19" s="373">
        <v>0</v>
      </c>
      <c r="M19" s="374">
        <v>0</v>
      </c>
      <c r="N19" s="374">
        <v>0</v>
      </c>
      <c r="O19" s="374">
        <v>0</v>
      </c>
      <c r="P19" s="374">
        <v>0</v>
      </c>
      <c r="Q19" s="374">
        <v>0</v>
      </c>
      <c r="R19" s="374">
        <v>0</v>
      </c>
      <c r="S19" s="374">
        <v>0</v>
      </c>
      <c r="T19" s="374">
        <v>0</v>
      </c>
      <c r="U19" s="374">
        <v>0</v>
      </c>
      <c r="V19" s="374">
        <v>0</v>
      </c>
      <c r="W19" s="374">
        <v>0</v>
      </c>
      <c r="X19" s="374">
        <v>0</v>
      </c>
      <c r="Y19" s="374">
        <v>0</v>
      </c>
      <c r="Z19" s="374">
        <v>0</v>
      </c>
      <c r="AA19" s="374">
        <v>0</v>
      </c>
      <c r="AB19" s="374">
        <v>0</v>
      </c>
      <c r="AC19" s="374">
        <v>0</v>
      </c>
      <c r="AD19" s="374">
        <f>E19+J19+O19+T19+Y19</f>
        <v>875</v>
      </c>
    </row>
    <row r="20" spans="1:31" ht="46.5">
      <c r="A20" s="369" t="s">
        <v>208</v>
      </c>
      <c r="B20" s="370" t="s">
        <v>126</v>
      </c>
      <c r="C20" s="371" t="s">
        <v>94</v>
      </c>
      <c r="D20" s="372">
        <v>2020</v>
      </c>
      <c r="E20" s="373">
        <f t="shared" si="1"/>
        <v>110</v>
      </c>
      <c r="F20" s="373">
        <v>110</v>
      </c>
      <c r="G20" s="373">
        <v>0</v>
      </c>
      <c r="H20" s="373">
        <v>0</v>
      </c>
      <c r="I20" s="373">
        <v>0</v>
      </c>
      <c r="J20" s="373">
        <f t="shared" si="2"/>
        <v>0</v>
      </c>
      <c r="K20" s="373">
        <v>0</v>
      </c>
      <c r="L20" s="373">
        <v>0</v>
      </c>
      <c r="M20" s="374">
        <v>0</v>
      </c>
      <c r="N20" s="374">
        <v>0</v>
      </c>
      <c r="O20" s="374">
        <f t="shared" ref="O20:O26" si="3">P20+Q20+R20+S20</f>
        <v>0</v>
      </c>
      <c r="P20" s="374">
        <v>0</v>
      </c>
      <c r="Q20" s="374">
        <v>0</v>
      </c>
      <c r="R20" s="374">
        <v>0</v>
      </c>
      <c r="S20" s="374">
        <v>0</v>
      </c>
      <c r="T20" s="374">
        <f t="shared" ref="T20:T26" si="4">U20+V20+W20+X20</f>
        <v>0</v>
      </c>
      <c r="U20" s="374">
        <v>0</v>
      </c>
      <c r="V20" s="374">
        <v>0</v>
      </c>
      <c r="W20" s="374">
        <v>0</v>
      </c>
      <c r="X20" s="374">
        <v>0</v>
      </c>
      <c r="Y20" s="374">
        <f>Z20+AA20+AB20+AC20</f>
        <v>0</v>
      </c>
      <c r="Z20" s="374">
        <v>0</v>
      </c>
      <c r="AA20" s="374">
        <v>0</v>
      </c>
      <c r="AB20" s="374">
        <v>0</v>
      </c>
      <c r="AC20" s="374">
        <v>0</v>
      </c>
      <c r="AD20" s="374">
        <f t="shared" ref="AD20:AD26" si="5">E20+J20+O20+T20+Y20</f>
        <v>110</v>
      </c>
    </row>
    <row r="21" spans="1:31" ht="46.5">
      <c r="A21" s="369" t="s">
        <v>211</v>
      </c>
      <c r="B21" s="370" t="s">
        <v>122</v>
      </c>
      <c r="C21" s="371" t="s">
        <v>94</v>
      </c>
      <c r="D21" s="372">
        <v>2020</v>
      </c>
      <c r="E21" s="373">
        <f t="shared" si="1"/>
        <v>53</v>
      </c>
      <c r="F21" s="373">
        <v>53</v>
      </c>
      <c r="G21" s="373">
        <v>0</v>
      </c>
      <c r="H21" s="373">
        <v>0</v>
      </c>
      <c r="I21" s="373">
        <v>0</v>
      </c>
      <c r="J21" s="373">
        <f t="shared" si="2"/>
        <v>0</v>
      </c>
      <c r="K21" s="373">
        <v>0</v>
      </c>
      <c r="L21" s="373">
        <v>0</v>
      </c>
      <c r="M21" s="374">
        <v>0</v>
      </c>
      <c r="N21" s="374">
        <v>0</v>
      </c>
      <c r="O21" s="374">
        <f t="shared" si="3"/>
        <v>0</v>
      </c>
      <c r="P21" s="374">
        <v>0</v>
      </c>
      <c r="Q21" s="374">
        <v>0</v>
      </c>
      <c r="R21" s="374">
        <v>0</v>
      </c>
      <c r="S21" s="374">
        <v>0</v>
      </c>
      <c r="T21" s="374">
        <f t="shared" si="4"/>
        <v>0</v>
      </c>
      <c r="U21" s="374">
        <v>0</v>
      </c>
      <c r="V21" s="374">
        <v>0</v>
      </c>
      <c r="W21" s="374">
        <v>0</v>
      </c>
      <c r="X21" s="374">
        <v>0</v>
      </c>
      <c r="Y21" s="374">
        <f>Z21+AA21+AB21+AC21</f>
        <v>0</v>
      </c>
      <c r="Z21" s="374">
        <v>0</v>
      </c>
      <c r="AA21" s="374">
        <v>0</v>
      </c>
      <c r="AB21" s="374">
        <v>0</v>
      </c>
      <c r="AC21" s="374">
        <v>0</v>
      </c>
      <c r="AD21" s="374">
        <f t="shared" si="5"/>
        <v>53</v>
      </c>
    </row>
    <row r="22" spans="1:31" ht="46.5">
      <c r="A22" s="369" t="s">
        <v>212</v>
      </c>
      <c r="B22" s="370" t="s">
        <v>123</v>
      </c>
      <c r="C22" s="371" t="s">
        <v>94</v>
      </c>
      <c r="D22" s="372">
        <v>2020</v>
      </c>
      <c r="E22" s="373">
        <f t="shared" si="1"/>
        <v>130</v>
      </c>
      <c r="F22" s="373">
        <f>112+18</f>
        <v>130</v>
      </c>
      <c r="G22" s="373">
        <v>0</v>
      </c>
      <c r="H22" s="373">
        <v>0</v>
      </c>
      <c r="I22" s="373">
        <v>0</v>
      </c>
      <c r="J22" s="373">
        <f t="shared" si="2"/>
        <v>0</v>
      </c>
      <c r="K22" s="373">
        <v>0</v>
      </c>
      <c r="L22" s="373">
        <v>0</v>
      </c>
      <c r="M22" s="374">
        <v>0</v>
      </c>
      <c r="N22" s="374">
        <v>0</v>
      </c>
      <c r="O22" s="374">
        <f t="shared" si="3"/>
        <v>0</v>
      </c>
      <c r="P22" s="374">
        <v>0</v>
      </c>
      <c r="Q22" s="374">
        <v>0</v>
      </c>
      <c r="R22" s="374">
        <v>0</v>
      </c>
      <c r="S22" s="374">
        <v>0</v>
      </c>
      <c r="T22" s="374">
        <f t="shared" si="4"/>
        <v>0</v>
      </c>
      <c r="U22" s="374">
        <v>0</v>
      </c>
      <c r="V22" s="374">
        <v>0</v>
      </c>
      <c r="W22" s="374">
        <v>0</v>
      </c>
      <c r="X22" s="374">
        <v>0</v>
      </c>
      <c r="Y22" s="374">
        <f>Z22+AA22+AB22+AC22</f>
        <v>0</v>
      </c>
      <c r="Z22" s="374">
        <v>0</v>
      </c>
      <c r="AA22" s="374">
        <v>0</v>
      </c>
      <c r="AB22" s="374">
        <v>0</v>
      </c>
      <c r="AC22" s="374">
        <v>0</v>
      </c>
      <c r="AD22" s="374">
        <f t="shared" si="5"/>
        <v>130</v>
      </c>
    </row>
    <row r="23" spans="1:31" ht="46.5">
      <c r="A23" s="369" t="s">
        <v>213</v>
      </c>
      <c r="B23" s="370" t="s">
        <v>125</v>
      </c>
      <c r="C23" s="371" t="s">
        <v>94</v>
      </c>
      <c r="D23" s="372" t="s">
        <v>164</v>
      </c>
      <c r="E23" s="373">
        <v>120</v>
      </c>
      <c r="F23" s="373">
        <v>120</v>
      </c>
      <c r="G23" s="373">
        <v>0</v>
      </c>
      <c r="H23" s="373">
        <v>0</v>
      </c>
      <c r="I23" s="373">
        <v>0</v>
      </c>
      <c r="J23" s="373">
        <f>K23+L23+M23+N23</f>
        <v>0</v>
      </c>
      <c r="K23" s="373">
        <f>60-60</f>
        <v>0</v>
      </c>
      <c r="L23" s="373">
        <v>0</v>
      </c>
      <c r="M23" s="374">
        <v>0</v>
      </c>
      <c r="N23" s="374">
        <v>0</v>
      </c>
      <c r="O23" s="374">
        <f t="shared" si="3"/>
        <v>120</v>
      </c>
      <c r="P23" s="374">
        <f>60+60</f>
        <v>120</v>
      </c>
      <c r="Q23" s="374">
        <v>0</v>
      </c>
      <c r="R23" s="374">
        <v>0</v>
      </c>
      <c r="S23" s="374">
        <v>0</v>
      </c>
      <c r="T23" s="374">
        <f t="shared" si="4"/>
        <v>0</v>
      </c>
      <c r="U23" s="374">
        <v>0</v>
      </c>
      <c r="V23" s="374">
        <v>0</v>
      </c>
      <c r="W23" s="374">
        <v>0</v>
      </c>
      <c r="X23" s="374">
        <v>0</v>
      </c>
      <c r="Y23" s="374">
        <f>Z23+AA23+AB23+AC23</f>
        <v>0</v>
      </c>
      <c r="Z23" s="374">
        <v>0</v>
      </c>
      <c r="AA23" s="374">
        <v>0</v>
      </c>
      <c r="AB23" s="374">
        <v>0</v>
      </c>
      <c r="AC23" s="374">
        <v>0</v>
      </c>
      <c r="AD23" s="374">
        <f t="shared" si="5"/>
        <v>240</v>
      </c>
    </row>
    <row r="24" spans="1:31" ht="37.5">
      <c r="A24" s="369" t="s">
        <v>214</v>
      </c>
      <c r="B24" s="370" t="s">
        <v>205</v>
      </c>
      <c r="C24" s="371" t="s">
        <v>52</v>
      </c>
      <c r="D24" s="372" t="s">
        <v>287</v>
      </c>
      <c r="E24" s="373">
        <v>23068</v>
      </c>
      <c r="F24" s="373">
        <v>0</v>
      </c>
      <c r="G24" s="373">
        <v>23068</v>
      </c>
      <c r="H24" s="373">
        <v>0</v>
      </c>
      <c r="I24" s="373">
        <v>0</v>
      </c>
      <c r="J24" s="373">
        <f>K24+L24+M24+N24</f>
        <v>22592</v>
      </c>
      <c r="K24" s="373">
        <v>0</v>
      </c>
      <c r="L24" s="373">
        <f>23742-1150</f>
        <v>22592</v>
      </c>
      <c r="M24" s="374">
        <v>0</v>
      </c>
      <c r="N24" s="374">
        <v>0</v>
      </c>
      <c r="O24" s="374">
        <f t="shared" si="3"/>
        <v>25095.52</v>
      </c>
      <c r="P24" s="374">
        <v>0</v>
      </c>
      <c r="Q24" s="374">
        <f>24077+1018.52</f>
        <v>25095.52</v>
      </c>
      <c r="R24" s="374">
        <v>0</v>
      </c>
      <c r="S24" s="374">
        <v>0</v>
      </c>
      <c r="T24" s="374">
        <f t="shared" si="4"/>
        <v>24077</v>
      </c>
      <c r="U24" s="374">
        <v>0</v>
      </c>
      <c r="V24" s="374">
        <v>24077</v>
      </c>
      <c r="W24" s="374">
        <v>0</v>
      </c>
      <c r="X24" s="374">
        <v>0</v>
      </c>
      <c r="Y24" s="374">
        <f>Z24+AA24+AB24+AC24</f>
        <v>24077</v>
      </c>
      <c r="Z24" s="374">
        <v>0</v>
      </c>
      <c r="AA24" s="374">
        <v>24077</v>
      </c>
      <c r="AB24" s="374">
        <v>0</v>
      </c>
      <c r="AC24" s="374">
        <v>0</v>
      </c>
      <c r="AD24" s="374">
        <f>E24+J24+O24+T24+Y24</f>
        <v>118909.52</v>
      </c>
    </row>
    <row r="25" spans="1:31" ht="46.5">
      <c r="A25" s="369" t="s">
        <v>215</v>
      </c>
      <c r="B25" s="370" t="s">
        <v>198</v>
      </c>
      <c r="C25" s="371" t="s">
        <v>52</v>
      </c>
      <c r="D25" s="372" t="s">
        <v>309</v>
      </c>
      <c r="E25" s="373">
        <v>238</v>
      </c>
      <c r="F25" s="375">
        <v>0</v>
      </c>
      <c r="G25" s="373">
        <v>238</v>
      </c>
      <c r="H25" s="373">
        <v>0</v>
      </c>
      <c r="I25" s="373">
        <v>0</v>
      </c>
      <c r="J25" s="373">
        <f>K25+L25+M25+N25</f>
        <v>476</v>
      </c>
      <c r="K25" s="373">
        <v>0</v>
      </c>
      <c r="L25" s="373">
        <v>476</v>
      </c>
      <c r="M25" s="374">
        <v>0</v>
      </c>
      <c r="N25" s="374">
        <v>0</v>
      </c>
      <c r="O25" s="374">
        <f t="shared" si="3"/>
        <v>2380</v>
      </c>
      <c r="P25" s="374">
        <v>0</v>
      </c>
      <c r="Q25" s="334">
        <f>476+1428+476</f>
        <v>2380</v>
      </c>
      <c r="R25" s="374">
        <v>0</v>
      </c>
      <c r="S25" s="374">
        <v>0</v>
      </c>
      <c r="T25" s="374">
        <f t="shared" si="4"/>
        <v>0</v>
      </c>
      <c r="U25" s="374">
        <v>0</v>
      </c>
      <c r="V25" s="374">
        <v>0</v>
      </c>
      <c r="W25" s="374">
        <v>0</v>
      </c>
      <c r="X25" s="374">
        <v>0</v>
      </c>
      <c r="Y25" s="374">
        <f>Z25+AA25+AB25</f>
        <v>0</v>
      </c>
      <c r="Z25" s="374">
        <v>0</v>
      </c>
      <c r="AA25" s="374">
        <v>0</v>
      </c>
      <c r="AB25" s="374">
        <v>0</v>
      </c>
      <c r="AC25" s="374">
        <v>0</v>
      </c>
      <c r="AD25" s="374">
        <f>E25+J25+O25+T25+Y25</f>
        <v>3094</v>
      </c>
    </row>
    <row r="26" spans="1:31" ht="46.5">
      <c r="A26" s="369" t="s">
        <v>216</v>
      </c>
      <c r="B26" s="376" t="s">
        <v>217</v>
      </c>
      <c r="C26" s="371" t="s">
        <v>94</v>
      </c>
      <c r="D26" s="372">
        <v>2020</v>
      </c>
      <c r="E26" s="373">
        <f>F26+G26+H26+I26</f>
        <v>120</v>
      </c>
      <c r="F26" s="373">
        <f>300-180</f>
        <v>120</v>
      </c>
      <c r="G26" s="373">
        <v>0</v>
      </c>
      <c r="H26" s="373">
        <v>0</v>
      </c>
      <c r="I26" s="373">
        <v>0</v>
      </c>
      <c r="J26" s="373">
        <f>K26+L26+M26+N26</f>
        <v>0</v>
      </c>
      <c r="K26" s="373">
        <v>0</v>
      </c>
      <c r="L26" s="373">
        <v>0</v>
      </c>
      <c r="M26" s="374">
        <v>0</v>
      </c>
      <c r="N26" s="374">
        <v>0</v>
      </c>
      <c r="O26" s="374">
        <f t="shared" si="3"/>
        <v>0</v>
      </c>
      <c r="P26" s="374">
        <v>0</v>
      </c>
      <c r="Q26" s="374">
        <v>0</v>
      </c>
      <c r="R26" s="374">
        <v>0</v>
      </c>
      <c r="S26" s="374">
        <v>0</v>
      </c>
      <c r="T26" s="374">
        <f t="shared" si="4"/>
        <v>0</v>
      </c>
      <c r="U26" s="374">
        <v>0</v>
      </c>
      <c r="V26" s="374">
        <v>0</v>
      </c>
      <c r="W26" s="374">
        <v>0</v>
      </c>
      <c r="X26" s="374">
        <v>0</v>
      </c>
      <c r="Y26" s="374">
        <f>Z26+AA26+AB26+AC26</f>
        <v>0</v>
      </c>
      <c r="Z26" s="374">
        <v>0</v>
      </c>
      <c r="AA26" s="374">
        <v>0</v>
      </c>
      <c r="AB26" s="374">
        <v>0</v>
      </c>
      <c r="AC26" s="374">
        <v>0</v>
      </c>
      <c r="AD26" s="374">
        <f t="shared" si="5"/>
        <v>120</v>
      </c>
    </row>
    <row r="27" spans="1:31" ht="23.25">
      <c r="A27" s="687" t="s">
        <v>313</v>
      </c>
      <c r="B27" s="688"/>
      <c r="C27" s="689"/>
      <c r="D27" s="377"/>
      <c r="E27" s="378">
        <f>E28+E29+E30</f>
        <v>76431.37</v>
      </c>
      <c r="F27" s="378">
        <f>SUM(F13:F26)</f>
        <v>50955.7</v>
      </c>
      <c r="G27" s="378">
        <f>G28+G29+G30</f>
        <v>23306</v>
      </c>
      <c r="H27" s="378">
        <f>SUM(H13:H17)</f>
        <v>0</v>
      </c>
      <c r="I27" s="378">
        <f>SUM(I13:I17)</f>
        <v>2169.67</v>
      </c>
      <c r="J27" s="378">
        <f>J28+J29+J30</f>
        <v>66549</v>
      </c>
      <c r="K27" s="378">
        <f>K28+K29</f>
        <v>43481</v>
      </c>
      <c r="L27" s="378">
        <f>L13+L14+L15+L16+L17+L18+L19+L20+L21+L22+L23+L24+L25+L26</f>
        <v>23068</v>
      </c>
      <c r="M27" s="378">
        <f>SUM(M13:M17)</f>
        <v>0</v>
      </c>
      <c r="N27" s="378">
        <f>SUM(N13:N17)</f>
        <v>0</v>
      </c>
      <c r="O27" s="378">
        <f>P27+Q27+R27+S27</f>
        <v>70725.52</v>
      </c>
      <c r="P27" s="378">
        <f>P28+P29</f>
        <v>43250</v>
      </c>
      <c r="Q27" s="378">
        <f>Q28+Q29+Q30</f>
        <v>27475.52</v>
      </c>
      <c r="R27" s="378">
        <f>SUM(R13:R17)</f>
        <v>0</v>
      </c>
      <c r="S27" s="378">
        <f>SUM(S13:S17)</f>
        <v>0</v>
      </c>
      <c r="T27" s="378">
        <f>SUM(T13:T26)</f>
        <v>24077</v>
      </c>
      <c r="U27" s="378">
        <f>SUM(U13:U26)</f>
        <v>0</v>
      </c>
      <c r="V27" s="378">
        <f>V28+V29+V30</f>
        <v>24077</v>
      </c>
      <c r="W27" s="378">
        <f>SUM(W13:W16)</f>
        <v>0</v>
      </c>
      <c r="X27" s="378">
        <f>SUM(X13:X16)</f>
        <v>0</v>
      </c>
      <c r="Y27" s="378">
        <f>Y28+Y29+Y30</f>
        <v>24077</v>
      </c>
      <c r="Z27" s="378">
        <f>Z28+Z29+Z30</f>
        <v>0</v>
      </c>
      <c r="AA27" s="378">
        <f>AA28+AA29+AA30</f>
        <v>24077</v>
      </c>
      <c r="AB27" s="378">
        <f>SUM(AB13:AB17)</f>
        <v>0</v>
      </c>
      <c r="AC27" s="378">
        <f>SUM(AC13:AC17)</f>
        <v>0</v>
      </c>
      <c r="AD27" s="378">
        <f>AD28+AD29+AD30</f>
        <v>261859.89</v>
      </c>
    </row>
    <row r="28" spans="1:31" ht="23.25">
      <c r="A28" s="379" t="s">
        <v>14</v>
      </c>
      <c r="B28" s="448"/>
      <c r="C28" s="449"/>
      <c r="D28" s="380"/>
      <c r="E28" s="374">
        <f>F28+G28+H28+I28</f>
        <v>36295.369999999995</v>
      </c>
      <c r="F28" s="374">
        <f>F13+F14+F16</f>
        <v>34125.699999999997</v>
      </c>
      <c r="G28" s="374">
        <f>G13+G14+G16</f>
        <v>0</v>
      </c>
      <c r="H28" s="374">
        <f>G13+G14+G16</f>
        <v>0</v>
      </c>
      <c r="I28" s="374">
        <f>I14+I16</f>
        <v>2169.67</v>
      </c>
      <c r="J28" s="374">
        <f t="shared" ref="J28:V28" si="6">J13+J14+J16</f>
        <v>26292</v>
      </c>
      <c r="K28" s="374">
        <f t="shared" si="6"/>
        <v>26292</v>
      </c>
      <c r="L28" s="374">
        <f t="shared" si="6"/>
        <v>0</v>
      </c>
      <c r="M28" s="374">
        <f t="shared" si="6"/>
        <v>0</v>
      </c>
      <c r="N28" s="374">
        <f t="shared" si="6"/>
        <v>0</v>
      </c>
      <c r="O28" s="374">
        <f t="shared" si="6"/>
        <v>27273</v>
      </c>
      <c r="P28" s="374">
        <f t="shared" si="6"/>
        <v>27273</v>
      </c>
      <c r="Q28" s="374">
        <f t="shared" si="6"/>
        <v>0</v>
      </c>
      <c r="R28" s="374">
        <f t="shared" si="6"/>
        <v>0</v>
      </c>
      <c r="S28" s="374">
        <f t="shared" si="6"/>
        <v>0</v>
      </c>
      <c r="T28" s="374">
        <f t="shared" si="6"/>
        <v>0</v>
      </c>
      <c r="U28" s="374">
        <f t="shared" si="6"/>
        <v>0</v>
      </c>
      <c r="V28" s="374">
        <f t="shared" si="6"/>
        <v>0</v>
      </c>
      <c r="W28" s="374">
        <f>W13+W14+W16</f>
        <v>0</v>
      </c>
      <c r="X28" s="374">
        <f t="shared" ref="X28:AC28" si="7">X13+X14+X16</f>
        <v>0</v>
      </c>
      <c r="Y28" s="374">
        <f t="shared" si="7"/>
        <v>0</v>
      </c>
      <c r="Z28" s="374">
        <f>Z13+Z14+Z16</f>
        <v>0</v>
      </c>
      <c r="AA28" s="374">
        <f t="shared" si="7"/>
        <v>0</v>
      </c>
      <c r="AB28" s="374">
        <f t="shared" si="7"/>
        <v>0</v>
      </c>
      <c r="AC28" s="374">
        <f t="shared" si="7"/>
        <v>0</v>
      </c>
      <c r="AD28" s="374">
        <f>E28+J28+O28+T28+Y28</f>
        <v>89860.37</v>
      </c>
    </row>
    <row r="29" spans="1:31" ht="23.25">
      <c r="A29" s="379" t="s">
        <v>135</v>
      </c>
      <c r="B29" s="381"/>
      <c r="C29" s="382"/>
      <c r="D29" s="380"/>
      <c r="E29" s="374">
        <f>E15+E17+E18+E19+E20+E21+E22+E23+E26</f>
        <v>16830</v>
      </c>
      <c r="F29" s="374">
        <f>F15+F17+F18+F19+F20+F21+F22+F23+F26</f>
        <v>16830</v>
      </c>
      <c r="G29" s="374">
        <f>G15+G16</f>
        <v>0</v>
      </c>
      <c r="H29" s="374">
        <f>H15+H17+H18+H19+H20+H21+H22+H23+H26</f>
        <v>0</v>
      </c>
      <c r="I29" s="374">
        <f>I15+I17+I17+I18+I19+I20+I21+I22+I23+I26</f>
        <v>0</v>
      </c>
      <c r="J29" s="374">
        <f>J15+J17+J18+J19+J20+J21+J22+J23+J26</f>
        <v>17189</v>
      </c>
      <c r="K29" s="374">
        <f>K15+K17+K18+K19+K20+K21+K22+K23+K26</f>
        <v>17189</v>
      </c>
      <c r="L29" s="374">
        <f>L15+L17+L18+L19+L20+L21+L22+L23+L26</f>
        <v>0</v>
      </c>
      <c r="M29" s="374">
        <f>M24+M25</f>
        <v>0</v>
      </c>
      <c r="N29" s="374">
        <f>N24+N25</f>
        <v>0</v>
      </c>
      <c r="O29" s="374">
        <f>O15+O17+O18+O19+O20+O21+O22+O23+O26</f>
        <v>15977</v>
      </c>
      <c r="P29" s="374">
        <f>P15+P17+P18+P19+P20+P21+P22+P23+P26</f>
        <v>15977</v>
      </c>
      <c r="Q29" s="374">
        <f t="shared" ref="Q29:AC29" si="8">Q15+Q17+Q18+Q19+Q20+Q21+Q22+Q23+Q26</f>
        <v>0</v>
      </c>
      <c r="R29" s="374">
        <f t="shared" si="8"/>
        <v>0</v>
      </c>
      <c r="S29" s="374">
        <f t="shared" si="8"/>
        <v>0</v>
      </c>
      <c r="T29" s="374">
        <f>T15+T18+T23</f>
        <v>0</v>
      </c>
      <c r="U29" s="374">
        <f>U15+U17+U18+U19+U20+U21+U22+U23+U26</f>
        <v>0</v>
      </c>
      <c r="V29" s="374">
        <f t="shared" si="8"/>
        <v>0</v>
      </c>
      <c r="W29" s="374">
        <f t="shared" si="8"/>
        <v>0</v>
      </c>
      <c r="X29" s="374">
        <f t="shared" si="8"/>
        <v>0</v>
      </c>
      <c r="Y29" s="374">
        <f t="shared" si="8"/>
        <v>0</v>
      </c>
      <c r="Z29" s="374">
        <f>Z15+Z17+Z18+Z19+Z20+Z21+Z22+Z23+Z26</f>
        <v>0</v>
      </c>
      <c r="AA29" s="374">
        <f t="shared" si="8"/>
        <v>0</v>
      </c>
      <c r="AB29" s="374">
        <f t="shared" si="8"/>
        <v>0</v>
      </c>
      <c r="AC29" s="374">
        <f t="shared" si="8"/>
        <v>0</v>
      </c>
      <c r="AD29" s="374">
        <f>E29+J29+O29+T29+Y29</f>
        <v>49996</v>
      </c>
      <c r="AE29" s="464"/>
    </row>
    <row r="30" spans="1:31" ht="23.25">
      <c r="A30" s="448" t="s">
        <v>73</v>
      </c>
      <c r="B30" s="449"/>
      <c r="C30" s="449"/>
      <c r="D30" s="383"/>
      <c r="E30" s="374">
        <f t="shared" ref="E30:S30" si="9">E24+E25</f>
        <v>23306</v>
      </c>
      <c r="F30" s="374">
        <f t="shared" si="9"/>
        <v>0</v>
      </c>
      <c r="G30" s="374">
        <f t="shared" si="9"/>
        <v>23306</v>
      </c>
      <c r="H30" s="374">
        <f t="shared" si="9"/>
        <v>0</v>
      </c>
      <c r="I30" s="374">
        <f t="shared" si="9"/>
        <v>0</v>
      </c>
      <c r="J30" s="374">
        <f t="shared" si="9"/>
        <v>23068</v>
      </c>
      <c r="K30" s="374">
        <f t="shared" si="9"/>
        <v>0</v>
      </c>
      <c r="L30" s="374">
        <f t="shared" si="9"/>
        <v>23068</v>
      </c>
      <c r="M30" s="374">
        <f t="shared" si="9"/>
        <v>0</v>
      </c>
      <c r="N30" s="374">
        <f t="shared" si="9"/>
        <v>0</v>
      </c>
      <c r="O30" s="374">
        <f t="shared" si="9"/>
        <v>27475.52</v>
      </c>
      <c r="P30" s="374">
        <f t="shared" si="9"/>
        <v>0</v>
      </c>
      <c r="Q30" s="374">
        <f>Q24+Q25</f>
        <v>27475.52</v>
      </c>
      <c r="R30" s="374">
        <f t="shared" si="9"/>
        <v>0</v>
      </c>
      <c r="S30" s="374">
        <f t="shared" si="9"/>
        <v>0</v>
      </c>
      <c r="T30" s="374">
        <f>T24+T25</f>
        <v>24077</v>
      </c>
      <c r="U30" s="374">
        <f>U25+U24</f>
        <v>0</v>
      </c>
      <c r="V30" s="374">
        <f>V24+V25</f>
        <v>24077</v>
      </c>
      <c r="W30" s="374">
        <f t="shared" ref="W30:AC30" si="10">W24+W25</f>
        <v>0</v>
      </c>
      <c r="X30" s="374">
        <f t="shared" si="10"/>
        <v>0</v>
      </c>
      <c r="Y30" s="374">
        <f t="shared" si="10"/>
        <v>24077</v>
      </c>
      <c r="Z30" s="374">
        <f t="shared" si="10"/>
        <v>0</v>
      </c>
      <c r="AA30" s="374">
        <f>AA24+AA25</f>
        <v>24077</v>
      </c>
      <c r="AB30" s="374">
        <f t="shared" si="10"/>
        <v>0</v>
      </c>
      <c r="AC30" s="374">
        <f t="shared" si="10"/>
        <v>0</v>
      </c>
      <c r="AD30" s="374">
        <f>E30+J30+O30+T30+Y30</f>
        <v>122003.52</v>
      </c>
      <c r="AE30" s="464"/>
    </row>
    <row r="31" spans="1:31" ht="23.25">
      <c r="A31" s="384" t="s">
        <v>222</v>
      </c>
      <c r="B31" s="690" t="s">
        <v>308</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2"/>
    </row>
    <row r="32" spans="1:31" ht="93">
      <c r="A32" s="369" t="s">
        <v>21</v>
      </c>
      <c r="B32" s="465" t="s">
        <v>192</v>
      </c>
      <c r="C32" s="384" t="s">
        <v>94</v>
      </c>
      <c r="D32" s="384" t="s">
        <v>93</v>
      </c>
      <c r="E32" s="374">
        <f>F32+G32+H32+I32</f>
        <v>1892</v>
      </c>
      <c r="F32" s="374">
        <f>2664-772</f>
        <v>1892</v>
      </c>
      <c r="G32" s="374">
        <v>0</v>
      </c>
      <c r="H32" s="374">
        <v>0</v>
      </c>
      <c r="I32" s="374">
        <v>0</v>
      </c>
      <c r="J32" s="374">
        <f>K32+L32+M32+N32</f>
        <v>1072</v>
      </c>
      <c r="K32" s="374">
        <f>1892-286-534</f>
        <v>1072</v>
      </c>
      <c r="L32" s="374">
        <v>0</v>
      </c>
      <c r="M32" s="374">
        <v>0</v>
      </c>
      <c r="N32" s="374">
        <v>0</v>
      </c>
      <c r="O32" s="334">
        <f>P32+Q32+R32+S32</f>
        <v>319</v>
      </c>
      <c r="P32" s="334">
        <f>1633-465-849</f>
        <v>319</v>
      </c>
      <c r="Q32" s="374">
        <v>0</v>
      </c>
      <c r="R32" s="374">
        <v>0</v>
      </c>
      <c r="S32" s="374">
        <v>0</v>
      </c>
      <c r="T32" s="374">
        <f>U32+V32+W32+X32</f>
        <v>0</v>
      </c>
      <c r="U32" s="374">
        <v>0</v>
      </c>
      <c r="V32" s="374">
        <v>0</v>
      </c>
      <c r="W32" s="374">
        <v>0</v>
      </c>
      <c r="X32" s="374">
        <v>0</v>
      </c>
      <c r="Y32" s="374">
        <f>Z32+AA32+AB32+AC32</f>
        <v>0</v>
      </c>
      <c r="Z32" s="374">
        <v>0</v>
      </c>
      <c r="AA32" s="374">
        <v>0</v>
      </c>
      <c r="AB32" s="374">
        <v>0</v>
      </c>
      <c r="AC32" s="374">
        <v>0</v>
      </c>
      <c r="AD32" s="374">
        <f>E32+J32+O32+T32+Y32</f>
        <v>3283</v>
      </c>
    </row>
    <row r="33" spans="1:31" ht="20.25">
      <c r="A33" s="708" t="s">
        <v>314</v>
      </c>
      <c r="B33" s="709"/>
      <c r="C33" s="710"/>
      <c r="D33" s="466"/>
      <c r="E33" s="378">
        <f>E32</f>
        <v>1892</v>
      </c>
      <c r="F33" s="378">
        <f>SUM(F32)</f>
        <v>1892</v>
      </c>
      <c r="G33" s="378">
        <f t="shared" ref="G33:AD33" si="11">SUM(G32:G32)</f>
        <v>0</v>
      </c>
      <c r="H33" s="378">
        <f t="shared" si="11"/>
        <v>0</v>
      </c>
      <c r="I33" s="378">
        <f t="shared" si="11"/>
        <v>0</v>
      </c>
      <c r="J33" s="378">
        <f>J32</f>
        <v>1072</v>
      </c>
      <c r="K33" s="378">
        <f t="shared" si="11"/>
        <v>1072</v>
      </c>
      <c r="L33" s="378">
        <f t="shared" si="11"/>
        <v>0</v>
      </c>
      <c r="M33" s="378">
        <f t="shared" si="11"/>
        <v>0</v>
      </c>
      <c r="N33" s="378">
        <f t="shared" si="11"/>
        <v>0</v>
      </c>
      <c r="O33" s="378">
        <f t="shared" si="11"/>
        <v>319</v>
      </c>
      <c r="P33" s="378">
        <f t="shared" si="11"/>
        <v>319</v>
      </c>
      <c r="Q33" s="378">
        <f t="shared" si="11"/>
        <v>0</v>
      </c>
      <c r="R33" s="378">
        <f t="shared" si="11"/>
        <v>0</v>
      </c>
      <c r="S33" s="378">
        <f t="shared" si="11"/>
        <v>0</v>
      </c>
      <c r="T33" s="378">
        <f t="shared" si="11"/>
        <v>0</v>
      </c>
      <c r="U33" s="378">
        <f t="shared" si="11"/>
        <v>0</v>
      </c>
      <c r="V33" s="378">
        <f t="shared" si="11"/>
        <v>0</v>
      </c>
      <c r="W33" s="378">
        <f t="shared" si="11"/>
        <v>0</v>
      </c>
      <c r="X33" s="378">
        <f t="shared" si="11"/>
        <v>0</v>
      </c>
      <c r="Y33" s="378">
        <f t="shared" si="11"/>
        <v>0</v>
      </c>
      <c r="Z33" s="378">
        <f t="shared" si="11"/>
        <v>0</v>
      </c>
      <c r="AA33" s="378">
        <f t="shared" si="11"/>
        <v>0</v>
      </c>
      <c r="AB33" s="378">
        <f t="shared" si="11"/>
        <v>0</v>
      </c>
      <c r="AC33" s="378">
        <f t="shared" si="11"/>
        <v>0</v>
      </c>
      <c r="AD33" s="378">
        <f t="shared" si="11"/>
        <v>3283</v>
      </c>
    </row>
    <row r="34" spans="1:31" ht="20.25">
      <c r="A34" s="384" t="s">
        <v>229</v>
      </c>
      <c r="B34" s="711" t="s">
        <v>230</v>
      </c>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3"/>
    </row>
    <row r="35" spans="1:31" ht="46.5">
      <c r="A35" s="369" t="s">
        <v>24</v>
      </c>
      <c r="B35" s="465" t="s">
        <v>288</v>
      </c>
      <c r="C35" s="463" t="s">
        <v>94</v>
      </c>
      <c r="D35" s="384" t="s">
        <v>93</v>
      </c>
      <c r="E35" s="374">
        <f>F35+G35+H35+I35</f>
        <v>2949</v>
      </c>
      <c r="F35" s="374">
        <v>2949</v>
      </c>
      <c r="G35" s="374">
        <v>0</v>
      </c>
      <c r="H35" s="374">
        <v>0</v>
      </c>
      <c r="I35" s="374">
        <v>0</v>
      </c>
      <c r="J35" s="374">
        <f>K35+L35+M35+N35</f>
        <v>2313</v>
      </c>
      <c r="K35" s="374">
        <f>1775+587-49</f>
        <v>2313</v>
      </c>
      <c r="L35" s="374">
        <v>0</v>
      </c>
      <c r="M35" s="374">
        <v>0</v>
      </c>
      <c r="N35" s="374">
        <v>0</v>
      </c>
      <c r="O35" s="334">
        <f xml:space="preserve"> SUM(P35:S35)</f>
        <v>1912</v>
      </c>
      <c r="P35" s="334">
        <f>2362-240-210</f>
        <v>1912</v>
      </c>
      <c r="Q35" s="374">
        <f>SUM(Q36,Q37,Q38,Q39)</f>
        <v>0</v>
      </c>
      <c r="R35" s="374">
        <f>SUM(R36,R37,R38,R39)</f>
        <v>0</v>
      </c>
      <c r="S35" s="374">
        <f>SUM(S36,S37,S38,S39)</f>
        <v>0</v>
      </c>
      <c r="T35" s="374">
        <f xml:space="preserve"> SUM(U35:X35)</f>
        <v>0</v>
      </c>
      <c r="U35" s="374">
        <v>0</v>
      </c>
      <c r="V35" s="374">
        <f>SUM(V36,V37,V38,V39)</f>
        <v>0</v>
      </c>
      <c r="W35" s="374">
        <f>SUM(W36,W37,W38,W39)</f>
        <v>0</v>
      </c>
      <c r="X35" s="374">
        <f>SUM(X36,X37,X38,X39)</f>
        <v>0</v>
      </c>
      <c r="Y35" s="374">
        <f xml:space="preserve"> SUM(Z35:AC35)</f>
        <v>0</v>
      </c>
      <c r="Z35" s="374">
        <v>0</v>
      </c>
      <c r="AA35" s="374">
        <f>SUM(AA36,AA37,AA38,AA39)</f>
        <v>0</v>
      </c>
      <c r="AB35" s="374">
        <f>SUM(AB36,AB37,AB38,AB39)</f>
        <v>0</v>
      </c>
      <c r="AC35" s="374">
        <f>SUM(AC36,AC37,AC38,AC39)</f>
        <v>0</v>
      </c>
      <c r="AD35" s="374">
        <f>E35+J35+O35+T35+Y35</f>
        <v>7174</v>
      </c>
    </row>
    <row r="36" spans="1:31" ht="139.5">
      <c r="A36" s="369" t="s">
        <v>151</v>
      </c>
      <c r="B36" s="376" t="s">
        <v>76</v>
      </c>
      <c r="C36" s="463" t="s">
        <v>94</v>
      </c>
      <c r="D36" s="384" t="s">
        <v>310</v>
      </c>
      <c r="E36" s="374">
        <f t="shared" ref="E36:E46" si="12">F36+G36+H36+I36</f>
        <v>9</v>
      </c>
      <c r="F36" s="374">
        <v>9</v>
      </c>
      <c r="G36" s="374">
        <v>0</v>
      </c>
      <c r="H36" s="374">
        <v>0</v>
      </c>
      <c r="I36" s="374">
        <v>0</v>
      </c>
      <c r="J36" s="374">
        <f t="shared" ref="J36:J46" si="13">K36+L36+M36+N36</f>
        <v>9</v>
      </c>
      <c r="K36" s="374">
        <v>9</v>
      </c>
      <c r="L36" s="374">
        <v>0</v>
      </c>
      <c r="M36" s="374">
        <v>0</v>
      </c>
      <c r="N36" s="374">
        <v>0</v>
      </c>
      <c r="O36" s="374">
        <f t="shared" ref="O36:O46" si="14">P36+Q36+R36+S36</f>
        <v>9</v>
      </c>
      <c r="P36" s="374">
        <v>9</v>
      </c>
      <c r="Q36" s="374">
        <v>0</v>
      </c>
      <c r="R36" s="374">
        <v>0</v>
      </c>
      <c r="S36" s="374">
        <v>0</v>
      </c>
      <c r="T36" s="374">
        <f t="shared" ref="T36:T46" si="15">U36+V36+W36+X36</f>
        <v>0</v>
      </c>
      <c r="U36" s="374">
        <v>0</v>
      </c>
      <c r="V36" s="374">
        <v>0</v>
      </c>
      <c r="W36" s="374">
        <v>0</v>
      </c>
      <c r="X36" s="374">
        <v>0</v>
      </c>
      <c r="Y36" s="374">
        <f t="shared" ref="Y36:Y46" si="16">Z36+AA36+AB36+AC36</f>
        <v>0</v>
      </c>
      <c r="Z36" s="374">
        <v>0</v>
      </c>
      <c r="AA36" s="374">
        <v>0</v>
      </c>
      <c r="AB36" s="374">
        <v>0</v>
      </c>
      <c r="AC36" s="374">
        <v>0</v>
      </c>
      <c r="AD36" s="374">
        <f t="shared" ref="AD36:AD52" si="17">E36+J36+O36+T36+Y36</f>
        <v>27</v>
      </c>
    </row>
    <row r="37" spans="1:31" ht="37.5">
      <c r="A37" s="369" t="s">
        <v>235</v>
      </c>
      <c r="B37" s="376" t="s">
        <v>71</v>
      </c>
      <c r="C37" s="384" t="s">
        <v>94</v>
      </c>
      <c r="D37" s="384" t="s">
        <v>168</v>
      </c>
      <c r="E37" s="374">
        <f t="shared" si="12"/>
        <v>426</v>
      </c>
      <c r="F37" s="374">
        <v>426</v>
      </c>
      <c r="G37" s="374">
        <v>0</v>
      </c>
      <c r="H37" s="374">
        <v>0</v>
      </c>
      <c r="I37" s="374">
        <v>0</v>
      </c>
      <c r="J37" s="374">
        <f t="shared" si="13"/>
        <v>0</v>
      </c>
      <c r="K37" s="374">
        <v>0</v>
      </c>
      <c r="L37" s="374">
        <v>0</v>
      </c>
      <c r="M37" s="374">
        <v>0</v>
      </c>
      <c r="N37" s="374">
        <v>0</v>
      </c>
      <c r="O37" s="374">
        <f t="shared" si="14"/>
        <v>0</v>
      </c>
      <c r="P37" s="374">
        <v>0</v>
      </c>
      <c r="Q37" s="374">
        <v>0</v>
      </c>
      <c r="R37" s="374">
        <v>0</v>
      </c>
      <c r="S37" s="374">
        <v>0</v>
      </c>
      <c r="T37" s="374">
        <f t="shared" si="15"/>
        <v>0</v>
      </c>
      <c r="U37" s="374">
        <v>0</v>
      </c>
      <c r="V37" s="374">
        <v>0</v>
      </c>
      <c r="W37" s="374">
        <v>0</v>
      </c>
      <c r="X37" s="374">
        <v>0</v>
      </c>
      <c r="Y37" s="374">
        <f t="shared" si="16"/>
        <v>0</v>
      </c>
      <c r="Z37" s="374">
        <v>0</v>
      </c>
      <c r="AA37" s="374">
        <v>0</v>
      </c>
      <c r="AB37" s="374">
        <v>0</v>
      </c>
      <c r="AC37" s="374">
        <v>0</v>
      </c>
      <c r="AD37" s="374">
        <f>E37+J37+O37+T37+Y37</f>
        <v>426</v>
      </c>
    </row>
    <row r="38" spans="1:31" ht="23.25">
      <c r="A38" s="369" t="s">
        <v>236</v>
      </c>
      <c r="B38" s="376" t="s">
        <v>110</v>
      </c>
      <c r="C38" s="714" t="s">
        <v>105</v>
      </c>
      <c r="D38" s="384" t="s">
        <v>93</v>
      </c>
      <c r="E38" s="374">
        <f t="shared" si="12"/>
        <v>3304</v>
      </c>
      <c r="F38" s="374">
        <v>3304</v>
      </c>
      <c r="G38" s="374">
        <v>0</v>
      </c>
      <c r="H38" s="374">
        <v>0</v>
      </c>
      <c r="I38" s="374">
        <v>0</v>
      </c>
      <c r="J38" s="374">
        <f t="shared" si="13"/>
        <v>3080</v>
      </c>
      <c r="K38" s="374">
        <f>3304-224</f>
        <v>3080</v>
      </c>
      <c r="L38" s="374">
        <v>0</v>
      </c>
      <c r="M38" s="374">
        <v>0</v>
      </c>
      <c r="N38" s="374">
        <v>0</v>
      </c>
      <c r="O38" s="334">
        <f t="shared" si="14"/>
        <v>2842</v>
      </c>
      <c r="P38" s="334">
        <f>2968-126</f>
        <v>2842</v>
      </c>
      <c r="Q38" s="374">
        <v>0</v>
      </c>
      <c r="R38" s="374">
        <v>0</v>
      </c>
      <c r="S38" s="374">
        <v>0</v>
      </c>
      <c r="T38" s="374">
        <f t="shared" si="15"/>
        <v>0</v>
      </c>
      <c r="U38" s="374">
        <v>0</v>
      </c>
      <c r="V38" s="374">
        <v>0</v>
      </c>
      <c r="W38" s="374">
        <v>0</v>
      </c>
      <c r="X38" s="374">
        <v>0</v>
      </c>
      <c r="Y38" s="374">
        <f t="shared" si="16"/>
        <v>0</v>
      </c>
      <c r="Z38" s="374">
        <v>0</v>
      </c>
      <c r="AA38" s="374">
        <v>0</v>
      </c>
      <c r="AB38" s="374">
        <v>0</v>
      </c>
      <c r="AC38" s="374">
        <v>0</v>
      </c>
      <c r="AD38" s="374">
        <f>E38+J38+O38+T38+Y38</f>
        <v>9226</v>
      </c>
    </row>
    <row r="39" spans="1:31" ht="93">
      <c r="A39" s="369" t="s">
        <v>237</v>
      </c>
      <c r="B39" s="376" t="s">
        <v>191</v>
      </c>
      <c r="C39" s="715"/>
      <c r="D39" s="384" t="s">
        <v>283</v>
      </c>
      <c r="E39" s="374">
        <f t="shared" si="12"/>
        <v>378</v>
      </c>
      <c r="F39" s="374">
        <v>378</v>
      </c>
      <c r="G39" s="374">
        <v>0</v>
      </c>
      <c r="H39" s="374">
        <v>0</v>
      </c>
      <c r="I39" s="374">
        <v>0</v>
      </c>
      <c r="J39" s="374">
        <f t="shared" si="13"/>
        <v>419</v>
      </c>
      <c r="K39" s="374">
        <f>324+95</f>
        <v>419</v>
      </c>
      <c r="L39" s="374">
        <v>0</v>
      </c>
      <c r="M39" s="374">
        <v>0</v>
      </c>
      <c r="N39" s="374">
        <v>0</v>
      </c>
      <c r="O39" s="334">
        <f t="shared" si="14"/>
        <v>468</v>
      </c>
      <c r="P39" s="334">
        <f>495-27</f>
        <v>468</v>
      </c>
      <c r="Q39" s="374">
        <v>0</v>
      </c>
      <c r="R39" s="374">
        <v>0</v>
      </c>
      <c r="S39" s="374">
        <v>0</v>
      </c>
      <c r="T39" s="374">
        <f>U39+V39+W39+X39</f>
        <v>0</v>
      </c>
      <c r="U39" s="374">
        <v>0</v>
      </c>
      <c r="V39" s="374">
        <v>0</v>
      </c>
      <c r="W39" s="374">
        <v>0</v>
      </c>
      <c r="X39" s="374">
        <v>0</v>
      </c>
      <c r="Y39" s="374">
        <f t="shared" si="16"/>
        <v>0</v>
      </c>
      <c r="Z39" s="374">
        <v>0</v>
      </c>
      <c r="AA39" s="374">
        <v>0</v>
      </c>
      <c r="AB39" s="374">
        <v>0</v>
      </c>
      <c r="AC39" s="374">
        <v>0</v>
      </c>
      <c r="AD39" s="374">
        <f>E39+J39+O39+T39+Y39</f>
        <v>1265</v>
      </c>
    </row>
    <row r="40" spans="1:31" ht="69.75">
      <c r="A40" s="369" t="s">
        <v>238</v>
      </c>
      <c r="B40" s="376" t="s">
        <v>77</v>
      </c>
      <c r="C40" s="463" t="s">
        <v>94</v>
      </c>
      <c r="D40" s="384" t="s">
        <v>310</v>
      </c>
      <c r="E40" s="374">
        <f t="shared" si="12"/>
        <v>12</v>
      </c>
      <c r="F40" s="374">
        <v>12</v>
      </c>
      <c r="G40" s="374">
        <v>0</v>
      </c>
      <c r="H40" s="374">
        <v>0</v>
      </c>
      <c r="I40" s="374">
        <v>0</v>
      </c>
      <c r="J40" s="374">
        <f t="shared" si="13"/>
        <v>12</v>
      </c>
      <c r="K40" s="374">
        <v>12</v>
      </c>
      <c r="L40" s="374">
        <v>0</v>
      </c>
      <c r="M40" s="374">
        <v>0</v>
      </c>
      <c r="N40" s="374">
        <v>0</v>
      </c>
      <c r="O40" s="374">
        <f t="shared" si="14"/>
        <v>12</v>
      </c>
      <c r="P40" s="374">
        <v>12</v>
      </c>
      <c r="Q40" s="374">
        <v>0</v>
      </c>
      <c r="R40" s="374">
        <v>0</v>
      </c>
      <c r="S40" s="374">
        <v>0</v>
      </c>
      <c r="T40" s="374">
        <f t="shared" si="15"/>
        <v>0</v>
      </c>
      <c r="U40" s="374">
        <v>0</v>
      </c>
      <c r="V40" s="374">
        <v>0</v>
      </c>
      <c r="W40" s="374">
        <v>0</v>
      </c>
      <c r="X40" s="374">
        <v>0</v>
      </c>
      <c r="Y40" s="374">
        <f t="shared" si="16"/>
        <v>0</v>
      </c>
      <c r="Z40" s="374">
        <v>0</v>
      </c>
      <c r="AA40" s="374">
        <v>0</v>
      </c>
      <c r="AB40" s="374">
        <v>0</v>
      </c>
      <c r="AC40" s="374">
        <v>0</v>
      </c>
      <c r="AD40" s="374">
        <f t="shared" si="17"/>
        <v>36</v>
      </c>
    </row>
    <row r="41" spans="1:31" ht="69.75">
      <c r="A41" s="369" t="s">
        <v>239</v>
      </c>
      <c r="B41" s="376" t="s">
        <v>265</v>
      </c>
      <c r="C41" s="706" t="s">
        <v>105</v>
      </c>
      <c r="D41" s="384" t="s">
        <v>168</v>
      </c>
      <c r="E41" s="374">
        <f t="shared" si="12"/>
        <v>50</v>
      </c>
      <c r="F41" s="374">
        <v>50</v>
      </c>
      <c r="G41" s="374">
        <v>0</v>
      </c>
      <c r="H41" s="374">
        <v>0</v>
      </c>
      <c r="I41" s="374">
        <v>0</v>
      </c>
      <c r="J41" s="374">
        <f t="shared" si="13"/>
        <v>0</v>
      </c>
      <c r="K41" s="374">
        <v>0</v>
      </c>
      <c r="L41" s="374">
        <v>0</v>
      </c>
      <c r="M41" s="374">
        <v>0</v>
      </c>
      <c r="N41" s="374">
        <v>0</v>
      </c>
      <c r="O41" s="374">
        <f t="shared" si="14"/>
        <v>0</v>
      </c>
      <c r="P41" s="374">
        <v>0</v>
      </c>
      <c r="Q41" s="374">
        <v>0</v>
      </c>
      <c r="R41" s="374">
        <v>0</v>
      </c>
      <c r="S41" s="374">
        <v>0</v>
      </c>
      <c r="T41" s="374">
        <f t="shared" si="15"/>
        <v>0</v>
      </c>
      <c r="U41" s="374">
        <v>0</v>
      </c>
      <c r="V41" s="374">
        <v>0</v>
      </c>
      <c r="W41" s="374">
        <v>0</v>
      </c>
      <c r="X41" s="374">
        <v>0</v>
      </c>
      <c r="Y41" s="374">
        <f t="shared" si="16"/>
        <v>0</v>
      </c>
      <c r="Z41" s="374">
        <v>0</v>
      </c>
      <c r="AA41" s="374">
        <v>0</v>
      </c>
      <c r="AB41" s="374">
        <v>0</v>
      </c>
      <c r="AC41" s="374">
        <v>0</v>
      </c>
      <c r="AD41" s="374">
        <f t="shared" si="17"/>
        <v>50</v>
      </c>
    </row>
    <row r="42" spans="1:31" ht="69.75">
      <c r="A42" s="369" t="s">
        <v>240</v>
      </c>
      <c r="B42" s="376" t="s">
        <v>111</v>
      </c>
      <c r="C42" s="716"/>
      <c r="D42" s="384" t="s">
        <v>168</v>
      </c>
      <c r="E42" s="374">
        <f t="shared" si="12"/>
        <v>50</v>
      </c>
      <c r="F42" s="374">
        <v>50</v>
      </c>
      <c r="G42" s="374">
        <v>0</v>
      </c>
      <c r="H42" s="374">
        <v>0</v>
      </c>
      <c r="I42" s="374">
        <v>0</v>
      </c>
      <c r="J42" s="374">
        <f t="shared" si="13"/>
        <v>50</v>
      </c>
      <c r="K42" s="374">
        <v>50</v>
      </c>
      <c r="L42" s="374">
        <v>0</v>
      </c>
      <c r="M42" s="374">
        <v>0</v>
      </c>
      <c r="N42" s="374">
        <v>0</v>
      </c>
      <c r="O42" s="334">
        <f t="shared" si="14"/>
        <v>100</v>
      </c>
      <c r="P42" s="334">
        <f>50+50</f>
        <v>100</v>
      </c>
      <c r="Q42" s="374">
        <v>0</v>
      </c>
      <c r="R42" s="374">
        <v>0</v>
      </c>
      <c r="S42" s="374">
        <v>0</v>
      </c>
      <c r="T42" s="374">
        <f t="shared" si="15"/>
        <v>0</v>
      </c>
      <c r="U42" s="374">
        <v>0</v>
      </c>
      <c r="V42" s="374">
        <v>0</v>
      </c>
      <c r="W42" s="374">
        <v>0</v>
      </c>
      <c r="X42" s="374">
        <v>0</v>
      </c>
      <c r="Y42" s="374">
        <f t="shared" si="16"/>
        <v>0</v>
      </c>
      <c r="Z42" s="374">
        <v>0</v>
      </c>
      <c r="AA42" s="374">
        <v>0</v>
      </c>
      <c r="AB42" s="374">
        <v>0</v>
      </c>
      <c r="AC42" s="374">
        <v>0</v>
      </c>
      <c r="AD42" s="374">
        <f t="shared" si="17"/>
        <v>200</v>
      </c>
    </row>
    <row r="43" spans="1:31" ht="93">
      <c r="A43" s="369" t="s">
        <v>241</v>
      </c>
      <c r="B43" s="376" t="s">
        <v>112</v>
      </c>
      <c r="C43" s="716"/>
      <c r="D43" s="384" t="s">
        <v>93</v>
      </c>
      <c r="E43" s="374">
        <f t="shared" si="12"/>
        <v>810</v>
      </c>
      <c r="F43" s="374">
        <f>480+330</f>
        <v>810</v>
      </c>
      <c r="G43" s="374">
        <v>0</v>
      </c>
      <c r="H43" s="374">
        <v>0</v>
      </c>
      <c r="I43" s="374">
        <v>0</v>
      </c>
      <c r="J43" s="374">
        <f>K43+L43+M43+N43</f>
        <v>770</v>
      </c>
      <c r="K43" s="374">
        <f>720+50</f>
        <v>770</v>
      </c>
      <c r="L43" s="374">
        <v>0</v>
      </c>
      <c r="M43" s="374">
        <v>0</v>
      </c>
      <c r="N43" s="374">
        <v>0</v>
      </c>
      <c r="O43" s="334">
        <f t="shared" si="14"/>
        <v>590</v>
      </c>
      <c r="P43" s="334">
        <f>720-130</f>
        <v>590</v>
      </c>
      <c r="Q43" s="374">
        <v>0</v>
      </c>
      <c r="R43" s="374">
        <v>0</v>
      </c>
      <c r="S43" s="374">
        <v>0</v>
      </c>
      <c r="T43" s="374">
        <f t="shared" si="15"/>
        <v>0</v>
      </c>
      <c r="U43" s="374">
        <v>0</v>
      </c>
      <c r="V43" s="374">
        <v>0</v>
      </c>
      <c r="W43" s="374">
        <v>0</v>
      </c>
      <c r="X43" s="374">
        <v>0</v>
      </c>
      <c r="Y43" s="374">
        <f t="shared" si="16"/>
        <v>0</v>
      </c>
      <c r="Z43" s="374">
        <v>0</v>
      </c>
      <c r="AA43" s="374">
        <v>0</v>
      </c>
      <c r="AB43" s="374">
        <v>0</v>
      </c>
      <c r="AC43" s="374">
        <v>0</v>
      </c>
      <c r="AD43" s="374">
        <f>E43+J43+O43+T43+Y43</f>
        <v>2170</v>
      </c>
    </row>
    <row r="44" spans="1:31" ht="93">
      <c r="A44" s="467" t="s">
        <v>242</v>
      </c>
      <c r="B44" s="376" t="s">
        <v>113</v>
      </c>
      <c r="C44" s="716"/>
      <c r="D44" s="384" t="s">
        <v>168</v>
      </c>
      <c r="E44" s="374">
        <f t="shared" si="12"/>
        <v>30</v>
      </c>
      <c r="F44" s="374">
        <v>30</v>
      </c>
      <c r="G44" s="374">
        <v>0</v>
      </c>
      <c r="H44" s="374">
        <v>0</v>
      </c>
      <c r="I44" s="374">
        <v>0</v>
      </c>
      <c r="J44" s="374">
        <f t="shared" si="13"/>
        <v>10</v>
      </c>
      <c r="K44" s="374">
        <v>10</v>
      </c>
      <c r="L44" s="374">
        <v>0</v>
      </c>
      <c r="M44" s="374">
        <v>0</v>
      </c>
      <c r="N44" s="374">
        <v>0</v>
      </c>
      <c r="O44" s="374">
        <f t="shared" si="14"/>
        <v>10</v>
      </c>
      <c r="P44" s="374">
        <v>10</v>
      </c>
      <c r="Q44" s="374">
        <v>0</v>
      </c>
      <c r="R44" s="374">
        <v>0</v>
      </c>
      <c r="S44" s="374">
        <v>0</v>
      </c>
      <c r="T44" s="374">
        <f t="shared" si="15"/>
        <v>0</v>
      </c>
      <c r="U44" s="374">
        <v>0</v>
      </c>
      <c r="V44" s="374">
        <v>0</v>
      </c>
      <c r="W44" s="374">
        <v>0</v>
      </c>
      <c r="X44" s="374">
        <v>0</v>
      </c>
      <c r="Y44" s="374">
        <f t="shared" si="16"/>
        <v>0</v>
      </c>
      <c r="Z44" s="374">
        <v>0</v>
      </c>
      <c r="AA44" s="374">
        <v>0</v>
      </c>
      <c r="AB44" s="374">
        <v>0</v>
      </c>
      <c r="AC44" s="374">
        <v>0</v>
      </c>
      <c r="AD44" s="374">
        <f t="shared" si="17"/>
        <v>50</v>
      </c>
    </row>
    <row r="45" spans="1:31" ht="69.75">
      <c r="A45" s="369" t="s">
        <v>243</v>
      </c>
      <c r="B45" s="376" t="s">
        <v>114</v>
      </c>
      <c r="C45" s="707"/>
      <c r="D45" s="384" t="s">
        <v>168</v>
      </c>
      <c r="E45" s="374">
        <f t="shared" si="12"/>
        <v>50</v>
      </c>
      <c r="F45" s="374">
        <v>50</v>
      </c>
      <c r="G45" s="374">
        <v>0</v>
      </c>
      <c r="H45" s="374">
        <v>0</v>
      </c>
      <c r="I45" s="374">
        <v>0</v>
      </c>
      <c r="J45" s="374">
        <f t="shared" si="13"/>
        <v>50</v>
      </c>
      <c r="K45" s="374">
        <v>50</v>
      </c>
      <c r="L45" s="374">
        <v>0</v>
      </c>
      <c r="M45" s="374">
        <v>0</v>
      </c>
      <c r="N45" s="374">
        <v>0</v>
      </c>
      <c r="O45" s="374">
        <f t="shared" si="14"/>
        <v>100</v>
      </c>
      <c r="P45" s="374">
        <v>100</v>
      </c>
      <c r="Q45" s="374">
        <v>0</v>
      </c>
      <c r="R45" s="374">
        <v>0</v>
      </c>
      <c r="S45" s="374">
        <v>0</v>
      </c>
      <c r="T45" s="374">
        <f t="shared" si="15"/>
        <v>0</v>
      </c>
      <c r="U45" s="374">
        <v>0</v>
      </c>
      <c r="V45" s="374">
        <v>0</v>
      </c>
      <c r="W45" s="374">
        <v>0</v>
      </c>
      <c r="X45" s="374">
        <v>0</v>
      </c>
      <c r="Y45" s="374">
        <f t="shared" si="16"/>
        <v>0</v>
      </c>
      <c r="Z45" s="374">
        <v>0</v>
      </c>
      <c r="AA45" s="374">
        <v>0</v>
      </c>
      <c r="AB45" s="374">
        <v>0</v>
      </c>
      <c r="AC45" s="374">
        <v>0</v>
      </c>
      <c r="AD45" s="374">
        <f t="shared" si="17"/>
        <v>200</v>
      </c>
    </row>
    <row r="46" spans="1:31" ht="69.75">
      <c r="A46" s="369" t="s">
        <v>244</v>
      </c>
      <c r="B46" s="376" t="s">
        <v>78</v>
      </c>
      <c r="C46" s="384" t="s">
        <v>18</v>
      </c>
      <c r="D46" s="384" t="s">
        <v>93</v>
      </c>
      <c r="E46" s="374">
        <f t="shared" si="12"/>
        <v>96</v>
      </c>
      <c r="F46" s="374">
        <f>96</f>
        <v>96</v>
      </c>
      <c r="G46" s="374">
        <v>0</v>
      </c>
      <c r="H46" s="374">
        <v>0</v>
      </c>
      <c r="I46" s="374">
        <v>0</v>
      </c>
      <c r="J46" s="374">
        <f t="shared" si="13"/>
        <v>43</v>
      </c>
      <c r="K46" s="374">
        <f>68-25</f>
        <v>43</v>
      </c>
      <c r="L46" s="374">
        <v>0</v>
      </c>
      <c r="M46" s="374">
        <v>0</v>
      </c>
      <c r="N46" s="374">
        <v>0</v>
      </c>
      <c r="O46" s="334">
        <f t="shared" si="14"/>
        <v>36</v>
      </c>
      <c r="P46" s="334">
        <f>53-17</f>
        <v>36</v>
      </c>
      <c r="Q46" s="374">
        <v>0</v>
      </c>
      <c r="R46" s="374">
        <v>0</v>
      </c>
      <c r="S46" s="374">
        <v>0</v>
      </c>
      <c r="T46" s="374">
        <f t="shared" si="15"/>
        <v>0</v>
      </c>
      <c r="U46" s="374">
        <v>0</v>
      </c>
      <c r="V46" s="374">
        <v>0</v>
      </c>
      <c r="W46" s="374">
        <v>0</v>
      </c>
      <c r="X46" s="374">
        <v>0</v>
      </c>
      <c r="Y46" s="374">
        <f t="shared" si="16"/>
        <v>0</v>
      </c>
      <c r="Z46" s="374">
        <v>0</v>
      </c>
      <c r="AA46" s="374">
        <v>0</v>
      </c>
      <c r="AB46" s="374">
        <v>0</v>
      </c>
      <c r="AC46" s="374">
        <v>0</v>
      </c>
      <c r="AD46" s="374">
        <f t="shared" si="17"/>
        <v>175</v>
      </c>
    </row>
    <row r="47" spans="1:31" ht="93">
      <c r="A47" s="369" t="s">
        <v>245</v>
      </c>
      <c r="B47" s="376" t="s">
        <v>145</v>
      </c>
      <c r="C47" s="384" t="s">
        <v>94</v>
      </c>
      <c r="D47" s="384" t="s">
        <v>93</v>
      </c>
      <c r="E47" s="374">
        <f>F47+G47+H47+I47</f>
        <v>28325</v>
      </c>
      <c r="F47" s="374">
        <f>6567-902</f>
        <v>5665</v>
      </c>
      <c r="G47" s="374">
        <f>26268-3608</f>
        <v>22660</v>
      </c>
      <c r="H47" s="374">
        <v>0</v>
      </c>
      <c r="I47" s="374">
        <v>0</v>
      </c>
      <c r="J47" s="374">
        <f>K47+L47+M47+N47</f>
        <v>4455</v>
      </c>
      <c r="K47" s="374">
        <f>550+341</f>
        <v>891</v>
      </c>
      <c r="L47" s="374">
        <v>3564</v>
      </c>
      <c r="M47" s="374">
        <v>0</v>
      </c>
      <c r="N47" s="374">
        <v>0</v>
      </c>
      <c r="O47" s="374">
        <f>P47+Q47+R47+S47</f>
        <v>550</v>
      </c>
      <c r="P47" s="374">
        <v>550</v>
      </c>
      <c r="Q47" s="374">
        <v>0</v>
      </c>
      <c r="R47" s="374">
        <v>0</v>
      </c>
      <c r="S47" s="374">
        <v>0</v>
      </c>
      <c r="T47" s="374">
        <f>U47+V47+W47+X47</f>
        <v>0</v>
      </c>
      <c r="U47" s="374">
        <v>0</v>
      </c>
      <c r="V47" s="374">
        <v>0</v>
      </c>
      <c r="W47" s="374">
        <v>0</v>
      </c>
      <c r="X47" s="374">
        <v>0</v>
      </c>
      <c r="Y47" s="374">
        <f>Z47+AA47+AB47+AC47</f>
        <v>0</v>
      </c>
      <c r="Z47" s="374">
        <v>0</v>
      </c>
      <c r="AA47" s="374">
        <v>0</v>
      </c>
      <c r="AB47" s="374">
        <v>0</v>
      </c>
      <c r="AC47" s="374">
        <v>0</v>
      </c>
      <c r="AD47" s="374">
        <f t="shared" si="17"/>
        <v>33330</v>
      </c>
      <c r="AE47" s="468"/>
    </row>
    <row r="48" spans="1:31" ht="46.5">
      <c r="A48" s="469" t="s">
        <v>246</v>
      </c>
      <c r="B48" s="470" t="s">
        <v>87</v>
      </c>
      <c r="C48" s="471" t="s">
        <v>52</v>
      </c>
      <c r="D48" s="384" t="s">
        <v>310</v>
      </c>
      <c r="E48" s="374">
        <f>F48+G48+H48+I48</f>
        <v>384.8</v>
      </c>
      <c r="F48" s="374">
        <f>387-2.2</f>
        <v>384.8</v>
      </c>
      <c r="G48" s="374">
        <v>0</v>
      </c>
      <c r="H48" s="374">
        <v>0</v>
      </c>
      <c r="I48" s="374">
        <v>0</v>
      </c>
      <c r="J48" s="374">
        <f>K48+L48+M48+N48</f>
        <v>362.1</v>
      </c>
      <c r="K48" s="374">
        <f>387-24.9</f>
        <v>362.1</v>
      </c>
      <c r="L48" s="374">
        <v>0</v>
      </c>
      <c r="M48" s="374">
        <v>0</v>
      </c>
      <c r="N48" s="374">
        <v>0</v>
      </c>
      <c r="O48" s="334">
        <f>P48+Q48+R48+S48</f>
        <v>379</v>
      </c>
      <c r="P48" s="334">
        <f>387-8</f>
        <v>379</v>
      </c>
      <c r="Q48" s="374">
        <v>0</v>
      </c>
      <c r="R48" s="374">
        <v>0</v>
      </c>
      <c r="S48" s="374">
        <v>0</v>
      </c>
      <c r="T48" s="374">
        <f>U48+V48+W48+X48</f>
        <v>0</v>
      </c>
      <c r="U48" s="374">
        <v>0</v>
      </c>
      <c r="V48" s="374">
        <v>0</v>
      </c>
      <c r="W48" s="374">
        <v>0</v>
      </c>
      <c r="X48" s="374">
        <v>0</v>
      </c>
      <c r="Y48" s="374">
        <f>Z48+AA48+AB48+AC48</f>
        <v>0</v>
      </c>
      <c r="Z48" s="374">
        <v>0</v>
      </c>
      <c r="AA48" s="374">
        <v>0</v>
      </c>
      <c r="AB48" s="374">
        <v>0</v>
      </c>
      <c r="AC48" s="374">
        <v>0</v>
      </c>
      <c r="AD48" s="374">
        <f t="shared" si="17"/>
        <v>1125.9000000000001</v>
      </c>
    </row>
    <row r="49" spans="1:32" ht="75">
      <c r="A49" s="469" t="s">
        <v>247</v>
      </c>
      <c r="B49" s="470" t="s">
        <v>132</v>
      </c>
      <c r="C49" s="471" t="s">
        <v>147</v>
      </c>
      <c r="D49" s="460">
        <v>2020</v>
      </c>
      <c r="E49" s="374">
        <f>F49+G49+H49+I49</f>
        <v>1248</v>
      </c>
      <c r="F49" s="374">
        <f>1248</f>
        <v>1248</v>
      </c>
      <c r="G49" s="374">
        <v>0</v>
      </c>
      <c r="H49" s="374">
        <v>0</v>
      </c>
      <c r="I49" s="374">
        <v>0</v>
      </c>
      <c r="J49" s="374">
        <f>K49+L49+M49+N49</f>
        <v>0</v>
      </c>
      <c r="K49" s="374">
        <v>0</v>
      </c>
      <c r="L49" s="374">
        <v>0</v>
      </c>
      <c r="M49" s="374">
        <v>0</v>
      </c>
      <c r="N49" s="374">
        <v>0</v>
      </c>
      <c r="O49" s="374">
        <f>P49+Q49+R49+S49</f>
        <v>0</v>
      </c>
      <c r="P49" s="374">
        <v>0</v>
      </c>
      <c r="Q49" s="374">
        <v>0</v>
      </c>
      <c r="R49" s="374">
        <v>0</v>
      </c>
      <c r="S49" s="374">
        <v>0</v>
      </c>
      <c r="T49" s="374">
        <f>U49+V49+W49+X49</f>
        <v>0</v>
      </c>
      <c r="U49" s="374">
        <v>0</v>
      </c>
      <c r="V49" s="374">
        <v>0</v>
      </c>
      <c r="W49" s="374">
        <v>0</v>
      </c>
      <c r="X49" s="374">
        <v>0</v>
      </c>
      <c r="Y49" s="374">
        <f>Z49+AA49+AB49+AC49</f>
        <v>0</v>
      </c>
      <c r="Z49" s="374">
        <v>0</v>
      </c>
      <c r="AA49" s="374">
        <v>0</v>
      </c>
      <c r="AB49" s="374">
        <v>0</v>
      </c>
      <c r="AC49" s="374">
        <v>0</v>
      </c>
      <c r="AD49" s="374">
        <f t="shared" si="17"/>
        <v>1248</v>
      </c>
    </row>
    <row r="50" spans="1:32" ht="23.25">
      <c r="A50" s="687" t="s">
        <v>315</v>
      </c>
      <c r="B50" s="688"/>
      <c r="C50" s="689"/>
      <c r="D50" s="466"/>
      <c r="E50" s="378">
        <f t="shared" ref="E50:K50" si="18">E51+E52</f>
        <v>38121.800000000003</v>
      </c>
      <c r="F50" s="378">
        <f t="shared" si="18"/>
        <v>15461.8</v>
      </c>
      <c r="G50" s="378">
        <f t="shared" si="18"/>
        <v>22660</v>
      </c>
      <c r="H50" s="378">
        <f t="shared" si="18"/>
        <v>0</v>
      </c>
      <c r="I50" s="378">
        <f t="shared" si="18"/>
        <v>0</v>
      </c>
      <c r="J50" s="378">
        <f>J52+J51</f>
        <v>11573.1</v>
      </c>
      <c r="K50" s="378">
        <f t="shared" si="18"/>
        <v>8009.1</v>
      </c>
      <c r="L50" s="378">
        <f>SUM(L35,L36:L48)</f>
        <v>3564</v>
      </c>
      <c r="M50" s="378">
        <f>SUM(M35,M36:M48)</f>
        <v>0</v>
      </c>
      <c r="N50" s="378">
        <f>SUM(N35,N36:N48)</f>
        <v>0</v>
      </c>
      <c r="O50" s="378">
        <f>O51+O52</f>
        <v>7008</v>
      </c>
      <c r="P50" s="378">
        <f>P51+P52</f>
        <v>7008</v>
      </c>
      <c r="Q50" s="378">
        <f>SUM(Q35,Q36:Q48)</f>
        <v>0</v>
      </c>
      <c r="R50" s="378">
        <f>SUM(R35,R36:R48)</f>
        <v>0</v>
      </c>
      <c r="S50" s="378">
        <f>SUM(S35,S36:S48)</f>
        <v>0</v>
      </c>
      <c r="T50" s="378">
        <f>T51+T52</f>
        <v>0</v>
      </c>
      <c r="U50" s="378">
        <f>U51+U52</f>
        <v>0</v>
      </c>
      <c r="V50" s="378">
        <f>SUM(V35,V36:V48)</f>
        <v>0</v>
      </c>
      <c r="W50" s="378">
        <f>SUM(W35,W36:W48)</f>
        <v>0</v>
      </c>
      <c r="X50" s="378">
        <f>SUM(X35,X36:X48)</f>
        <v>0</v>
      </c>
      <c r="Y50" s="378">
        <f>Y51+Y52</f>
        <v>0</v>
      </c>
      <c r="Z50" s="378">
        <f>Z51+Z52</f>
        <v>0</v>
      </c>
      <c r="AA50" s="378">
        <f>SUM(AA35,AA36:AA48)</f>
        <v>0</v>
      </c>
      <c r="AB50" s="378">
        <f>SUM(AB35,AB36:AB48)</f>
        <v>0</v>
      </c>
      <c r="AC50" s="378">
        <f>SUM(AC35,AC36:AC48)</f>
        <v>0</v>
      </c>
      <c r="AD50" s="378">
        <f t="shared" si="17"/>
        <v>56702.9</v>
      </c>
    </row>
    <row r="51" spans="1:32" ht="23.25">
      <c r="A51" s="379" t="s">
        <v>73</v>
      </c>
      <c r="B51" s="379"/>
      <c r="C51" s="449"/>
      <c r="D51" s="380"/>
      <c r="E51" s="472">
        <f t="shared" ref="E51:AC51" si="19">E48</f>
        <v>384.8</v>
      </c>
      <c r="F51" s="472">
        <f t="shared" si="19"/>
        <v>384.8</v>
      </c>
      <c r="G51" s="472">
        <v>0</v>
      </c>
      <c r="H51" s="472">
        <f t="shared" si="19"/>
        <v>0</v>
      </c>
      <c r="I51" s="472">
        <f t="shared" si="19"/>
        <v>0</v>
      </c>
      <c r="J51" s="472">
        <f t="shared" si="19"/>
        <v>362.1</v>
      </c>
      <c r="K51" s="472">
        <f t="shared" si="19"/>
        <v>362.1</v>
      </c>
      <c r="L51" s="472">
        <f t="shared" si="19"/>
        <v>0</v>
      </c>
      <c r="M51" s="472">
        <f t="shared" si="19"/>
        <v>0</v>
      </c>
      <c r="N51" s="472">
        <f t="shared" si="19"/>
        <v>0</v>
      </c>
      <c r="O51" s="472">
        <f t="shared" si="19"/>
        <v>379</v>
      </c>
      <c r="P51" s="472">
        <f t="shared" si="19"/>
        <v>379</v>
      </c>
      <c r="Q51" s="472">
        <f t="shared" si="19"/>
        <v>0</v>
      </c>
      <c r="R51" s="472">
        <f t="shared" si="19"/>
        <v>0</v>
      </c>
      <c r="S51" s="472">
        <f t="shared" si="19"/>
        <v>0</v>
      </c>
      <c r="T51" s="472">
        <f t="shared" si="19"/>
        <v>0</v>
      </c>
      <c r="U51" s="472">
        <f t="shared" si="19"/>
        <v>0</v>
      </c>
      <c r="V51" s="472">
        <f t="shared" si="19"/>
        <v>0</v>
      </c>
      <c r="W51" s="472">
        <f t="shared" si="19"/>
        <v>0</v>
      </c>
      <c r="X51" s="472">
        <f t="shared" si="19"/>
        <v>0</v>
      </c>
      <c r="Y51" s="472">
        <f t="shared" si="19"/>
        <v>0</v>
      </c>
      <c r="Z51" s="472">
        <f t="shared" si="19"/>
        <v>0</v>
      </c>
      <c r="AA51" s="472">
        <f t="shared" si="19"/>
        <v>0</v>
      </c>
      <c r="AB51" s="472">
        <f t="shared" si="19"/>
        <v>0</v>
      </c>
      <c r="AC51" s="472">
        <f t="shared" si="19"/>
        <v>0</v>
      </c>
      <c r="AD51" s="473">
        <f t="shared" si="17"/>
        <v>1125.9000000000001</v>
      </c>
    </row>
    <row r="52" spans="1:32" ht="23.25">
      <c r="A52" s="379" t="s">
        <v>135</v>
      </c>
      <c r="B52" s="379"/>
      <c r="C52" s="449"/>
      <c r="D52" s="380"/>
      <c r="E52" s="374">
        <f>E35+E36+E37+E38+E39+E40+E41+E42+E43+E44+E45+E46+E47+E49</f>
        <v>37737</v>
      </c>
      <c r="F52" s="374">
        <f>F35+F36+F37+F38+F39+F40+F41+F42+F43+F44+F45+F46+F47+F49</f>
        <v>15077</v>
      </c>
      <c r="G52" s="374">
        <v>22660</v>
      </c>
      <c r="H52" s="374">
        <f>0</f>
        <v>0</v>
      </c>
      <c r="I52" s="374">
        <v>0</v>
      </c>
      <c r="J52" s="374">
        <f>J35+J36+J37+J38+J39+J40+J41+J42+J43+J44+J45+J46+J47+J49</f>
        <v>11211</v>
      </c>
      <c r="K52" s="374">
        <f>K35+K36+K37+K38+K39+K40+K41+K42+K43+K44+K45+K46+K47+K49</f>
        <v>7647</v>
      </c>
      <c r="L52" s="374">
        <v>0</v>
      </c>
      <c r="M52" s="374">
        <v>0</v>
      </c>
      <c r="N52" s="374">
        <v>0</v>
      </c>
      <c r="O52" s="374">
        <f>O35+O36+O37+O38+O39+O40+O42+O41+O43+O44+O45+O46+O47+O49</f>
        <v>6629</v>
      </c>
      <c r="P52" s="374">
        <f>P35+P36+P37+P38+P39+P40+P41+P42+P43+P44+P45+P46+P47+P49</f>
        <v>6629</v>
      </c>
      <c r="Q52" s="374">
        <v>0</v>
      </c>
      <c r="R52" s="374">
        <v>0</v>
      </c>
      <c r="S52" s="374">
        <v>0</v>
      </c>
      <c r="T52" s="374">
        <f>T35+T36+T37+T38+T39+T40+T41+T42+T43+T44+T45+T46+T47+T49</f>
        <v>0</v>
      </c>
      <c r="U52" s="374">
        <f>U35+U36+U37+U38+U39+U40+U41+U42+U43+U44+U45+U46+U47+U49</f>
        <v>0</v>
      </c>
      <c r="V52" s="374">
        <v>0</v>
      </c>
      <c r="W52" s="374">
        <v>0</v>
      </c>
      <c r="X52" s="374">
        <v>0</v>
      </c>
      <c r="Y52" s="374">
        <f>Y35+Y36+Y37+Y38+Y39+Y40+Y41+Y42+Y43+Y44+Y45+Y46+Y47+Y49</f>
        <v>0</v>
      </c>
      <c r="Z52" s="374">
        <f>Z35+Z36+Z37+Z38+Z39+Z40+Z41+Z42+Z43+Z44+Z45+Z46+Z47+Z49</f>
        <v>0</v>
      </c>
      <c r="AA52" s="374">
        <v>0</v>
      </c>
      <c r="AB52" s="374">
        <v>0</v>
      </c>
      <c r="AC52" s="374">
        <v>0</v>
      </c>
      <c r="AD52" s="374">
        <f t="shared" si="17"/>
        <v>55577</v>
      </c>
    </row>
    <row r="53" spans="1:32" ht="23.25" customHeight="1">
      <c r="A53" s="384" t="s">
        <v>223</v>
      </c>
      <c r="B53" s="690" t="s">
        <v>324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2"/>
    </row>
    <row r="54" spans="1:32" ht="63" customHeight="1">
      <c r="A54" s="369" t="s">
        <v>27</v>
      </c>
      <c r="B54" s="376" t="s">
        <v>120</v>
      </c>
      <c r="C54" s="384" t="s">
        <v>94</v>
      </c>
      <c r="D54" s="384" t="s">
        <v>93</v>
      </c>
      <c r="E54" s="374">
        <f>F54+G54+H54+I54</f>
        <v>700</v>
      </c>
      <c r="F54" s="374">
        <f>700</f>
        <v>700</v>
      </c>
      <c r="G54" s="374">
        <v>0</v>
      </c>
      <c r="H54" s="374">
        <v>0</v>
      </c>
      <c r="I54" s="374">
        <v>0</v>
      </c>
      <c r="J54" s="374">
        <f>K54+L54+M54+N54</f>
        <v>498</v>
      </c>
      <c r="K54" s="374">
        <f>600-102</f>
        <v>498</v>
      </c>
      <c r="L54" s="374">
        <v>0</v>
      </c>
      <c r="M54" s="374">
        <v>0</v>
      </c>
      <c r="N54" s="374">
        <v>0</v>
      </c>
      <c r="O54" s="334">
        <f>P54+Q54+R54+S54</f>
        <v>554</v>
      </c>
      <c r="P54" s="334">
        <f>600-46</f>
        <v>554</v>
      </c>
      <c r="Q54" s="374">
        <v>0</v>
      </c>
      <c r="R54" s="374">
        <v>0</v>
      </c>
      <c r="S54" s="374">
        <v>0</v>
      </c>
      <c r="T54" s="374">
        <f>U54+V54+W54+X54</f>
        <v>0</v>
      </c>
      <c r="U54" s="374">
        <v>0</v>
      </c>
      <c r="V54" s="374">
        <v>0</v>
      </c>
      <c r="W54" s="374">
        <v>0</v>
      </c>
      <c r="X54" s="374">
        <v>0</v>
      </c>
      <c r="Y54" s="374">
        <f>Z54+AA54+AB54+AC54</f>
        <v>0</v>
      </c>
      <c r="Z54" s="374">
        <v>0</v>
      </c>
      <c r="AA54" s="374">
        <v>0</v>
      </c>
      <c r="AB54" s="374">
        <v>0</v>
      </c>
      <c r="AC54" s="374">
        <v>0</v>
      </c>
      <c r="AD54" s="374">
        <f>E54+J54+O54+T54+Y54</f>
        <v>1752</v>
      </c>
    </row>
    <row r="55" spans="1:32" ht="23.25">
      <c r="A55" s="687" t="s">
        <v>316</v>
      </c>
      <c r="B55" s="688"/>
      <c r="C55" s="689"/>
      <c r="D55" s="466"/>
      <c r="E55" s="378">
        <f t="shared" ref="E55:AD55" si="20">SUM(E54:E54)</f>
        <v>700</v>
      </c>
      <c r="F55" s="378">
        <f>SUM(F54)</f>
        <v>700</v>
      </c>
      <c r="G55" s="378">
        <f t="shared" si="20"/>
        <v>0</v>
      </c>
      <c r="H55" s="378">
        <f t="shared" si="20"/>
        <v>0</v>
      </c>
      <c r="I55" s="378">
        <f t="shared" si="20"/>
        <v>0</v>
      </c>
      <c r="J55" s="378">
        <f>J54</f>
        <v>498</v>
      </c>
      <c r="K55" s="378">
        <f t="shared" si="20"/>
        <v>498</v>
      </c>
      <c r="L55" s="378">
        <f t="shared" si="20"/>
        <v>0</v>
      </c>
      <c r="M55" s="378">
        <f t="shared" si="20"/>
        <v>0</v>
      </c>
      <c r="N55" s="378">
        <f t="shared" si="20"/>
        <v>0</v>
      </c>
      <c r="O55" s="378">
        <f t="shared" si="20"/>
        <v>554</v>
      </c>
      <c r="P55" s="378">
        <f t="shared" si="20"/>
        <v>554</v>
      </c>
      <c r="Q55" s="378">
        <f t="shared" si="20"/>
        <v>0</v>
      </c>
      <c r="R55" s="378">
        <f t="shared" si="20"/>
        <v>0</v>
      </c>
      <c r="S55" s="378">
        <f t="shared" si="20"/>
        <v>0</v>
      </c>
      <c r="T55" s="378">
        <f t="shared" si="20"/>
        <v>0</v>
      </c>
      <c r="U55" s="378">
        <f t="shared" si="20"/>
        <v>0</v>
      </c>
      <c r="V55" s="378">
        <f t="shared" si="20"/>
        <v>0</v>
      </c>
      <c r="W55" s="378">
        <f t="shared" si="20"/>
        <v>0</v>
      </c>
      <c r="X55" s="378">
        <f t="shared" si="20"/>
        <v>0</v>
      </c>
      <c r="Y55" s="378">
        <f t="shared" si="20"/>
        <v>0</v>
      </c>
      <c r="Z55" s="378">
        <f t="shared" si="20"/>
        <v>0</v>
      </c>
      <c r="AA55" s="378">
        <f t="shared" si="20"/>
        <v>0</v>
      </c>
      <c r="AB55" s="378">
        <f t="shared" si="20"/>
        <v>0</v>
      </c>
      <c r="AC55" s="378">
        <f t="shared" si="20"/>
        <v>0</v>
      </c>
      <c r="AD55" s="378">
        <f t="shared" si="20"/>
        <v>1752</v>
      </c>
    </row>
    <row r="56" spans="1:32" ht="23.25" customHeight="1">
      <c r="A56" s="384" t="s">
        <v>249</v>
      </c>
      <c r="B56" s="690" t="s">
        <v>325</v>
      </c>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2"/>
    </row>
    <row r="57" spans="1:32" ht="111" customHeight="1">
      <c r="A57" s="702" t="s">
        <v>46</v>
      </c>
      <c r="B57" s="704" t="s">
        <v>291</v>
      </c>
      <c r="C57" s="384" t="s">
        <v>285</v>
      </c>
      <c r="D57" s="474">
        <v>2020</v>
      </c>
      <c r="E57" s="374">
        <f>F57+G57+H57+I57</f>
        <v>1449</v>
      </c>
      <c r="F57" s="374">
        <f>1656-207</f>
        <v>1449</v>
      </c>
      <c r="G57" s="374">
        <v>0</v>
      </c>
      <c r="H57" s="374">
        <v>0</v>
      </c>
      <c r="I57" s="374">
        <v>0</v>
      </c>
      <c r="J57" s="374">
        <f>K57+L57+M57+N57</f>
        <v>0</v>
      </c>
      <c r="K57" s="374">
        <v>0</v>
      </c>
      <c r="L57" s="374">
        <v>0</v>
      </c>
      <c r="M57" s="374">
        <v>0</v>
      </c>
      <c r="N57" s="374">
        <v>0</v>
      </c>
      <c r="O57" s="374">
        <f>P57+Q57+R57+S57</f>
        <v>0</v>
      </c>
      <c r="P57" s="374">
        <v>0</v>
      </c>
      <c r="Q57" s="374">
        <v>0</v>
      </c>
      <c r="R57" s="374">
        <v>0</v>
      </c>
      <c r="S57" s="374">
        <v>0</v>
      </c>
      <c r="T57" s="374">
        <f t="shared" ref="T57:T59" si="21">U57+V57+W57+X57</f>
        <v>0</v>
      </c>
      <c r="U57" s="374">
        <v>0</v>
      </c>
      <c r="V57" s="374">
        <v>0</v>
      </c>
      <c r="W57" s="374">
        <v>0</v>
      </c>
      <c r="X57" s="374">
        <v>0</v>
      </c>
      <c r="Y57" s="374">
        <f>Z57+AA57+AB57+AC57</f>
        <v>0</v>
      </c>
      <c r="Z57" s="374">
        <v>0</v>
      </c>
      <c r="AA57" s="374">
        <v>0</v>
      </c>
      <c r="AB57" s="374">
        <v>0</v>
      </c>
      <c r="AC57" s="374">
        <v>0</v>
      </c>
      <c r="AD57" s="374">
        <f>E57+I57+O57+T57+0</f>
        <v>1449</v>
      </c>
    </row>
    <row r="58" spans="1:32" ht="76.5" customHeight="1">
      <c r="A58" s="703"/>
      <c r="B58" s="705"/>
      <c r="C58" s="384" t="s">
        <v>286</v>
      </c>
      <c r="D58" s="474" t="s">
        <v>284</v>
      </c>
      <c r="E58" s="374">
        <f>F58+G58+H58+I58</f>
        <v>0</v>
      </c>
      <c r="F58" s="374">
        <v>0</v>
      </c>
      <c r="G58" s="374">
        <v>0</v>
      </c>
      <c r="H58" s="374">
        <v>0</v>
      </c>
      <c r="I58" s="374">
        <v>0</v>
      </c>
      <c r="J58" s="374">
        <f>K58+L58+M58+N58</f>
        <v>850</v>
      </c>
      <c r="K58" s="374">
        <f>1437-237-350</f>
        <v>850</v>
      </c>
      <c r="L58" s="374">
        <v>0</v>
      </c>
      <c r="M58" s="374">
        <v>0</v>
      </c>
      <c r="N58" s="374">
        <v>0</v>
      </c>
      <c r="O58" s="334">
        <f>P58+Q58+R58+S58</f>
        <v>997</v>
      </c>
      <c r="P58" s="334">
        <f>1437-175-3-262</f>
        <v>997</v>
      </c>
      <c r="Q58" s="374">
        <v>0</v>
      </c>
      <c r="R58" s="374">
        <v>0</v>
      </c>
      <c r="S58" s="374">
        <v>0</v>
      </c>
      <c r="T58" s="374">
        <f t="shared" si="21"/>
        <v>1437</v>
      </c>
      <c r="U58" s="374">
        <v>1437</v>
      </c>
      <c r="V58" s="374">
        <v>0</v>
      </c>
      <c r="W58" s="374">
        <v>0</v>
      </c>
      <c r="X58" s="374">
        <v>0</v>
      </c>
      <c r="Y58" s="374">
        <f>Z58+AA58+AB58+AC58</f>
        <v>1437</v>
      </c>
      <c r="Z58" s="374">
        <v>1437</v>
      </c>
      <c r="AA58" s="374">
        <v>0</v>
      </c>
      <c r="AB58" s="374">
        <v>0</v>
      </c>
      <c r="AC58" s="374">
        <v>0</v>
      </c>
      <c r="AD58" s="374">
        <f>E58+J58+O58+T58+Y58</f>
        <v>4721</v>
      </c>
    </row>
    <row r="59" spans="1:32" ht="69.75">
      <c r="A59" s="369" t="s">
        <v>251</v>
      </c>
      <c r="B59" s="376" t="s">
        <v>292</v>
      </c>
      <c r="C59" s="384" t="s">
        <v>52</v>
      </c>
      <c r="D59" s="384" t="s">
        <v>93</v>
      </c>
      <c r="E59" s="374">
        <f>F59+G59+H59+I59</f>
        <v>55</v>
      </c>
      <c r="F59" s="374">
        <f>86-31</f>
        <v>55</v>
      </c>
      <c r="G59" s="374">
        <v>0</v>
      </c>
      <c r="H59" s="374">
        <v>0</v>
      </c>
      <c r="I59" s="374">
        <v>0</v>
      </c>
      <c r="J59" s="374">
        <f>K59+L59+M59+N59</f>
        <v>60.5</v>
      </c>
      <c r="K59" s="374">
        <f>70-9.5</f>
        <v>60.5</v>
      </c>
      <c r="L59" s="374">
        <v>0</v>
      </c>
      <c r="M59" s="374">
        <v>0</v>
      </c>
      <c r="N59" s="374">
        <v>0</v>
      </c>
      <c r="O59" s="334">
        <f>P59+Q59+R59+S59</f>
        <v>134.19999999999999</v>
      </c>
      <c r="P59" s="334">
        <f>153-18.8</f>
        <v>134.19999999999999</v>
      </c>
      <c r="Q59" s="374">
        <v>0</v>
      </c>
      <c r="R59" s="374">
        <v>0</v>
      </c>
      <c r="S59" s="374">
        <v>0</v>
      </c>
      <c r="T59" s="374">
        <f t="shared" si="21"/>
        <v>153</v>
      </c>
      <c r="U59" s="374">
        <v>153</v>
      </c>
      <c r="V59" s="374">
        <v>0</v>
      </c>
      <c r="W59" s="374">
        <v>0</v>
      </c>
      <c r="X59" s="374">
        <v>0</v>
      </c>
      <c r="Y59" s="374">
        <f>Z59+AA59+AB59+AC59</f>
        <v>153</v>
      </c>
      <c r="Z59" s="374">
        <v>153</v>
      </c>
      <c r="AA59" s="374">
        <v>0</v>
      </c>
      <c r="AB59" s="374">
        <v>0</v>
      </c>
      <c r="AC59" s="374">
        <v>0</v>
      </c>
      <c r="AD59" s="374">
        <f>E59+J59+O59+T59+Y59</f>
        <v>555.70000000000005</v>
      </c>
    </row>
    <row r="60" spans="1:32" ht="23.25">
      <c r="A60" s="379" t="s">
        <v>73</v>
      </c>
      <c r="B60" s="379"/>
      <c r="C60" s="449"/>
      <c r="D60" s="466"/>
      <c r="E60" s="374">
        <f>E59</f>
        <v>55</v>
      </c>
      <c r="F60" s="374">
        <f>F59</f>
        <v>55</v>
      </c>
      <c r="G60" s="374">
        <v>0</v>
      </c>
      <c r="H60" s="374">
        <v>0</v>
      </c>
      <c r="I60" s="374">
        <v>0</v>
      </c>
      <c r="J60" s="374">
        <f>K60+L60+M60+N60</f>
        <v>910.5</v>
      </c>
      <c r="K60" s="374">
        <f>K58+K59</f>
        <v>910.5</v>
      </c>
      <c r="L60" s="374">
        <v>0</v>
      </c>
      <c r="M60" s="374">
        <v>0</v>
      </c>
      <c r="N60" s="374">
        <v>0</v>
      </c>
      <c r="O60" s="374">
        <f>P60+Q60+R60+S60</f>
        <v>1131.2</v>
      </c>
      <c r="P60" s="374">
        <f>P58+P59</f>
        <v>1131.2</v>
      </c>
      <c r="Q60" s="374">
        <v>0</v>
      </c>
      <c r="R60" s="374">
        <v>0</v>
      </c>
      <c r="S60" s="374">
        <v>0</v>
      </c>
      <c r="T60" s="374">
        <f>T58+T59</f>
        <v>1590</v>
      </c>
      <c r="U60" s="374">
        <f>U58+U59</f>
        <v>1590</v>
      </c>
      <c r="V60" s="374">
        <v>0</v>
      </c>
      <c r="W60" s="374">
        <v>0</v>
      </c>
      <c r="X60" s="374">
        <v>0</v>
      </c>
      <c r="Y60" s="374">
        <f>Y58+Y59</f>
        <v>1590</v>
      </c>
      <c r="Z60" s="374">
        <f>Z58+Z59</f>
        <v>1590</v>
      </c>
      <c r="AA60" s="374">
        <v>0</v>
      </c>
      <c r="AB60" s="374">
        <v>0</v>
      </c>
      <c r="AC60" s="374">
        <v>0</v>
      </c>
      <c r="AD60" s="374">
        <f>AD58+AD59</f>
        <v>5276.7</v>
      </c>
    </row>
    <row r="61" spans="1:32" ht="23.25">
      <c r="A61" s="379" t="s">
        <v>135</v>
      </c>
      <c r="B61" s="379"/>
      <c r="C61" s="449"/>
      <c r="D61" s="466"/>
      <c r="E61" s="374">
        <f>F61+G61+H61+I61</f>
        <v>1449</v>
      </c>
      <c r="F61" s="374">
        <f>F57</f>
        <v>1449</v>
      </c>
      <c r="G61" s="374">
        <v>0</v>
      </c>
      <c r="H61" s="374">
        <v>0</v>
      </c>
      <c r="I61" s="374">
        <v>0</v>
      </c>
      <c r="J61" s="374">
        <v>0</v>
      </c>
      <c r="K61" s="374">
        <v>0</v>
      </c>
      <c r="L61" s="374">
        <v>0</v>
      </c>
      <c r="M61" s="374">
        <v>0</v>
      </c>
      <c r="N61" s="374">
        <v>0</v>
      </c>
      <c r="O61" s="374">
        <v>0</v>
      </c>
      <c r="P61" s="374">
        <v>0</v>
      </c>
      <c r="Q61" s="374">
        <v>0</v>
      </c>
      <c r="R61" s="374">
        <v>0</v>
      </c>
      <c r="S61" s="374">
        <v>0</v>
      </c>
      <c r="T61" s="374">
        <v>0</v>
      </c>
      <c r="U61" s="374">
        <v>0</v>
      </c>
      <c r="V61" s="374">
        <v>0</v>
      </c>
      <c r="W61" s="374">
        <v>0</v>
      </c>
      <c r="X61" s="374">
        <v>0</v>
      </c>
      <c r="Y61" s="374">
        <v>0</v>
      </c>
      <c r="Z61" s="374">
        <v>0</v>
      </c>
      <c r="AA61" s="374">
        <v>0</v>
      </c>
      <c r="AB61" s="374">
        <v>0</v>
      </c>
      <c r="AC61" s="374">
        <v>0</v>
      </c>
      <c r="AD61" s="374">
        <f>AD57</f>
        <v>1449</v>
      </c>
    </row>
    <row r="62" spans="1:32" s="468" customFormat="1" ht="22.5">
      <c r="A62" s="475"/>
      <c r="B62" s="475" t="s">
        <v>303</v>
      </c>
      <c r="C62" s="476"/>
      <c r="D62" s="477"/>
      <c r="E62" s="378">
        <f>F62+G62+H62+I62</f>
        <v>1504</v>
      </c>
      <c r="F62" s="378">
        <f>F60+F61</f>
        <v>1504</v>
      </c>
      <c r="G62" s="378">
        <v>0</v>
      </c>
      <c r="H62" s="378">
        <v>0</v>
      </c>
      <c r="I62" s="378">
        <v>0</v>
      </c>
      <c r="J62" s="378">
        <f>K62+L62+M62+N62</f>
        <v>910.5</v>
      </c>
      <c r="K62" s="378">
        <f>K60+K61</f>
        <v>910.5</v>
      </c>
      <c r="L62" s="378">
        <v>0</v>
      </c>
      <c r="M62" s="378">
        <v>0</v>
      </c>
      <c r="N62" s="378">
        <v>0</v>
      </c>
      <c r="O62" s="378">
        <f>P62+Q62+R62+S62</f>
        <v>1131.2</v>
      </c>
      <c r="P62" s="378">
        <f>P60+P61</f>
        <v>1131.2</v>
      </c>
      <c r="Q62" s="378">
        <v>0</v>
      </c>
      <c r="R62" s="378">
        <v>0</v>
      </c>
      <c r="S62" s="378">
        <v>0</v>
      </c>
      <c r="T62" s="378">
        <f>U62+V62+W62+X62</f>
        <v>1590</v>
      </c>
      <c r="U62" s="378">
        <f>U60+U61</f>
        <v>1590</v>
      </c>
      <c r="V62" s="378">
        <v>0</v>
      </c>
      <c r="W62" s="378">
        <v>0</v>
      </c>
      <c r="X62" s="378">
        <v>0</v>
      </c>
      <c r="Y62" s="378">
        <f>Z62+AA62+AB62+AC62</f>
        <v>1590</v>
      </c>
      <c r="Z62" s="378">
        <f>Z60+Z61</f>
        <v>1590</v>
      </c>
      <c r="AA62" s="378">
        <v>0</v>
      </c>
      <c r="AB62" s="378">
        <v>0</v>
      </c>
      <c r="AC62" s="378">
        <v>0</v>
      </c>
      <c r="AD62" s="378">
        <f>E62+J62+O62+T62+Y62</f>
        <v>6725.7</v>
      </c>
    </row>
    <row r="63" spans="1:32" ht="23.25">
      <c r="A63" s="384" t="s">
        <v>224</v>
      </c>
      <c r="B63" s="690" t="s">
        <v>326</v>
      </c>
      <c r="C63" s="691"/>
      <c r="D63" s="691"/>
      <c r="E63" s="691"/>
      <c r="F63" s="691"/>
      <c r="G63" s="691"/>
      <c r="H63" s="691"/>
      <c r="I63" s="691"/>
      <c r="J63" s="691"/>
      <c r="K63" s="691"/>
      <c r="L63" s="691"/>
      <c r="M63" s="691"/>
      <c r="N63" s="691"/>
      <c r="O63" s="691"/>
      <c r="P63" s="691"/>
      <c r="Q63" s="691"/>
      <c r="R63" s="691"/>
      <c r="S63" s="691"/>
      <c r="T63" s="691"/>
      <c r="U63" s="691"/>
      <c r="V63" s="691"/>
      <c r="W63" s="691"/>
      <c r="X63" s="691"/>
      <c r="Y63" s="691"/>
      <c r="Z63" s="691"/>
      <c r="AA63" s="691"/>
      <c r="AB63" s="691"/>
      <c r="AC63" s="691"/>
      <c r="AD63" s="692"/>
    </row>
    <row r="64" spans="1:32" ht="87.75" customHeight="1">
      <c r="A64" s="369" t="s">
        <v>48</v>
      </c>
      <c r="B64" s="370" t="s">
        <v>108</v>
      </c>
      <c r="C64" s="384" t="s">
        <v>94</v>
      </c>
      <c r="D64" s="384" t="s">
        <v>93</v>
      </c>
      <c r="E64" s="374">
        <f>F64+G64+H64+I64</f>
        <v>766</v>
      </c>
      <c r="F64" s="374">
        <f>409+357</f>
        <v>766</v>
      </c>
      <c r="G64" s="374">
        <v>0</v>
      </c>
      <c r="H64" s="374">
        <v>0</v>
      </c>
      <c r="I64" s="374">
        <v>0</v>
      </c>
      <c r="J64" s="374">
        <f>K64+L64+M64+N64</f>
        <v>628</v>
      </c>
      <c r="K64" s="374">
        <f>655-27</f>
        <v>628</v>
      </c>
      <c r="L64" s="374">
        <v>0</v>
      </c>
      <c r="M64" s="374">
        <v>0</v>
      </c>
      <c r="N64" s="374">
        <v>0</v>
      </c>
      <c r="O64" s="334">
        <f>P64+Q64+R64+S64</f>
        <v>508.79999999999995</v>
      </c>
      <c r="P64" s="334">
        <f>533-23.2+34-35</f>
        <v>508.79999999999995</v>
      </c>
      <c r="Q64" s="374">
        <v>0</v>
      </c>
      <c r="R64" s="374">
        <v>0</v>
      </c>
      <c r="S64" s="374">
        <v>0</v>
      </c>
      <c r="T64" s="374">
        <f>U64+V64+W64+X64</f>
        <v>0</v>
      </c>
      <c r="U64" s="374">
        <v>0</v>
      </c>
      <c r="V64" s="374">
        <v>0</v>
      </c>
      <c r="W64" s="374">
        <v>0</v>
      </c>
      <c r="X64" s="374">
        <v>0</v>
      </c>
      <c r="Y64" s="374">
        <f>Z64+AA64+AB64+AC64</f>
        <v>0</v>
      </c>
      <c r="Z64" s="374">
        <v>0</v>
      </c>
      <c r="AA64" s="374">
        <v>0</v>
      </c>
      <c r="AB64" s="374">
        <v>0</v>
      </c>
      <c r="AC64" s="374">
        <v>0</v>
      </c>
      <c r="AD64" s="374">
        <f>E64+J64+O64+T64+Y64</f>
        <v>1902.8</v>
      </c>
      <c r="AF64" s="453" t="s">
        <v>131</v>
      </c>
    </row>
    <row r="65" spans="1:30">
      <c r="A65" s="696" t="s">
        <v>317</v>
      </c>
      <c r="B65" s="697"/>
      <c r="C65" s="698"/>
      <c r="D65" s="466"/>
      <c r="E65" s="378">
        <f t="shared" ref="E65:AD65" si="22">SUM(E64:E64)</f>
        <v>766</v>
      </c>
      <c r="F65" s="378">
        <f>SUM(F64)</f>
        <v>766</v>
      </c>
      <c r="G65" s="378">
        <f t="shared" si="22"/>
        <v>0</v>
      </c>
      <c r="H65" s="378">
        <f t="shared" si="22"/>
        <v>0</v>
      </c>
      <c r="I65" s="378">
        <f t="shared" si="22"/>
        <v>0</v>
      </c>
      <c r="J65" s="378">
        <f>J64</f>
        <v>628</v>
      </c>
      <c r="K65" s="378">
        <f t="shared" si="22"/>
        <v>628</v>
      </c>
      <c r="L65" s="378">
        <f t="shared" si="22"/>
        <v>0</v>
      </c>
      <c r="M65" s="378">
        <f t="shared" si="22"/>
        <v>0</v>
      </c>
      <c r="N65" s="378">
        <f t="shared" si="22"/>
        <v>0</v>
      </c>
      <c r="O65" s="378">
        <f t="shared" si="22"/>
        <v>508.79999999999995</v>
      </c>
      <c r="P65" s="378">
        <f t="shared" si="22"/>
        <v>508.79999999999995</v>
      </c>
      <c r="Q65" s="378">
        <f t="shared" si="22"/>
        <v>0</v>
      </c>
      <c r="R65" s="378">
        <f t="shared" si="22"/>
        <v>0</v>
      </c>
      <c r="S65" s="378">
        <f t="shared" si="22"/>
        <v>0</v>
      </c>
      <c r="T65" s="378">
        <f t="shared" si="22"/>
        <v>0</v>
      </c>
      <c r="U65" s="378">
        <f t="shared" si="22"/>
        <v>0</v>
      </c>
      <c r="V65" s="378">
        <f t="shared" si="22"/>
        <v>0</v>
      </c>
      <c r="W65" s="378">
        <f t="shared" si="22"/>
        <v>0</v>
      </c>
      <c r="X65" s="378">
        <f t="shared" si="22"/>
        <v>0</v>
      </c>
      <c r="Y65" s="378">
        <f t="shared" si="22"/>
        <v>0</v>
      </c>
      <c r="Z65" s="378">
        <f t="shared" si="22"/>
        <v>0</v>
      </c>
      <c r="AA65" s="378">
        <f t="shared" si="22"/>
        <v>0</v>
      </c>
      <c r="AB65" s="378">
        <f t="shared" si="22"/>
        <v>0</v>
      </c>
      <c r="AC65" s="378">
        <f t="shared" si="22"/>
        <v>0</v>
      </c>
      <c r="AD65" s="378">
        <f t="shared" si="22"/>
        <v>1902.8</v>
      </c>
    </row>
    <row r="66" spans="1:30" ht="23.25">
      <c r="A66" s="466" t="s">
        <v>252</v>
      </c>
      <c r="B66" s="690" t="s">
        <v>253</v>
      </c>
      <c r="C66" s="691"/>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2"/>
    </row>
    <row r="67" spans="1:30" ht="93.75">
      <c r="A67" s="466" t="s">
        <v>50</v>
      </c>
      <c r="B67" s="370" t="s">
        <v>115</v>
      </c>
      <c r="C67" s="384" t="s">
        <v>106</v>
      </c>
      <c r="D67" s="384" t="s">
        <v>93</v>
      </c>
      <c r="E67" s="374">
        <f>F67+G67+H67+I67</f>
        <v>25286</v>
      </c>
      <c r="F67" s="374">
        <f>27786-2500</f>
        <v>25286</v>
      </c>
      <c r="G67" s="374">
        <v>0</v>
      </c>
      <c r="H67" s="374">
        <v>0</v>
      </c>
      <c r="I67" s="374">
        <v>0</v>
      </c>
      <c r="J67" s="374">
        <f>K67+L67+M67+N67</f>
        <v>29781</v>
      </c>
      <c r="K67" s="374">
        <f>40120-110-10229</f>
        <v>29781</v>
      </c>
      <c r="L67" s="374">
        <v>0</v>
      </c>
      <c r="M67" s="374">
        <v>0</v>
      </c>
      <c r="N67" s="374">
        <v>0</v>
      </c>
      <c r="O67" s="334">
        <f>P67+Q67+R67+S67</f>
        <v>26886.400000000001</v>
      </c>
      <c r="P67" s="334">
        <f>29104-2217.6</f>
        <v>26886.400000000001</v>
      </c>
      <c r="Q67" s="374">
        <v>0</v>
      </c>
      <c r="R67" s="374">
        <v>0</v>
      </c>
      <c r="S67" s="374">
        <v>0</v>
      </c>
      <c r="T67" s="374">
        <f>U67+V67+W67+X67</f>
        <v>0</v>
      </c>
      <c r="U67" s="374">
        <v>0</v>
      </c>
      <c r="V67" s="374">
        <v>0</v>
      </c>
      <c r="W67" s="374">
        <v>0</v>
      </c>
      <c r="X67" s="374">
        <v>0</v>
      </c>
      <c r="Y67" s="374">
        <f>Z67+AA67+AB67+AC67</f>
        <v>0</v>
      </c>
      <c r="Z67" s="374">
        <v>0</v>
      </c>
      <c r="AA67" s="374">
        <v>0</v>
      </c>
      <c r="AB67" s="374">
        <v>0</v>
      </c>
      <c r="AC67" s="374">
        <v>0</v>
      </c>
      <c r="AD67" s="374">
        <f>E67+J67+O67+T67+Y67</f>
        <v>81953.399999999994</v>
      </c>
    </row>
    <row r="68" spans="1:30" ht="23.25">
      <c r="A68" s="687" t="s">
        <v>318</v>
      </c>
      <c r="B68" s="688"/>
      <c r="C68" s="689"/>
      <c r="D68" s="466"/>
      <c r="E68" s="378">
        <f t="shared" ref="E68:AD68" si="23">SUM(E67:E67)</f>
        <v>25286</v>
      </c>
      <c r="F68" s="378">
        <f>SUM(F67)</f>
        <v>25286</v>
      </c>
      <c r="G68" s="378">
        <f t="shared" si="23"/>
        <v>0</v>
      </c>
      <c r="H68" s="378">
        <f t="shared" si="23"/>
        <v>0</v>
      </c>
      <c r="I68" s="378">
        <f t="shared" si="23"/>
        <v>0</v>
      </c>
      <c r="J68" s="378">
        <f>J67</f>
        <v>29781</v>
      </c>
      <c r="K68" s="378">
        <f t="shared" si="23"/>
        <v>29781</v>
      </c>
      <c r="L68" s="378">
        <f t="shared" si="23"/>
        <v>0</v>
      </c>
      <c r="M68" s="378">
        <f t="shared" si="23"/>
        <v>0</v>
      </c>
      <c r="N68" s="378">
        <f t="shared" si="23"/>
        <v>0</v>
      </c>
      <c r="O68" s="378">
        <f t="shared" si="23"/>
        <v>26886.400000000001</v>
      </c>
      <c r="P68" s="378">
        <f t="shared" si="23"/>
        <v>26886.400000000001</v>
      </c>
      <c r="Q68" s="378">
        <f t="shared" si="23"/>
        <v>0</v>
      </c>
      <c r="R68" s="378">
        <f t="shared" si="23"/>
        <v>0</v>
      </c>
      <c r="S68" s="378">
        <f t="shared" si="23"/>
        <v>0</v>
      </c>
      <c r="T68" s="378">
        <f t="shared" si="23"/>
        <v>0</v>
      </c>
      <c r="U68" s="378">
        <f t="shared" si="23"/>
        <v>0</v>
      </c>
      <c r="V68" s="378">
        <f t="shared" si="23"/>
        <v>0</v>
      </c>
      <c r="W68" s="378">
        <f t="shared" si="23"/>
        <v>0</v>
      </c>
      <c r="X68" s="378">
        <f t="shared" si="23"/>
        <v>0</v>
      </c>
      <c r="Y68" s="378">
        <f t="shared" si="23"/>
        <v>0</v>
      </c>
      <c r="Z68" s="378">
        <f t="shared" si="23"/>
        <v>0</v>
      </c>
      <c r="AA68" s="378">
        <f t="shared" si="23"/>
        <v>0</v>
      </c>
      <c r="AB68" s="378">
        <f t="shared" si="23"/>
        <v>0</v>
      </c>
      <c r="AC68" s="378">
        <f t="shared" si="23"/>
        <v>0</v>
      </c>
      <c r="AD68" s="378">
        <f t="shared" si="23"/>
        <v>81953.399999999994</v>
      </c>
    </row>
    <row r="69" spans="1:30" ht="23.25">
      <c r="A69" s="466" t="s">
        <v>254</v>
      </c>
      <c r="B69" s="690" t="s">
        <v>255</v>
      </c>
      <c r="C69" s="691"/>
      <c r="D69" s="691"/>
      <c r="E69" s="691"/>
      <c r="F69" s="691"/>
      <c r="G69" s="691"/>
      <c r="H69" s="691"/>
      <c r="I69" s="691"/>
      <c r="J69" s="691"/>
      <c r="K69" s="691"/>
      <c r="L69" s="691"/>
      <c r="M69" s="691"/>
      <c r="N69" s="691"/>
      <c r="O69" s="691"/>
      <c r="P69" s="691"/>
      <c r="Q69" s="691"/>
      <c r="R69" s="691"/>
      <c r="S69" s="691"/>
      <c r="T69" s="691"/>
      <c r="U69" s="691"/>
      <c r="V69" s="691"/>
      <c r="W69" s="691"/>
      <c r="X69" s="691"/>
      <c r="Y69" s="691"/>
      <c r="Z69" s="691"/>
      <c r="AA69" s="691"/>
      <c r="AB69" s="691"/>
      <c r="AC69" s="691"/>
      <c r="AD69" s="692"/>
    </row>
    <row r="70" spans="1:30" ht="37.5">
      <c r="A70" s="466" t="s">
        <v>55</v>
      </c>
      <c r="B70" s="462" t="s">
        <v>96</v>
      </c>
      <c r="C70" s="384" t="s">
        <v>94</v>
      </c>
      <c r="D70" s="384" t="s">
        <v>93</v>
      </c>
      <c r="E70" s="374">
        <f>F70+G70+H70+I70</f>
        <v>7420</v>
      </c>
      <c r="F70" s="374">
        <f>6486+934</f>
        <v>7420</v>
      </c>
      <c r="G70" s="374">
        <v>0</v>
      </c>
      <c r="H70" s="374">
        <v>0</v>
      </c>
      <c r="I70" s="374">
        <v>0</v>
      </c>
      <c r="J70" s="374">
        <f>K70+L70+M70+N70</f>
        <v>6270</v>
      </c>
      <c r="K70" s="374">
        <f>7350-300-780</f>
        <v>6270</v>
      </c>
      <c r="L70" s="374">
        <v>0</v>
      </c>
      <c r="M70" s="374">
        <v>0</v>
      </c>
      <c r="N70" s="374">
        <v>0</v>
      </c>
      <c r="O70" s="334">
        <f>P70+Q70+R70+S70</f>
        <v>5850</v>
      </c>
      <c r="P70" s="334">
        <f>7050-390-810</f>
        <v>5850</v>
      </c>
      <c r="Q70" s="374">
        <v>0</v>
      </c>
      <c r="R70" s="374">
        <v>0</v>
      </c>
      <c r="S70" s="374">
        <v>0</v>
      </c>
      <c r="T70" s="374">
        <f>U70+V70+W70+X70</f>
        <v>0</v>
      </c>
      <c r="U70" s="374">
        <v>0</v>
      </c>
      <c r="V70" s="374">
        <v>0</v>
      </c>
      <c r="W70" s="374">
        <v>0</v>
      </c>
      <c r="X70" s="374">
        <v>0</v>
      </c>
      <c r="Y70" s="374">
        <f>Z70+AA70+AB70+AC70</f>
        <v>0</v>
      </c>
      <c r="Z70" s="374">
        <v>0</v>
      </c>
      <c r="AA70" s="374">
        <v>0</v>
      </c>
      <c r="AB70" s="374">
        <v>0</v>
      </c>
      <c r="AC70" s="374">
        <v>0</v>
      </c>
      <c r="AD70" s="374">
        <f>E70+J70+O70+T70+Y70</f>
        <v>19540</v>
      </c>
    </row>
    <row r="71" spans="1:30" ht="46.5">
      <c r="A71" s="466" t="s">
        <v>256</v>
      </c>
      <c r="B71" s="370" t="s">
        <v>209</v>
      </c>
      <c r="C71" s="384" t="s">
        <v>94</v>
      </c>
      <c r="D71" s="384" t="s">
        <v>93</v>
      </c>
      <c r="E71" s="374">
        <f>SUM(F71:I71)</f>
        <v>681</v>
      </c>
      <c r="F71" s="374">
        <v>681</v>
      </c>
      <c r="G71" s="374">
        <v>0</v>
      </c>
      <c r="H71" s="374">
        <v>0</v>
      </c>
      <c r="I71" s="374">
        <v>0</v>
      </c>
      <c r="J71" s="374">
        <f>K71+L71+M71+N71</f>
        <v>558</v>
      </c>
      <c r="K71" s="374">
        <f>684-126</f>
        <v>558</v>
      </c>
      <c r="L71" s="374">
        <v>0</v>
      </c>
      <c r="M71" s="374">
        <v>0</v>
      </c>
      <c r="N71" s="374">
        <v>0</v>
      </c>
      <c r="O71" s="334">
        <f>P71+Q71+R71+S71</f>
        <v>498</v>
      </c>
      <c r="P71" s="334">
        <f>612-54-60</f>
        <v>498</v>
      </c>
      <c r="Q71" s="374">
        <v>0</v>
      </c>
      <c r="R71" s="374">
        <v>0</v>
      </c>
      <c r="S71" s="374">
        <v>0</v>
      </c>
      <c r="T71" s="374">
        <f>U71+V71+W71+X71</f>
        <v>0</v>
      </c>
      <c r="U71" s="374">
        <v>0</v>
      </c>
      <c r="V71" s="374">
        <v>0</v>
      </c>
      <c r="W71" s="374">
        <v>0</v>
      </c>
      <c r="X71" s="374">
        <v>0</v>
      </c>
      <c r="Y71" s="374">
        <f>Z71+AA71+AB71+AC71</f>
        <v>0</v>
      </c>
      <c r="Z71" s="374">
        <v>0</v>
      </c>
      <c r="AA71" s="374">
        <v>0</v>
      </c>
      <c r="AB71" s="374">
        <v>0</v>
      </c>
      <c r="AC71" s="374">
        <v>0</v>
      </c>
      <c r="AD71" s="374">
        <f>E71+J71+O71+T71+Y71</f>
        <v>1737</v>
      </c>
    </row>
    <row r="72" spans="1:30" ht="116.25">
      <c r="A72" s="466" t="s">
        <v>257</v>
      </c>
      <c r="B72" s="370" t="s">
        <v>271</v>
      </c>
      <c r="C72" s="384" t="s">
        <v>266</v>
      </c>
      <c r="D72" s="384">
        <v>2020</v>
      </c>
      <c r="E72" s="374">
        <f>F72+G72+H72+I72</f>
        <v>774</v>
      </c>
      <c r="F72" s="374">
        <v>774</v>
      </c>
      <c r="G72" s="374">
        <v>0</v>
      </c>
      <c r="H72" s="374">
        <v>0</v>
      </c>
      <c r="I72" s="374">
        <v>0</v>
      </c>
      <c r="J72" s="374">
        <f>K72+L72+M72+N72</f>
        <v>350</v>
      </c>
      <c r="K72" s="374">
        <v>350</v>
      </c>
      <c r="L72" s="374">
        <v>0</v>
      </c>
      <c r="M72" s="374">
        <v>0</v>
      </c>
      <c r="N72" s="374">
        <v>0</v>
      </c>
      <c r="O72" s="374">
        <f>P72+Q72+R72+S72</f>
        <v>360</v>
      </c>
      <c r="P72" s="374">
        <v>360</v>
      </c>
      <c r="Q72" s="374">
        <v>0</v>
      </c>
      <c r="R72" s="374">
        <v>0</v>
      </c>
      <c r="S72" s="374">
        <v>0</v>
      </c>
      <c r="T72" s="374">
        <f>U72+V72+W72+X72</f>
        <v>0</v>
      </c>
      <c r="U72" s="374">
        <v>0</v>
      </c>
      <c r="V72" s="374">
        <v>0</v>
      </c>
      <c r="W72" s="374">
        <v>0</v>
      </c>
      <c r="X72" s="374">
        <v>0</v>
      </c>
      <c r="Y72" s="374">
        <f>Z72+AA72+AB72+AC72</f>
        <v>0</v>
      </c>
      <c r="Z72" s="374">
        <v>0</v>
      </c>
      <c r="AA72" s="374">
        <v>0</v>
      </c>
      <c r="AB72" s="374">
        <v>0</v>
      </c>
      <c r="AC72" s="374">
        <v>0</v>
      </c>
      <c r="AD72" s="374">
        <f>E72+J72+O72+T72+Y72</f>
        <v>1484</v>
      </c>
    </row>
    <row r="73" spans="1:30" ht="23.25">
      <c r="A73" s="687" t="s">
        <v>322</v>
      </c>
      <c r="B73" s="688"/>
      <c r="C73" s="689"/>
      <c r="D73" s="466"/>
      <c r="E73" s="378">
        <f>E70+E71+E72</f>
        <v>8875</v>
      </c>
      <c r="F73" s="378">
        <f>F70+F71+F72</f>
        <v>8875</v>
      </c>
      <c r="G73" s="378">
        <f>SUM(G70:G70)</f>
        <v>0</v>
      </c>
      <c r="H73" s="378">
        <f>SUM(H70:H70)</f>
        <v>0</v>
      </c>
      <c r="I73" s="378">
        <f>SUM(I70:I70)</f>
        <v>0</v>
      </c>
      <c r="J73" s="378">
        <f>J70+J71+J72</f>
        <v>7178</v>
      </c>
      <c r="K73" s="378">
        <f>K70+K71+K72</f>
        <v>7178</v>
      </c>
      <c r="L73" s="378">
        <f>SUM(L70:L70)</f>
        <v>0</v>
      </c>
      <c r="M73" s="378">
        <f>SUM(M70:M70)</f>
        <v>0</v>
      </c>
      <c r="N73" s="378">
        <f>SUM(N70:N70)</f>
        <v>0</v>
      </c>
      <c r="O73" s="378">
        <f>O70+O71+O72</f>
        <v>6708</v>
      </c>
      <c r="P73" s="378">
        <f>P70+P71+P72</f>
        <v>6708</v>
      </c>
      <c r="Q73" s="378">
        <f>SUM(Q70:Q70)</f>
        <v>0</v>
      </c>
      <c r="R73" s="378">
        <f>SUM(R70:R70)</f>
        <v>0</v>
      </c>
      <c r="S73" s="378">
        <f>SUM(S70:S70)</f>
        <v>0</v>
      </c>
      <c r="T73" s="378">
        <f>T70+T71+T72</f>
        <v>0</v>
      </c>
      <c r="U73" s="378">
        <f>U70+U71+U72</f>
        <v>0</v>
      </c>
      <c r="V73" s="378">
        <f>SUM(V70:V70)</f>
        <v>0</v>
      </c>
      <c r="W73" s="378">
        <f>SUM(W70:W70)</f>
        <v>0</v>
      </c>
      <c r="X73" s="378">
        <f>SUM(X70:X70)</f>
        <v>0</v>
      </c>
      <c r="Y73" s="378">
        <f>Y70+Y71+Y72</f>
        <v>0</v>
      </c>
      <c r="Z73" s="378">
        <f>Z70+Z71+Z72</f>
        <v>0</v>
      </c>
      <c r="AA73" s="378">
        <f>SUM(AA70:AA70)</f>
        <v>0</v>
      </c>
      <c r="AB73" s="378">
        <f>SUM(AB70:AB70)</f>
        <v>0</v>
      </c>
      <c r="AC73" s="378">
        <f>SUM(AC70:AC70)</f>
        <v>0</v>
      </c>
      <c r="AD73" s="378">
        <f>SUM(AD70:AD72)</f>
        <v>22761</v>
      </c>
    </row>
    <row r="74" spans="1:30" ht="23.25">
      <c r="A74" s="379" t="s">
        <v>135</v>
      </c>
      <c r="B74" s="379"/>
      <c r="C74" s="449"/>
      <c r="D74" s="380"/>
      <c r="E74" s="472">
        <f>E70+E71+E72</f>
        <v>8875</v>
      </c>
      <c r="F74" s="472">
        <f>F70+F71+F72</f>
        <v>8875</v>
      </c>
      <c r="G74" s="472">
        <v>0</v>
      </c>
      <c r="H74" s="472">
        <v>0</v>
      </c>
      <c r="I74" s="472">
        <v>0</v>
      </c>
      <c r="J74" s="472">
        <f>J70+J71+J72</f>
        <v>7178</v>
      </c>
      <c r="K74" s="472">
        <f>K70+K71+K72</f>
        <v>7178</v>
      </c>
      <c r="L74" s="472">
        <v>0</v>
      </c>
      <c r="M74" s="472">
        <v>0</v>
      </c>
      <c r="N74" s="472">
        <v>0</v>
      </c>
      <c r="O74" s="472">
        <f>O73</f>
        <v>6708</v>
      </c>
      <c r="P74" s="472">
        <f>P70+P71+P72</f>
        <v>6708</v>
      </c>
      <c r="Q74" s="472">
        <v>0</v>
      </c>
      <c r="R74" s="472">
        <v>0</v>
      </c>
      <c r="S74" s="472">
        <v>0</v>
      </c>
      <c r="T74" s="472">
        <f>T70+T71+T72</f>
        <v>0</v>
      </c>
      <c r="U74" s="472">
        <f>U70+U71+U72</f>
        <v>0</v>
      </c>
      <c r="V74" s="472">
        <v>0</v>
      </c>
      <c r="W74" s="472">
        <v>0</v>
      </c>
      <c r="X74" s="472">
        <v>0</v>
      </c>
      <c r="Y74" s="472">
        <f>Y70+Y71+Y72</f>
        <v>0</v>
      </c>
      <c r="Z74" s="472">
        <f>Z70+Z71+Z72</f>
        <v>0</v>
      </c>
      <c r="AA74" s="472">
        <v>0</v>
      </c>
      <c r="AB74" s="472">
        <v>0</v>
      </c>
      <c r="AC74" s="472">
        <v>0</v>
      </c>
      <c r="AD74" s="473">
        <f>AD73</f>
        <v>22761</v>
      </c>
    </row>
    <row r="75" spans="1:30" ht="23.25">
      <c r="A75" s="466" t="s">
        <v>97</v>
      </c>
      <c r="B75" s="690" t="s">
        <v>258</v>
      </c>
      <c r="C75" s="691"/>
      <c r="D75" s="691"/>
      <c r="E75" s="691"/>
      <c r="F75" s="691"/>
      <c r="G75" s="691"/>
      <c r="H75" s="691"/>
      <c r="I75" s="691"/>
      <c r="J75" s="691"/>
      <c r="K75" s="691"/>
      <c r="L75" s="691"/>
      <c r="M75" s="691"/>
      <c r="N75" s="691"/>
      <c r="O75" s="691"/>
      <c r="P75" s="691"/>
      <c r="Q75" s="691"/>
      <c r="R75" s="691"/>
      <c r="S75" s="691"/>
      <c r="T75" s="691"/>
      <c r="U75" s="691"/>
      <c r="V75" s="691"/>
      <c r="W75" s="691"/>
      <c r="X75" s="691"/>
      <c r="Y75" s="691"/>
      <c r="Z75" s="691"/>
      <c r="AA75" s="691"/>
      <c r="AB75" s="691"/>
      <c r="AC75" s="691"/>
      <c r="AD75" s="692"/>
    </row>
    <row r="76" spans="1:30" ht="116.25">
      <c r="A76" s="478" t="s">
        <v>57</v>
      </c>
      <c r="B76" s="462" t="s">
        <v>290</v>
      </c>
      <c r="C76" s="384" t="s">
        <v>73</v>
      </c>
      <c r="D76" s="384" t="s">
        <v>93</v>
      </c>
      <c r="E76" s="374">
        <f xml:space="preserve"> SUM(F76:I76)</f>
        <v>136.19999999999999</v>
      </c>
      <c r="F76" s="374">
        <f>74.6+61.6</f>
        <v>136.19999999999999</v>
      </c>
      <c r="G76" s="374">
        <v>0</v>
      </c>
      <c r="H76" s="374">
        <v>0</v>
      </c>
      <c r="I76" s="374">
        <v>0</v>
      </c>
      <c r="J76" s="374">
        <f xml:space="preserve"> SUM(K76:N76)</f>
        <v>137.5</v>
      </c>
      <c r="K76" s="374">
        <f>142-4.5</f>
        <v>137.5</v>
      </c>
      <c r="L76" s="374">
        <v>0</v>
      </c>
      <c r="M76" s="374">
        <v>0</v>
      </c>
      <c r="N76" s="374">
        <v>0</v>
      </c>
      <c r="O76" s="334">
        <f xml:space="preserve"> SUM(P76:S76)</f>
        <v>139</v>
      </c>
      <c r="P76" s="334">
        <f>142-3</f>
        <v>139</v>
      </c>
      <c r="Q76" s="374">
        <v>0</v>
      </c>
      <c r="R76" s="374">
        <v>0</v>
      </c>
      <c r="S76" s="374">
        <v>0</v>
      </c>
      <c r="T76" s="374">
        <f xml:space="preserve"> SUM(U76:X76)</f>
        <v>142</v>
      </c>
      <c r="U76" s="374">
        <v>142</v>
      </c>
      <c r="V76" s="374">
        <v>0</v>
      </c>
      <c r="W76" s="374">
        <v>0</v>
      </c>
      <c r="X76" s="374">
        <v>0</v>
      </c>
      <c r="Y76" s="374">
        <f xml:space="preserve"> SUM(Z76:AC76)</f>
        <v>142</v>
      </c>
      <c r="Z76" s="374">
        <v>142</v>
      </c>
      <c r="AA76" s="374">
        <v>0</v>
      </c>
      <c r="AB76" s="374">
        <v>0</v>
      </c>
      <c r="AC76" s="374">
        <v>0</v>
      </c>
      <c r="AD76" s="374">
        <f>E76+J76+O76+T76+Y76</f>
        <v>696.7</v>
      </c>
    </row>
    <row r="77" spans="1:30" ht="23.25">
      <c r="A77" s="687" t="s">
        <v>321</v>
      </c>
      <c r="B77" s="688"/>
      <c r="C77" s="689"/>
      <c r="D77" s="466"/>
      <c r="E77" s="378">
        <f>E76</f>
        <v>136.19999999999999</v>
      </c>
      <c r="F77" s="378">
        <f>F76</f>
        <v>136.19999999999999</v>
      </c>
      <c r="G77" s="378">
        <v>0</v>
      </c>
      <c r="H77" s="378">
        <v>0</v>
      </c>
      <c r="I77" s="378">
        <v>0</v>
      </c>
      <c r="J77" s="378">
        <f t="shared" ref="J77:AC77" si="24">J76</f>
        <v>137.5</v>
      </c>
      <c r="K77" s="378">
        <f t="shared" si="24"/>
        <v>137.5</v>
      </c>
      <c r="L77" s="378">
        <f t="shared" si="24"/>
        <v>0</v>
      </c>
      <c r="M77" s="378">
        <f t="shared" si="24"/>
        <v>0</v>
      </c>
      <c r="N77" s="378">
        <f t="shared" si="24"/>
        <v>0</v>
      </c>
      <c r="O77" s="378">
        <f t="shared" si="24"/>
        <v>139</v>
      </c>
      <c r="P77" s="378">
        <f t="shared" si="24"/>
        <v>139</v>
      </c>
      <c r="Q77" s="378">
        <f t="shared" si="24"/>
        <v>0</v>
      </c>
      <c r="R77" s="378">
        <f t="shared" si="24"/>
        <v>0</v>
      </c>
      <c r="S77" s="378">
        <f t="shared" si="24"/>
        <v>0</v>
      </c>
      <c r="T77" s="378">
        <f t="shared" si="24"/>
        <v>142</v>
      </c>
      <c r="U77" s="378">
        <f t="shared" si="24"/>
        <v>142</v>
      </c>
      <c r="V77" s="378">
        <f t="shared" si="24"/>
        <v>0</v>
      </c>
      <c r="W77" s="378">
        <f t="shared" si="24"/>
        <v>0</v>
      </c>
      <c r="X77" s="378">
        <f t="shared" si="24"/>
        <v>0</v>
      </c>
      <c r="Y77" s="378">
        <f t="shared" si="24"/>
        <v>142</v>
      </c>
      <c r="Z77" s="378">
        <f t="shared" si="24"/>
        <v>142</v>
      </c>
      <c r="AA77" s="378">
        <f t="shared" si="24"/>
        <v>0</v>
      </c>
      <c r="AB77" s="378">
        <f t="shared" si="24"/>
        <v>0</v>
      </c>
      <c r="AC77" s="378">
        <f t="shared" si="24"/>
        <v>0</v>
      </c>
      <c r="AD77" s="378">
        <f>E77+J77+O77+T77+Y77</f>
        <v>696.7</v>
      </c>
    </row>
    <row r="78" spans="1:30" ht="23.25">
      <c r="A78" s="377">
        <v>10</v>
      </c>
      <c r="B78" s="699" t="s">
        <v>259</v>
      </c>
      <c r="C78" s="700"/>
      <c r="D78" s="700"/>
      <c r="E78" s="700"/>
      <c r="F78" s="700"/>
      <c r="G78" s="700"/>
      <c r="H78" s="700"/>
      <c r="I78" s="700"/>
      <c r="J78" s="700"/>
      <c r="K78" s="700"/>
      <c r="L78" s="700"/>
      <c r="M78" s="700"/>
      <c r="N78" s="700"/>
      <c r="O78" s="700"/>
      <c r="P78" s="700"/>
      <c r="Q78" s="700"/>
      <c r="R78" s="700"/>
      <c r="S78" s="700"/>
      <c r="T78" s="700"/>
      <c r="U78" s="700"/>
      <c r="V78" s="700"/>
      <c r="W78" s="700"/>
      <c r="X78" s="700"/>
      <c r="Y78" s="700"/>
      <c r="Z78" s="700"/>
      <c r="AA78" s="700"/>
      <c r="AB78" s="700"/>
      <c r="AC78" s="700"/>
      <c r="AD78" s="701"/>
    </row>
    <row r="79" spans="1:30" ht="93">
      <c r="A79" s="479" t="s">
        <v>59</v>
      </c>
      <c r="B79" s="462" t="s">
        <v>186</v>
      </c>
      <c r="C79" s="480" t="s">
        <v>107</v>
      </c>
      <c r="D79" s="384" t="s">
        <v>93</v>
      </c>
      <c r="E79" s="481">
        <v>500</v>
      </c>
      <c r="F79" s="481">
        <v>500</v>
      </c>
      <c r="G79" s="481">
        <v>0</v>
      </c>
      <c r="H79" s="481">
        <v>0</v>
      </c>
      <c r="I79" s="481">
        <v>0</v>
      </c>
      <c r="J79" s="481">
        <f>K79+L79+M79+N79</f>
        <v>12</v>
      </c>
      <c r="K79" s="481">
        <f>24-12</f>
        <v>12</v>
      </c>
      <c r="L79" s="481">
        <v>0</v>
      </c>
      <c r="M79" s="481">
        <v>0</v>
      </c>
      <c r="N79" s="481">
        <v>0</v>
      </c>
      <c r="O79" s="481">
        <v>0</v>
      </c>
      <c r="P79" s="481">
        <v>0</v>
      </c>
      <c r="Q79" s="481">
        <v>0</v>
      </c>
      <c r="R79" s="481">
        <v>0</v>
      </c>
      <c r="S79" s="481">
        <v>0</v>
      </c>
      <c r="T79" s="481">
        <f t="shared" ref="T79:T81" si="25">U79+V79+W79+X79</f>
        <v>0</v>
      </c>
      <c r="U79" s="481">
        <v>0</v>
      </c>
      <c r="V79" s="481">
        <v>0</v>
      </c>
      <c r="W79" s="481">
        <v>0</v>
      </c>
      <c r="X79" s="481">
        <v>0</v>
      </c>
      <c r="Y79" s="481">
        <f>Z79+AA79+AB79+AC79</f>
        <v>0</v>
      </c>
      <c r="Z79" s="481">
        <v>0</v>
      </c>
      <c r="AA79" s="481">
        <v>0</v>
      </c>
      <c r="AB79" s="481">
        <v>0</v>
      </c>
      <c r="AC79" s="481">
        <v>0</v>
      </c>
      <c r="AD79" s="481">
        <f>E79+J79+O79+T79+Y79</f>
        <v>512</v>
      </c>
    </row>
    <row r="80" spans="1:30" ht="75">
      <c r="A80" s="479" t="s">
        <v>98</v>
      </c>
      <c r="B80" s="370" t="s">
        <v>159</v>
      </c>
      <c r="C80" s="482" t="s">
        <v>107</v>
      </c>
      <c r="D80" s="384" t="s">
        <v>93</v>
      </c>
      <c r="E80" s="481">
        <v>2880</v>
      </c>
      <c r="F80" s="481">
        <v>2880</v>
      </c>
      <c r="G80" s="481">
        <v>0</v>
      </c>
      <c r="H80" s="481">
        <v>0</v>
      </c>
      <c r="I80" s="481">
        <v>0</v>
      </c>
      <c r="J80" s="481">
        <f>K80+L80+M80+N80</f>
        <v>2730</v>
      </c>
      <c r="K80" s="481">
        <f>2880-150</f>
        <v>2730</v>
      </c>
      <c r="L80" s="481">
        <v>0</v>
      </c>
      <c r="M80" s="481">
        <v>0</v>
      </c>
      <c r="N80" s="481">
        <v>0</v>
      </c>
      <c r="O80" s="481">
        <v>0</v>
      </c>
      <c r="P80" s="481">
        <v>0</v>
      </c>
      <c r="Q80" s="481">
        <v>0</v>
      </c>
      <c r="R80" s="481">
        <v>0</v>
      </c>
      <c r="S80" s="481">
        <v>0</v>
      </c>
      <c r="T80" s="481">
        <f t="shared" si="25"/>
        <v>0</v>
      </c>
      <c r="U80" s="481">
        <v>0</v>
      </c>
      <c r="V80" s="481">
        <v>0</v>
      </c>
      <c r="W80" s="481">
        <v>0</v>
      </c>
      <c r="X80" s="481">
        <v>0</v>
      </c>
      <c r="Y80" s="481">
        <f>Z80+AA80+AB80+AC80</f>
        <v>0</v>
      </c>
      <c r="Z80" s="481">
        <v>0</v>
      </c>
      <c r="AA80" s="481">
        <v>0</v>
      </c>
      <c r="AB80" s="481">
        <v>0</v>
      </c>
      <c r="AC80" s="481">
        <v>0</v>
      </c>
      <c r="AD80" s="481">
        <f>E80+J80+O80+T80+Y80</f>
        <v>5610</v>
      </c>
    </row>
    <row r="81" spans="1:31" ht="23.25">
      <c r="A81" s="687" t="s">
        <v>320</v>
      </c>
      <c r="B81" s="688"/>
      <c r="C81" s="689"/>
      <c r="D81" s="479"/>
      <c r="E81" s="483">
        <f>E79+E80</f>
        <v>3380</v>
      </c>
      <c r="F81" s="483">
        <f>SUM(F79:F80)</f>
        <v>3380</v>
      </c>
      <c r="G81" s="483">
        <f>G79</f>
        <v>0</v>
      </c>
      <c r="H81" s="483">
        <f>I79</f>
        <v>0</v>
      </c>
      <c r="I81" s="483">
        <f t="shared" ref="I81:V81" si="26">I79</f>
        <v>0</v>
      </c>
      <c r="J81" s="483">
        <f>K81+L81+M81+N81</f>
        <v>2742</v>
      </c>
      <c r="K81" s="483">
        <f>K79+K80</f>
        <v>2742</v>
      </c>
      <c r="L81" s="483">
        <f t="shared" si="26"/>
        <v>0</v>
      </c>
      <c r="M81" s="483">
        <f t="shared" si="26"/>
        <v>0</v>
      </c>
      <c r="N81" s="483">
        <f t="shared" si="26"/>
        <v>0</v>
      </c>
      <c r="O81" s="483">
        <f t="shared" ref="O81" si="27">P81+Q81+R81+S81</f>
        <v>0</v>
      </c>
      <c r="P81" s="483">
        <f>P79+P80</f>
        <v>0</v>
      </c>
      <c r="Q81" s="483">
        <f t="shared" si="26"/>
        <v>0</v>
      </c>
      <c r="R81" s="483">
        <f t="shared" si="26"/>
        <v>0</v>
      </c>
      <c r="S81" s="483">
        <f t="shared" si="26"/>
        <v>0</v>
      </c>
      <c r="T81" s="483">
        <f t="shared" si="25"/>
        <v>0</v>
      </c>
      <c r="U81" s="483">
        <f>T79+T80</f>
        <v>0</v>
      </c>
      <c r="V81" s="483">
        <f t="shared" si="26"/>
        <v>0</v>
      </c>
      <c r="W81" s="483">
        <f>V79</f>
        <v>0</v>
      </c>
      <c r="X81" s="483">
        <f t="shared" ref="X81:AC81" si="28">X79</f>
        <v>0</v>
      </c>
      <c r="Y81" s="483">
        <f>Z81+AA81+AB81+AC81</f>
        <v>0</v>
      </c>
      <c r="Z81" s="483">
        <f>Z79+Z80</f>
        <v>0</v>
      </c>
      <c r="AA81" s="483">
        <f t="shared" si="28"/>
        <v>0</v>
      </c>
      <c r="AB81" s="483">
        <f t="shared" si="28"/>
        <v>0</v>
      </c>
      <c r="AC81" s="483">
        <f t="shared" si="28"/>
        <v>0</v>
      </c>
      <c r="AD81" s="483">
        <f>E81+J81+O81+T81+Y81</f>
        <v>6122</v>
      </c>
    </row>
    <row r="82" spans="1:31" ht="23.25">
      <c r="A82" s="448">
        <v>11</v>
      </c>
      <c r="B82" s="449" t="s">
        <v>311</v>
      </c>
      <c r="C82" s="450"/>
      <c r="D82" s="479"/>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row>
    <row r="83" spans="1:31" ht="46.5">
      <c r="A83" s="484" t="s">
        <v>62</v>
      </c>
      <c r="B83" s="485" t="s">
        <v>312</v>
      </c>
      <c r="C83" s="450"/>
      <c r="D83" s="479">
        <v>2022</v>
      </c>
      <c r="E83" s="483">
        <v>0</v>
      </c>
      <c r="F83" s="483">
        <v>0</v>
      </c>
      <c r="G83" s="483">
        <v>0</v>
      </c>
      <c r="H83" s="483">
        <v>0</v>
      </c>
      <c r="I83" s="483">
        <v>0</v>
      </c>
      <c r="J83" s="483">
        <v>0</v>
      </c>
      <c r="K83" s="483">
        <v>0</v>
      </c>
      <c r="L83" s="483">
        <v>0</v>
      </c>
      <c r="M83" s="483">
        <v>0</v>
      </c>
      <c r="N83" s="483">
        <v>0</v>
      </c>
      <c r="O83" s="483">
        <f>P83+Q83+R83+S83</f>
        <v>4256</v>
      </c>
      <c r="P83" s="483">
        <v>4256</v>
      </c>
      <c r="Q83" s="483">
        <v>0</v>
      </c>
      <c r="R83" s="483">
        <v>0</v>
      </c>
      <c r="S83" s="483">
        <v>0</v>
      </c>
      <c r="T83" s="483">
        <v>0</v>
      </c>
      <c r="U83" s="483">
        <v>0</v>
      </c>
      <c r="V83" s="483">
        <v>0</v>
      </c>
      <c r="W83" s="483">
        <v>0</v>
      </c>
      <c r="X83" s="483">
        <v>0</v>
      </c>
      <c r="Y83" s="483">
        <v>0</v>
      </c>
      <c r="Z83" s="483">
        <v>0</v>
      </c>
      <c r="AA83" s="483">
        <v>0</v>
      </c>
      <c r="AB83" s="483">
        <v>0</v>
      </c>
      <c r="AC83" s="483">
        <v>0</v>
      </c>
      <c r="AD83" s="483">
        <f>E83+J83+O83+T83+Y83</f>
        <v>4256</v>
      </c>
    </row>
    <row r="84" spans="1:31" ht="23.25">
      <c r="A84" s="687" t="s">
        <v>319</v>
      </c>
      <c r="B84" s="688"/>
      <c r="C84" s="689"/>
      <c r="D84" s="479"/>
      <c r="E84" s="483">
        <v>0</v>
      </c>
      <c r="F84" s="483">
        <v>0</v>
      </c>
      <c r="G84" s="483">
        <v>0</v>
      </c>
      <c r="H84" s="483">
        <v>0</v>
      </c>
      <c r="I84" s="483">
        <v>0</v>
      </c>
      <c r="J84" s="483">
        <v>0</v>
      </c>
      <c r="K84" s="483">
        <v>0</v>
      </c>
      <c r="L84" s="483">
        <v>0</v>
      </c>
      <c r="M84" s="483">
        <v>0</v>
      </c>
      <c r="N84" s="483">
        <v>0</v>
      </c>
      <c r="O84" s="483">
        <f>O83</f>
        <v>4256</v>
      </c>
      <c r="P84" s="483">
        <f>P83</f>
        <v>4256</v>
      </c>
      <c r="Q84" s="483">
        <v>0</v>
      </c>
      <c r="R84" s="483">
        <v>0</v>
      </c>
      <c r="S84" s="483">
        <v>0</v>
      </c>
      <c r="T84" s="483">
        <v>0</v>
      </c>
      <c r="U84" s="483">
        <v>0</v>
      </c>
      <c r="V84" s="483">
        <v>0</v>
      </c>
      <c r="W84" s="483">
        <v>0</v>
      </c>
      <c r="X84" s="483">
        <v>0</v>
      </c>
      <c r="Y84" s="483">
        <v>0</v>
      </c>
      <c r="Z84" s="483">
        <v>0</v>
      </c>
      <c r="AA84" s="483">
        <v>0</v>
      </c>
      <c r="AB84" s="483">
        <v>0</v>
      </c>
      <c r="AC84" s="483">
        <v>0</v>
      </c>
      <c r="AD84" s="483">
        <f>AD83</f>
        <v>4256</v>
      </c>
      <c r="AE84" s="453">
        <v>0</v>
      </c>
    </row>
    <row r="85" spans="1:31" ht="23.25">
      <c r="A85" s="693" t="s">
        <v>304</v>
      </c>
      <c r="B85" s="694"/>
      <c r="C85" s="695"/>
      <c r="D85" s="479"/>
      <c r="E85" s="483">
        <f>F85+G85+H85+I85</f>
        <v>157092.37000000002</v>
      </c>
      <c r="F85" s="483">
        <f>F27+F33+F50+F55+F62+F65+F68+F73+F77+F81</f>
        <v>108956.7</v>
      </c>
      <c r="G85" s="483">
        <f>G27+G33+G50+G55+G62+G65+G68+G73+G77+G81</f>
        <v>45966</v>
      </c>
      <c r="H85" s="483">
        <f>H27+H33+H50+H55+H62+H65+H68+H73+H77+H81</f>
        <v>0</v>
      </c>
      <c r="I85" s="483">
        <f>I27+I33+I50+I55+I62+I65+I68+I73+I77+I81</f>
        <v>2169.67</v>
      </c>
      <c r="J85" s="483">
        <f>K85+L85+M85+N85</f>
        <v>121069.1</v>
      </c>
      <c r="K85" s="483">
        <f>K27+K33+K50+K55+K62+K65+K68+K73+K77+K81</f>
        <v>94437.1</v>
      </c>
      <c r="L85" s="483">
        <f>L27+L33+L50+L55+L62+L65+L68+L73+L77+L81</f>
        <v>26632</v>
      </c>
      <c r="M85" s="483">
        <f>M27+M33+M50+M55+M62+M65+M68+M73+M77+M81</f>
        <v>0</v>
      </c>
      <c r="N85" s="483">
        <f>N27+N33+N50+N55+N62+N65+N68+N73+N77+N81</f>
        <v>0</v>
      </c>
      <c r="O85" s="483">
        <f>P85+Q85+R85+S85</f>
        <v>118235.92</v>
      </c>
      <c r="P85" s="483">
        <f>P27+P33+P50+P55+P62+P65+P68+P73+P77+P81+P83</f>
        <v>90760.4</v>
      </c>
      <c r="Q85" s="483">
        <f>Q27+Q33+Q50+Q55+Q62+Q65+Q68+Q73+Q77+Q81</f>
        <v>27475.52</v>
      </c>
      <c r="R85" s="483">
        <f>R27+R33+R50+R55+R62+R65+R68+R73+R77+R81</f>
        <v>0</v>
      </c>
      <c r="S85" s="483">
        <f>S27+S33+S50+S55+S62+S65+S68+S73+S77+S81</f>
        <v>0</v>
      </c>
      <c r="T85" s="483">
        <f>U85+V85</f>
        <v>25809</v>
      </c>
      <c r="U85" s="483">
        <f>U27+U33+U50+U55+U62+U65+U68+U73+U77+U81</f>
        <v>1732</v>
      </c>
      <c r="V85" s="483">
        <f>V27+V33+V50+V55+V62+V65+V68+V73+V77+V81</f>
        <v>24077</v>
      </c>
      <c r="W85" s="483">
        <f>W27+W33+W50+W55+W62+W65+W68+W73+W77+W81</f>
        <v>0</v>
      </c>
      <c r="X85" s="483">
        <f>X27+X33+X50+X55+X62+X65+X68+X73+X77+X81</f>
        <v>0</v>
      </c>
      <c r="Y85" s="483">
        <f>Z85+AA85+AB85+AC85</f>
        <v>25809</v>
      </c>
      <c r="Z85" s="483">
        <f>Z27+Z33+Z50+Z55+Z62+Z65+Z68+Z73+Z77+Z81</f>
        <v>1732</v>
      </c>
      <c r="AA85" s="483">
        <f>AA27+AA33+AA50+AA55+AA62+AA65+AA68+AA73+AA77+AA81</f>
        <v>24077</v>
      </c>
      <c r="AB85" s="483">
        <f>AB27+AB33+AB50+AB55+AB62+AB65+AB68+AB73+AB77+AB81</f>
        <v>0</v>
      </c>
      <c r="AC85" s="483">
        <f>AC27+AC33+AC50+AC55+AC62+AC65+AC68+AC73+AC77+AC81</f>
        <v>0</v>
      </c>
      <c r="AD85" s="483">
        <f>E85+J85+O85+T85+Y85</f>
        <v>448015.39</v>
      </c>
    </row>
    <row r="86" spans="1:31">
      <c r="C86" s="452">
        <v>2020</v>
      </c>
      <c r="E86" s="486"/>
    </row>
    <row r="87" spans="1:31" ht="225">
      <c r="A87" s="487" t="s">
        <v>201</v>
      </c>
      <c r="B87" s="488" t="s">
        <v>134</v>
      </c>
      <c r="C87" s="486">
        <f>E29+E33+E52+E55+E61+E65+E68+E74+E81</f>
        <v>96915</v>
      </c>
      <c r="F87" s="486"/>
      <c r="J87" s="486"/>
      <c r="O87" s="486"/>
      <c r="T87" s="486"/>
      <c r="Y87" s="486"/>
      <c r="AC87" s="486"/>
    </row>
    <row r="88" spans="1:31">
      <c r="B88" s="488" t="s">
        <v>137</v>
      </c>
      <c r="C88" s="486">
        <f>E30+E51+E60+E77</f>
        <v>23882</v>
      </c>
      <c r="J88" s="486"/>
      <c r="O88" s="486"/>
      <c r="T88" s="486"/>
      <c r="Y88" s="486"/>
      <c r="AC88" s="486"/>
    </row>
    <row r="89" spans="1:31">
      <c r="B89" s="488" t="s">
        <v>138</v>
      </c>
      <c r="C89" s="486">
        <f>E28</f>
        <v>36295.369999999995</v>
      </c>
      <c r="J89" s="486"/>
      <c r="O89" s="486"/>
      <c r="T89" s="486"/>
      <c r="Y89" s="486"/>
      <c r="AC89" s="486"/>
    </row>
    <row r="90" spans="1:31">
      <c r="C90" s="486"/>
      <c r="J90" s="486"/>
      <c r="O90" s="486"/>
      <c r="T90" s="486"/>
      <c r="Y90" s="486"/>
      <c r="AC90" s="486"/>
    </row>
    <row r="91" spans="1:31">
      <c r="B91" s="488"/>
      <c r="C91" s="486">
        <f>C87+C88+C89</f>
        <v>157092.37</v>
      </c>
      <c r="J91" s="486"/>
      <c r="K91" s="486"/>
      <c r="O91" s="486"/>
      <c r="T91" s="486"/>
      <c r="Y91" s="486"/>
      <c r="AC91" s="486"/>
    </row>
    <row r="92" spans="1:31">
      <c r="J92" s="486"/>
      <c r="O92" s="486"/>
      <c r="T92" s="486"/>
      <c r="Y92" s="486"/>
      <c r="AC92" s="486"/>
    </row>
    <row r="93" spans="1:31">
      <c r="C93" s="486"/>
      <c r="J93" s="486"/>
      <c r="O93" s="486"/>
      <c r="T93" s="486"/>
      <c r="Y93" s="486"/>
    </row>
    <row r="95" spans="1:31">
      <c r="B95" s="488" t="s">
        <v>195</v>
      </c>
      <c r="C95" s="486">
        <f>I85</f>
        <v>2169.67</v>
      </c>
    </row>
    <row r="96" spans="1:31">
      <c r="B96" s="489" t="s">
        <v>196</v>
      </c>
      <c r="C96" s="486">
        <f>F85+K85+P85+U85+Z85</f>
        <v>297618.19999999995</v>
      </c>
      <c r="E96" s="486"/>
      <c r="H96" s="486"/>
      <c r="T96" s="486"/>
    </row>
    <row r="97" spans="2:29">
      <c r="B97" s="489" t="s">
        <v>197</v>
      </c>
      <c r="C97" s="486">
        <f>G85+L85+Q85+V85+AA85</f>
        <v>148227.52000000002</v>
      </c>
    </row>
    <row r="98" spans="2:29">
      <c r="C98" s="486"/>
      <c r="AC98" s="486"/>
    </row>
    <row r="99" spans="2:29">
      <c r="C99" s="486">
        <f>C95+C96+C97</f>
        <v>448015.38999999996</v>
      </c>
    </row>
    <row r="100" spans="2:29">
      <c r="B100" s="486" t="e">
        <f>127165-#REF!</f>
        <v>#REF!</v>
      </c>
    </row>
    <row r="102" spans="2:29">
      <c r="Y102" s="490"/>
    </row>
    <row r="105" spans="2:29">
      <c r="D105" s="490"/>
      <c r="E105" s="490"/>
    </row>
    <row r="106" spans="2:29">
      <c r="D106" s="490"/>
      <c r="E106" s="490"/>
    </row>
    <row r="111" spans="2:29">
      <c r="D111" s="486" t="e">
        <f>#REF!+#REF!+#REF!+#REF!+#REF!</f>
        <v>#REF!</v>
      </c>
    </row>
  </sheetData>
  <mergeCells count="41">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A57:A58"/>
    <mergeCell ref="B57:B58"/>
    <mergeCell ref="C13:C14"/>
    <mergeCell ref="A27:C27"/>
    <mergeCell ref="B31:AD31"/>
    <mergeCell ref="A33:C33"/>
    <mergeCell ref="B34:AD34"/>
    <mergeCell ref="C38:C39"/>
    <mergeCell ref="C41:C45"/>
    <mergeCell ref="A50:C50"/>
    <mergeCell ref="B53:AD53"/>
    <mergeCell ref="A55:C55"/>
    <mergeCell ref="B56:AD56"/>
    <mergeCell ref="A85:C85"/>
    <mergeCell ref="B63:AD63"/>
    <mergeCell ref="A65:C65"/>
    <mergeCell ref="B66:AD66"/>
    <mergeCell ref="A68:C68"/>
    <mergeCell ref="B69:AD69"/>
    <mergeCell ref="A73:C73"/>
    <mergeCell ref="B75:AD75"/>
    <mergeCell ref="A77:C77"/>
    <mergeCell ref="B78:AD78"/>
    <mergeCell ref="A81:C81"/>
    <mergeCell ref="A84:C84"/>
  </mergeCells>
  <pageMargins left="0.18" right="0.16" top="0.17" bottom="0.16" header="0.17" footer="0.16"/>
  <pageSetup paperSize="9" scale="20" orientation="landscape" r:id="rId1"/>
  <colBreaks count="1" manualBreakCount="1">
    <brk id="30" max="1048575" man="1"/>
  </colBreaks>
  <legacyDrawing r:id="rId2"/>
</worksheet>
</file>

<file path=xl/worksheets/sheet18.xml><?xml version="1.0" encoding="utf-8"?>
<worksheet xmlns="http://schemas.openxmlformats.org/spreadsheetml/2006/main" xmlns:r="http://schemas.openxmlformats.org/officeDocument/2006/relationships">
  <dimension ref="A1:AF111"/>
  <sheetViews>
    <sheetView topLeftCell="N1" workbookViewId="0">
      <selection activeCell="N1" sqref="A1:XFD1048576"/>
    </sheetView>
  </sheetViews>
  <sheetFormatPr defaultRowHeight="18.75"/>
  <cols>
    <col min="1" max="1" width="6.140625" style="503" customWidth="1"/>
    <col min="2" max="2" width="205.7109375" style="452" customWidth="1"/>
    <col min="3" max="3" width="42.42578125" style="452" customWidth="1"/>
    <col min="4" max="4" width="23.5703125" style="452" customWidth="1"/>
    <col min="5" max="5" width="21.28515625" style="452" customWidth="1"/>
    <col min="6" max="6" width="22.42578125" style="452" customWidth="1"/>
    <col min="7" max="7" width="16.140625" style="452" customWidth="1"/>
    <col min="8" max="9" width="16.85546875" style="452" customWidth="1"/>
    <col min="10" max="10" width="21.140625" style="452" customWidth="1"/>
    <col min="11" max="11" width="18.140625" style="452" customWidth="1"/>
    <col min="12" max="12" width="15" style="452" customWidth="1"/>
    <col min="13" max="13" width="14.7109375" style="452" customWidth="1"/>
    <col min="14" max="14" width="14.28515625" style="452" customWidth="1"/>
    <col min="15" max="15" width="17.140625" style="452" customWidth="1"/>
    <col min="16" max="16" width="18.7109375" style="452" customWidth="1"/>
    <col min="17" max="17" width="17.28515625" style="452" customWidth="1"/>
    <col min="18" max="18" width="19" style="452" customWidth="1"/>
    <col min="19" max="19" width="13" style="452" customWidth="1"/>
    <col min="20" max="20" width="16.42578125" style="452" customWidth="1"/>
    <col min="21" max="21" width="12.7109375" style="452" customWidth="1"/>
    <col min="22" max="22" width="11.85546875" style="452" customWidth="1"/>
    <col min="23" max="23" width="11.7109375" style="452" customWidth="1"/>
    <col min="24" max="24" width="10.28515625" style="452" customWidth="1"/>
    <col min="25" max="25" width="18" style="452" customWidth="1"/>
    <col min="26" max="26" width="14.5703125" style="452" customWidth="1"/>
    <col min="27" max="27" width="13" style="452" customWidth="1"/>
    <col min="28" max="28" width="12.7109375" style="452" customWidth="1"/>
    <col min="29" max="29" width="14.28515625" style="452" customWidth="1"/>
    <col min="30" max="30" width="17.7109375" style="452" customWidth="1"/>
    <col min="31" max="16384" width="9.140625" style="453"/>
  </cols>
  <sheetData>
    <row r="1" spans="1:30">
      <c r="Z1" s="452" t="s">
        <v>260</v>
      </c>
    </row>
    <row r="2" spans="1:30">
      <c r="Z2" s="452" t="s">
        <v>261</v>
      </c>
    </row>
    <row r="3" spans="1:30">
      <c r="L3" s="501"/>
      <c r="M3" s="501"/>
      <c r="N3" s="501"/>
      <c r="O3" s="501"/>
      <c r="P3" s="501"/>
      <c r="Q3" s="501"/>
      <c r="R3" s="501"/>
      <c r="S3" s="501"/>
      <c r="T3" s="501"/>
      <c r="U3" s="501"/>
      <c r="V3" s="501"/>
      <c r="W3" s="501"/>
      <c r="X3" s="501"/>
      <c r="Y3" s="501"/>
      <c r="Z3" s="720" t="s">
        <v>262</v>
      </c>
      <c r="AA3" s="720"/>
      <c r="AB3" s="720"/>
      <c r="AC3" s="720"/>
      <c r="AD3" s="720"/>
    </row>
    <row r="4" spans="1:30" ht="43.5" customHeight="1">
      <c r="V4" s="721" t="s">
        <v>272</v>
      </c>
      <c r="W4" s="721"/>
      <c r="X4" s="721"/>
      <c r="Y4" s="721"/>
      <c r="Z4" s="721"/>
      <c r="AA4" s="721"/>
      <c r="AB4" s="721"/>
      <c r="AC4" s="721"/>
      <c r="AD4" s="721"/>
    </row>
    <row r="5" spans="1:30" ht="18" customHeight="1">
      <c r="A5" s="722" t="s">
        <v>0</v>
      </c>
      <c r="B5" s="722"/>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7" spans="1:30" ht="19.5">
      <c r="A7" s="723" t="s">
        <v>1</v>
      </c>
      <c r="B7" s="723" t="s">
        <v>219</v>
      </c>
      <c r="C7" s="723" t="s">
        <v>2</v>
      </c>
      <c r="D7" s="723" t="s">
        <v>3</v>
      </c>
      <c r="E7" s="726" t="s">
        <v>220</v>
      </c>
      <c r="F7" s="727"/>
      <c r="G7" s="727"/>
      <c r="H7" s="727"/>
      <c r="I7" s="727"/>
      <c r="J7" s="727"/>
      <c r="K7" s="727"/>
      <c r="L7" s="727"/>
      <c r="M7" s="727"/>
      <c r="N7" s="727"/>
      <c r="O7" s="727"/>
      <c r="P7" s="727"/>
      <c r="Q7" s="727"/>
      <c r="R7" s="727"/>
      <c r="S7" s="727"/>
      <c r="T7" s="727"/>
      <c r="U7" s="727"/>
      <c r="V7" s="727"/>
      <c r="W7" s="727"/>
      <c r="X7" s="727"/>
      <c r="Y7" s="727"/>
      <c r="Z7" s="727"/>
      <c r="AA7" s="727"/>
      <c r="AB7" s="727"/>
      <c r="AC7" s="727"/>
      <c r="AD7" s="728"/>
    </row>
    <row r="8" spans="1:30">
      <c r="A8" s="724"/>
      <c r="B8" s="724"/>
      <c r="C8" s="724"/>
      <c r="D8" s="724"/>
      <c r="E8" s="729" t="s">
        <v>88</v>
      </c>
      <c r="F8" s="730"/>
      <c r="G8" s="730"/>
      <c r="H8" s="730"/>
      <c r="I8" s="731"/>
      <c r="J8" s="729" t="s">
        <v>89</v>
      </c>
      <c r="K8" s="730"/>
      <c r="L8" s="730"/>
      <c r="M8" s="730"/>
      <c r="N8" s="731"/>
      <c r="O8" s="729" t="s">
        <v>90</v>
      </c>
      <c r="P8" s="730"/>
      <c r="Q8" s="730"/>
      <c r="R8" s="730"/>
      <c r="S8" s="731"/>
      <c r="T8" s="729" t="s">
        <v>91</v>
      </c>
      <c r="U8" s="730"/>
      <c r="V8" s="730"/>
      <c r="W8" s="730"/>
      <c r="X8" s="731"/>
      <c r="Y8" s="729" t="s">
        <v>92</v>
      </c>
      <c r="Z8" s="730"/>
      <c r="AA8" s="730"/>
      <c r="AB8" s="730"/>
      <c r="AC8" s="731"/>
      <c r="AD8" s="723" t="s">
        <v>5</v>
      </c>
    </row>
    <row r="9" spans="1:30" ht="87.75">
      <c r="A9" s="725"/>
      <c r="B9" s="725"/>
      <c r="C9" s="725"/>
      <c r="D9" s="725"/>
      <c r="E9" s="504" t="s">
        <v>6</v>
      </c>
      <c r="F9" s="456" t="s">
        <v>7</v>
      </c>
      <c r="G9" s="456" t="s">
        <v>8</v>
      </c>
      <c r="H9" s="456" t="s">
        <v>9</v>
      </c>
      <c r="I9" s="457" t="s">
        <v>10</v>
      </c>
      <c r="J9" s="504" t="s">
        <v>6</v>
      </c>
      <c r="K9" s="456" t="s">
        <v>7</v>
      </c>
      <c r="L9" s="456" t="s">
        <v>8</v>
      </c>
      <c r="M9" s="456" t="s">
        <v>9</v>
      </c>
      <c r="N9" s="457" t="s">
        <v>10</v>
      </c>
      <c r="O9" s="504" t="s">
        <v>6</v>
      </c>
      <c r="P9" s="456" t="s">
        <v>7</v>
      </c>
      <c r="Q9" s="456" t="s">
        <v>8</v>
      </c>
      <c r="R9" s="456" t="s">
        <v>9</v>
      </c>
      <c r="S9" s="457" t="s">
        <v>10</v>
      </c>
      <c r="T9" s="504" t="s">
        <v>6</v>
      </c>
      <c r="U9" s="456" t="s">
        <v>7</v>
      </c>
      <c r="V9" s="456" t="s">
        <v>8</v>
      </c>
      <c r="W9" s="456" t="s">
        <v>9</v>
      </c>
      <c r="X9" s="457" t="s">
        <v>10</v>
      </c>
      <c r="Y9" s="504" t="s">
        <v>6</v>
      </c>
      <c r="Z9" s="456" t="s">
        <v>7</v>
      </c>
      <c r="AA9" s="456" t="s">
        <v>8</v>
      </c>
      <c r="AB9" s="456" t="s">
        <v>9</v>
      </c>
      <c r="AC9" s="457" t="s">
        <v>10</v>
      </c>
      <c r="AD9" s="725"/>
    </row>
    <row r="10" spans="1:30">
      <c r="A10" s="458">
        <v>1</v>
      </c>
      <c r="B10" s="458">
        <v>2</v>
      </c>
      <c r="C10" s="458">
        <v>3</v>
      </c>
      <c r="D10" s="458">
        <v>4</v>
      </c>
      <c r="E10" s="458">
        <v>5</v>
      </c>
      <c r="F10" s="458">
        <v>6</v>
      </c>
      <c r="G10" s="458">
        <v>7</v>
      </c>
      <c r="H10" s="458">
        <v>8</v>
      </c>
      <c r="I10" s="458">
        <v>9</v>
      </c>
      <c r="J10" s="458">
        <v>10</v>
      </c>
      <c r="K10" s="458">
        <v>11</v>
      </c>
      <c r="L10" s="458">
        <v>12</v>
      </c>
      <c r="M10" s="458">
        <v>13</v>
      </c>
      <c r="N10" s="458">
        <v>14</v>
      </c>
      <c r="O10" s="458">
        <v>15</v>
      </c>
      <c r="P10" s="458">
        <v>16</v>
      </c>
      <c r="Q10" s="458">
        <v>17</v>
      </c>
      <c r="R10" s="458">
        <v>18</v>
      </c>
      <c r="S10" s="458">
        <v>19</v>
      </c>
      <c r="T10" s="458">
        <v>20</v>
      </c>
      <c r="U10" s="458">
        <v>21</v>
      </c>
      <c r="V10" s="458">
        <v>22</v>
      </c>
      <c r="W10" s="458">
        <v>23</v>
      </c>
      <c r="X10" s="458">
        <v>24</v>
      </c>
      <c r="Y10" s="458">
        <v>25</v>
      </c>
      <c r="Z10" s="458">
        <v>26</v>
      </c>
      <c r="AA10" s="458">
        <v>27</v>
      </c>
      <c r="AB10" s="458">
        <v>28</v>
      </c>
      <c r="AC10" s="458">
        <v>29</v>
      </c>
      <c r="AD10" s="458">
        <v>30</v>
      </c>
    </row>
    <row r="11" spans="1:30">
      <c r="A11" s="732" t="s">
        <v>86</v>
      </c>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pans="1:30" ht="23.25">
      <c r="A12" s="384" t="s">
        <v>221</v>
      </c>
      <c r="B12" s="717" t="s">
        <v>323</v>
      </c>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9"/>
    </row>
    <row r="13" spans="1:30" ht="93">
      <c r="A13" s="369" t="s">
        <v>12</v>
      </c>
      <c r="B13" s="459" t="s">
        <v>81</v>
      </c>
      <c r="C13" s="706" t="s">
        <v>14</v>
      </c>
      <c r="D13" s="460" t="s">
        <v>93</v>
      </c>
      <c r="E13" s="373">
        <f>SUM(F13:I13)</f>
        <v>28350</v>
      </c>
      <c r="F13" s="373">
        <f>43350-15000</f>
        <v>28350</v>
      </c>
      <c r="G13" s="373">
        <v>0</v>
      </c>
      <c r="H13" s="373">
        <v>0</v>
      </c>
      <c r="I13" s="373">
        <v>0</v>
      </c>
      <c r="J13" s="373">
        <f>K13+L13+M13+N13</f>
        <v>26292</v>
      </c>
      <c r="K13" s="373">
        <f>19722+15778-9208</f>
        <v>26292</v>
      </c>
      <c r="L13" s="373">
        <v>0</v>
      </c>
      <c r="M13" s="374">
        <v>0</v>
      </c>
      <c r="N13" s="374">
        <v>0</v>
      </c>
      <c r="O13" s="334">
        <f>P13+Q13+R13+S13</f>
        <v>27273</v>
      </c>
      <c r="P13" s="334">
        <f>42513-15240</f>
        <v>27273</v>
      </c>
      <c r="Q13" s="374">
        <v>0</v>
      </c>
      <c r="R13" s="374">
        <v>0</v>
      </c>
      <c r="S13" s="374">
        <v>0</v>
      </c>
      <c r="T13" s="374">
        <f>U13+V13+W13+X13</f>
        <v>36216</v>
      </c>
      <c r="U13" s="374">
        <v>36216</v>
      </c>
      <c r="V13" s="374">
        <v>0</v>
      </c>
      <c r="W13" s="374">
        <v>0</v>
      </c>
      <c r="X13" s="374">
        <v>0</v>
      </c>
      <c r="Y13" s="374">
        <f>Z13+AA13+AB13+AC13</f>
        <v>0</v>
      </c>
      <c r="Z13" s="374">
        <v>0</v>
      </c>
      <c r="AA13" s="374">
        <v>0</v>
      </c>
      <c r="AB13" s="374">
        <v>0</v>
      </c>
      <c r="AC13" s="374">
        <v>0</v>
      </c>
      <c r="AD13" s="378">
        <f t="shared" ref="AD13:AD18" si="0">E13+J13+O13+T13+Y13</f>
        <v>118131</v>
      </c>
    </row>
    <row r="14" spans="1:30" ht="93">
      <c r="A14" s="369" t="s">
        <v>13</v>
      </c>
      <c r="B14" s="461" t="s">
        <v>268</v>
      </c>
      <c r="C14" s="707"/>
      <c r="D14" s="460" t="s">
        <v>93</v>
      </c>
      <c r="E14" s="373">
        <f>SUM(F14:I14)</f>
        <v>7359</v>
      </c>
      <c r="F14" s="373">
        <f>12748-5387-2060</f>
        <v>5301</v>
      </c>
      <c r="G14" s="373">
        <v>0</v>
      </c>
      <c r="H14" s="373">
        <v>0</v>
      </c>
      <c r="I14" s="373">
        <f>4602-2544</f>
        <v>2058</v>
      </c>
      <c r="J14" s="373">
        <v>0</v>
      </c>
      <c r="K14" s="373">
        <v>0</v>
      </c>
      <c r="L14" s="373">
        <v>0</v>
      </c>
      <c r="M14" s="374">
        <v>0</v>
      </c>
      <c r="N14" s="374">
        <v>0</v>
      </c>
      <c r="O14" s="374">
        <v>0</v>
      </c>
      <c r="P14" s="374">
        <v>0</v>
      </c>
      <c r="Q14" s="374">
        <v>0</v>
      </c>
      <c r="R14" s="374">
        <v>0</v>
      </c>
      <c r="S14" s="374">
        <v>0</v>
      </c>
      <c r="T14" s="374">
        <f>U14+V14+W14+X14</f>
        <v>0</v>
      </c>
      <c r="U14" s="374">
        <v>0</v>
      </c>
      <c r="V14" s="374">
        <v>0</v>
      </c>
      <c r="W14" s="374">
        <v>0</v>
      </c>
      <c r="X14" s="374">
        <v>0</v>
      </c>
      <c r="Y14" s="374">
        <f>Z14+AA14+AB14+AC14</f>
        <v>0</v>
      </c>
      <c r="Z14" s="374">
        <v>0</v>
      </c>
      <c r="AA14" s="374">
        <v>0</v>
      </c>
      <c r="AB14" s="374">
        <v>0</v>
      </c>
      <c r="AC14" s="374">
        <v>0</v>
      </c>
      <c r="AD14" s="378">
        <f t="shared" si="0"/>
        <v>7359</v>
      </c>
    </row>
    <row r="15" spans="1:30" ht="93">
      <c r="A15" s="369" t="s">
        <v>15</v>
      </c>
      <c r="B15" s="462" t="s">
        <v>117</v>
      </c>
      <c r="C15" s="499" t="s">
        <v>218</v>
      </c>
      <c r="D15" s="384" t="s">
        <v>93</v>
      </c>
      <c r="E15" s="373">
        <f>F15+G15+H15+I15</f>
        <v>8260</v>
      </c>
      <c r="F15" s="373">
        <f>8260</f>
        <v>8260</v>
      </c>
      <c r="G15" s="373">
        <v>0</v>
      </c>
      <c r="H15" s="373">
        <v>0</v>
      </c>
      <c r="I15" s="373">
        <v>0</v>
      </c>
      <c r="J15" s="373">
        <f>K15+L15+M15+N15</f>
        <v>11513</v>
      </c>
      <c r="K15" s="373">
        <v>11513</v>
      </c>
      <c r="L15" s="373">
        <v>0</v>
      </c>
      <c r="M15" s="374">
        <v>0</v>
      </c>
      <c r="N15" s="374">
        <v>0</v>
      </c>
      <c r="O15" s="374">
        <f>P15+Q15+R15+S15</f>
        <v>10547</v>
      </c>
      <c r="P15" s="374">
        <v>10547</v>
      </c>
      <c r="Q15" s="374">
        <v>0</v>
      </c>
      <c r="R15" s="374">
        <v>0</v>
      </c>
      <c r="S15" s="374">
        <v>0</v>
      </c>
      <c r="T15" s="374">
        <f>U15+V15+W15+X15</f>
        <v>11663</v>
      </c>
      <c r="U15" s="374">
        <v>11663</v>
      </c>
      <c r="V15" s="374">
        <v>0</v>
      </c>
      <c r="W15" s="374">
        <v>0</v>
      </c>
      <c r="X15" s="374">
        <v>0</v>
      </c>
      <c r="Y15" s="374">
        <f>Z15+AA15+AB15+AC15</f>
        <v>0</v>
      </c>
      <c r="Z15" s="374">
        <v>0</v>
      </c>
      <c r="AA15" s="374">
        <v>0</v>
      </c>
      <c r="AB15" s="374">
        <v>0</v>
      </c>
      <c r="AC15" s="374">
        <v>0</v>
      </c>
      <c r="AD15" s="378">
        <f t="shared" si="0"/>
        <v>41983</v>
      </c>
    </row>
    <row r="16" spans="1:30" ht="69.75">
      <c r="A16" s="369" t="s">
        <v>16</v>
      </c>
      <c r="B16" s="376" t="s">
        <v>270</v>
      </c>
      <c r="C16" s="463" t="s">
        <v>14</v>
      </c>
      <c r="D16" s="384" t="s">
        <v>93</v>
      </c>
      <c r="E16" s="373">
        <f>F16+G16+H16+I16</f>
        <v>586.36999999999978</v>
      </c>
      <c r="F16" s="373">
        <f>3300-2825.3</f>
        <v>474.69999999999982</v>
      </c>
      <c r="G16" s="373">
        <v>0</v>
      </c>
      <c r="H16" s="373">
        <v>0</v>
      </c>
      <c r="I16" s="373">
        <f>775-663.33</f>
        <v>111.66999999999996</v>
      </c>
      <c r="J16" s="373">
        <v>0</v>
      </c>
      <c r="K16" s="373">
        <v>0</v>
      </c>
      <c r="L16" s="373">
        <v>0</v>
      </c>
      <c r="M16" s="374">
        <v>0</v>
      </c>
      <c r="N16" s="374">
        <v>0</v>
      </c>
      <c r="O16" s="374">
        <v>0</v>
      </c>
      <c r="P16" s="374">
        <v>0</v>
      </c>
      <c r="Q16" s="374">
        <v>0</v>
      </c>
      <c r="R16" s="374">
        <v>0</v>
      </c>
      <c r="S16" s="374">
        <v>0</v>
      </c>
      <c r="T16" s="374">
        <v>0</v>
      </c>
      <c r="U16" s="374">
        <v>0</v>
      </c>
      <c r="V16" s="374">
        <v>0</v>
      </c>
      <c r="W16" s="374">
        <v>0</v>
      </c>
      <c r="X16" s="374">
        <v>0</v>
      </c>
      <c r="Y16" s="374">
        <v>0</v>
      </c>
      <c r="Z16" s="374">
        <v>0</v>
      </c>
      <c r="AA16" s="374">
        <v>0</v>
      </c>
      <c r="AB16" s="374">
        <v>0</v>
      </c>
      <c r="AC16" s="374">
        <v>0</v>
      </c>
      <c r="AD16" s="378">
        <f t="shared" si="0"/>
        <v>586.36999999999978</v>
      </c>
    </row>
    <row r="17" spans="1:31" ht="37.5">
      <c r="A17" s="369" t="s">
        <v>17</v>
      </c>
      <c r="B17" s="376" t="s">
        <v>210</v>
      </c>
      <c r="C17" s="499" t="s">
        <v>94</v>
      </c>
      <c r="D17" s="372">
        <v>2020</v>
      </c>
      <c r="E17" s="373">
        <f t="shared" ref="E17:E22" si="1">F17+G17+H17+I17</f>
        <v>1192</v>
      </c>
      <c r="F17" s="373">
        <v>1192</v>
      </c>
      <c r="G17" s="373">
        <v>0</v>
      </c>
      <c r="H17" s="373">
        <v>0</v>
      </c>
      <c r="I17" s="373">
        <v>0</v>
      </c>
      <c r="J17" s="373">
        <f t="shared" ref="J17:J22" si="2">K17+L17+M17+N17</f>
        <v>0</v>
      </c>
      <c r="K17" s="373">
        <v>0</v>
      </c>
      <c r="L17" s="373">
        <v>0</v>
      </c>
      <c r="M17" s="374">
        <v>0</v>
      </c>
      <c r="N17" s="374">
        <v>0</v>
      </c>
      <c r="O17" s="374">
        <f>P17+Q17+R17+S17</f>
        <v>0</v>
      </c>
      <c r="P17" s="374">
        <v>0</v>
      </c>
      <c r="Q17" s="374">
        <v>0</v>
      </c>
      <c r="R17" s="374">
        <v>0</v>
      </c>
      <c r="S17" s="374">
        <v>0</v>
      </c>
      <c r="T17" s="374">
        <f>U17+V17+W17+X17</f>
        <v>0</v>
      </c>
      <c r="U17" s="374">
        <v>0</v>
      </c>
      <c r="V17" s="374">
        <v>0</v>
      </c>
      <c r="W17" s="374">
        <v>0</v>
      </c>
      <c r="X17" s="374">
        <v>0</v>
      </c>
      <c r="Y17" s="374">
        <f>Z17+AA17+AB17+AC17</f>
        <v>0</v>
      </c>
      <c r="Z17" s="374">
        <v>0</v>
      </c>
      <c r="AA17" s="374">
        <v>0</v>
      </c>
      <c r="AB17" s="374">
        <v>0</v>
      </c>
      <c r="AC17" s="374">
        <v>0</v>
      </c>
      <c r="AD17" s="374">
        <f t="shared" si="0"/>
        <v>1192</v>
      </c>
    </row>
    <row r="18" spans="1:31" ht="46.5">
      <c r="A18" s="369" t="s">
        <v>163</v>
      </c>
      <c r="B18" s="376" t="s">
        <v>121</v>
      </c>
      <c r="C18" s="499" t="s">
        <v>94</v>
      </c>
      <c r="D18" s="372" t="s">
        <v>164</v>
      </c>
      <c r="E18" s="373">
        <f t="shared" si="1"/>
        <v>6060</v>
      </c>
      <c r="F18" s="373">
        <f>6183-123</f>
        <v>6060</v>
      </c>
      <c r="G18" s="373">
        <v>0</v>
      </c>
      <c r="H18" s="373">
        <v>0</v>
      </c>
      <c r="I18" s="373">
        <v>0</v>
      </c>
      <c r="J18" s="373">
        <f t="shared" si="2"/>
        <v>5586</v>
      </c>
      <c r="K18" s="373">
        <f>5832-126-120</f>
        <v>5586</v>
      </c>
      <c r="L18" s="373">
        <v>0</v>
      </c>
      <c r="M18" s="374">
        <v>0</v>
      </c>
      <c r="N18" s="374">
        <v>0</v>
      </c>
      <c r="O18" s="136">
        <f>P18+Q18+R18+S18</f>
        <v>5310</v>
      </c>
      <c r="P18" s="136">
        <f>5760-60-390</f>
        <v>5310</v>
      </c>
      <c r="Q18" s="137">
        <v>0</v>
      </c>
      <c r="R18" s="137">
        <v>0</v>
      </c>
      <c r="S18" s="137">
        <v>0</v>
      </c>
      <c r="T18" s="374">
        <f>U18+V18+W18+X18</f>
        <v>5004</v>
      </c>
      <c r="U18" s="374">
        <v>5004</v>
      </c>
      <c r="V18" s="374">
        <v>0</v>
      </c>
      <c r="W18" s="374">
        <v>0</v>
      </c>
      <c r="X18" s="374">
        <v>0</v>
      </c>
      <c r="Y18" s="374">
        <f>Z18+AA18+AB18+AC18</f>
        <v>0</v>
      </c>
      <c r="Z18" s="374">
        <v>0</v>
      </c>
      <c r="AA18" s="374">
        <v>0</v>
      </c>
      <c r="AB18" s="374">
        <v>0</v>
      </c>
      <c r="AC18" s="374">
        <v>0</v>
      </c>
      <c r="AD18" s="374">
        <f t="shared" si="0"/>
        <v>21960</v>
      </c>
    </row>
    <row r="19" spans="1:31" ht="37.5">
      <c r="A19" s="369" t="s">
        <v>182</v>
      </c>
      <c r="B19" s="370" t="s">
        <v>124</v>
      </c>
      <c r="C19" s="499" t="s">
        <v>94</v>
      </c>
      <c r="D19" s="372" t="s">
        <v>282</v>
      </c>
      <c r="E19" s="373">
        <f t="shared" si="1"/>
        <v>785</v>
      </c>
      <c r="F19" s="373">
        <v>785</v>
      </c>
      <c r="G19" s="373">
        <v>0</v>
      </c>
      <c r="H19" s="373">
        <v>0</v>
      </c>
      <c r="I19" s="373">
        <v>0</v>
      </c>
      <c r="J19" s="373">
        <f t="shared" si="2"/>
        <v>90</v>
      </c>
      <c r="K19" s="373">
        <v>90</v>
      </c>
      <c r="L19" s="373">
        <v>0</v>
      </c>
      <c r="M19" s="374">
        <v>0</v>
      </c>
      <c r="N19" s="374">
        <v>0</v>
      </c>
      <c r="O19" s="374">
        <v>0</v>
      </c>
      <c r="P19" s="374">
        <v>0</v>
      </c>
      <c r="Q19" s="374">
        <v>0</v>
      </c>
      <c r="R19" s="374">
        <v>0</v>
      </c>
      <c r="S19" s="374">
        <v>0</v>
      </c>
      <c r="T19" s="374">
        <v>0</v>
      </c>
      <c r="U19" s="374">
        <v>0</v>
      </c>
      <c r="V19" s="374">
        <v>0</v>
      </c>
      <c r="W19" s="374">
        <v>0</v>
      </c>
      <c r="X19" s="374">
        <v>0</v>
      </c>
      <c r="Y19" s="374">
        <v>0</v>
      </c>
      <c r="Z19" s="374">
        <v>0</v>
      </c>
      <c r="AA19" s="374">
        <v>0</v>
      </c>
      <c r="AB19" s="374">
        <v>0</v>
      </c>
      <c r="AC19" s="374">
        <v>0</v>
      </c>
      <c r="AD19" s="374">
        <f>E19+J19+O19+T19+Y19</f>
        <v>875</v>
      </c>
    </row>
    <row r="20" spans="1:31" ht="46.5">
      <c r="A20" s="369" t="s">
        <v>208</v>
      </c>
      <c r="B20" s="370" t="s">
        <v>126</v>
      </c>
      <c r="C20" s="499" t="s">
        <v>94</v>
      </c>
      <c r="D20" s="372">
        <v>2020</v>
      </c>
      <c r="E20" s="373">
        <f t="shared" si="1"/>
        <v>110</v>
      </c>
      <c r="F20" s="373">
        <v>110</v>
      </c>
      <c r="G20" s="373">
        <v>0</v>
      </c>
      <c r="H20" s="373">
        <v>0</v>
      </c>
      <c r="I20" s="373">
        <v>0</v>
      </c>
      <c r="J20" s="373">
        <f t="shared" si="2"/>
        <v>0</v>
      </c>
      <c r="K20" s="373">
        <v>0</v>
      </c>
      <c r="L20" s="373">
        <v>0</v>
      </c>
      <c r="M20" s="374">
        <v>0</v>
      </c>
      <c r="N20" s="374">
        <v>0</v>
      </c>
      <c r="O20" s="374">
        <f t="shared" ref="O20:O26" si="3">P20+Q20+R20+S20</f>
        <v>0</v>
      </c>
      <c r="P20" s="374">
        <v>0</v>
      </c>
      <c r="Q20" s="374">
        <v>0</v>
      </c>
      <c r="R20" s="374">
        <v>0</v>
      </c>
      <c r="S20" s="374">
        <v>0</v>
      </c>
      <c r="T20" s="374">
        <f t="shared" ref="T20:T26" si="4">U20+V20+W20+X20</f>
        <v>0</v>
      </c>
      <c r="U20" s="374">
        <v>0</v>
      </c>
      <c r="V20" s="374">
        <v>0</v>
      </c>
      <c r="W20" s="374">
        <v>0</v>
      </c>
      <c r="X20" s="374">
        <v>0</v>
      </c>
      <c r="Y20" s="374">
        <f>Z20+AA20+AB20+AC20</f>
        <v>0</v>
      </c>
      <c r="Z20" s="374">
        <v>0</v>
      </c>
      <c r="AA20" s="374">
        <v>0</v>
      </c>
      <c r="AB20" s="374">
        <v>0</v>
      </c>
      <c r="AC20" s="374">
        <v>0</v>
      </c>
      <c r="AD20" s="374">
        <f t="shared" ref="AD20:AD26" si="5">E20+J20+O20+T20+Y20</f>
        <v>110</v>
      </c>
    </row>
    <row r="21" spans="1:31" ht="46.5">
      <c r="A21" s="369" t="s">
        <v>211</v>
      </c>
      <c r="B21" s="370" t="s">
        <v>122</v>
      </c>
      <c r="C21" s="499" t="s">
        <v>94</v>
      </c>
      <c r="D21" s="372">
        <v>2020</v>
      </c>
      <c r="E21" s="373">
        <f t="shared" si="1"/>
        <v>53</v>
      </c>
      <c r="F21" s="373">
        <v>53</v>
      </c>
      <c r="G21" s="373">
        <v>0</v>
      </c>
      <c r="H21" s="373">
        <v>0</v>
      </c>
      <c r="I21" s="373">
        <v>0</v>
      </c>
      <c r="J21" s="373">
        <f t="shared" si="2"/>
        <v>0</v>
      </c>
      <c r="K21" s="373">
        <v>0</v>
      </c>
      <c r="L21" s="373">
        <v>0</v>
      </c>
      <c r="M21" s="374">
        <v>0</v>
      </c>
      <c r="N21" s="374">
        <v>0</v>
      </c>
      <c r="O21" s="374">
        <f t="shared" si="3"/>
        <v>0</v>
      </c>
      <c r="P21" s="374">
        <v>0</v>
      </c>
      <c r="Q21" s="374">
        <v>0</v>
      </c>
      <c r="R21" s="374">
        <v>0</v>
      </c>
      <c r="S21" s="374">
        <v>0</v>
      </c>
      <c r="T21" s="374">
        <f t="shared" si="4"/>
        <v>0</v>
      </c>
      <c r="U21" s="374">
        <v>0</v>
      </c>
      <c r="V21" s="374">
        <v>0</v>
      </c>
      <c r="W21" s="374">
        <v>0</v>
      </c>
      <c r="X21" s="374">
        <v>0</v>
      </c>
      <c r="Y21" s="374">
        <f>Z21+AA21+AB21+AC21</f>
        <v>0</v>
      </c>
      <c r="Z21" s="374">
        <v>0</v>
      </c>
      <c r="AA21" s="374">
        <v>0</v>
      </c>
      <c r="AB21" s="374">
        <v>0</v>
      </c>
      <c r="AC21" s="374">
        <v>0</v>
      </c>
      <c r="AD21" s="374">
        <f t="shared" si="5"/>
        <v>53</v>
      </c>
    </row>
    <row r="22" spans="1:31" ht="46.5">
      <c r="A22" s="369" t="s">
        <v>212</v>
      </c>
      <c r="B22" s="370" t="s">
        <v>123</v>
      </c>
      <c r="C22" s="499" t="s">
        <v>94</v>
      </c>
      <c r="D22" s="372">
        <v>2020</v>
      </c>
      <c r="E22" s="373">
        <f t="shared" si="1"/>
        <v>130</v>
      </c>
      <c r="F22" s="373">
        <f>112+18</f>
        <v>130</v>
      </c>
      <c r="G22" s="373">
        <v>0</v>
      </c>
      <c r="H22" s="373">
        <v>0</v>
      </c>
      <c r="I22" s="373">
        <v>0</v>
      </c>
      <c r="J22" s="373">
        <f t="shared" si="2"/>
        <v>0</v>
      </c>
      <c r="K22" s="373">
        <v>0</v>
      </c>
      <c r="L22" s="373">
        <v>0</v>
      </c>
      <c r="M22" s="374">
        <v>0</v>
      </c>
      <c r="N22" s="374">
        <v>0</v>
      </c>
      <c r="O22" s="374">
        <f t="shared" si="3"/>
        <v>0</v>
      </c>
      <c r="P22" s="374">
        <v>0</v>
      </c>
      <c r="Q22" s="374">
        <v>0</v>
      </c>
      <c r="R22" s="374">
        <v>0</v>
      </c>
      <c r="S22" s="374">
        <v>0</v>
      </c>
      <c r="T22" s="374">
        <f t="shared" si="4"/>
        <v>0</v>
      </c>
      <c r="U22" s="374">
        <v>0</v>
      </c>
      <c r="V22" s="374">
        <v>0</v>
      </c>
      <c r="W22" s="374">
        <v>0</v>
      </c>
      <c r="X22" s="374">
        <v>0</v>
      </c>
      <c r="Y22" s="374">
        <f>Z22+AA22+AB22+AC22</f>
        <v>0</v>
      </c>
      <c r="Z22" s="374">
        <v>0</v>
      </c>
      <c r="AA22" s="374">
        <v>0</v>
      </c>
      <c r="AB22" s="374">
        <v>0</v>
      </c>
      <c r="AC22" s="374">
        <v>0</v>
      </c>
      <c r="AD22" s="374">
        <f t="shared" si="5"/>
        <v>130</v>
      </c>
    </row>
    <row r="23" spans="1:31" ht="46.5">
      <c r="A23" s="369" t="s">
        <v>213</v>
      </c>
      <c r="B23" s="370" t="s">
        <v>125</v>
      </c>
      <c r="C23" s="499" t="s">
        <v>94</v>
      </c>
      <c r="D23" s="372" t="s">
        <v>164</v>
      </c>
      <c r="E23" s="373">
        <v>120</v>
      </c>
      <c r="F23" s="373">
        <v>120</v>
      </c>
      <c r="G23" s="373">
        <v>0</v>
      </c>
      <c r="H23" s="373">
        <v>0</v>
      </c>
      <c r="I23" s="373">
        <v>0</v>
      </c>
      <c r="J23" s="373">
        <f>K23+L23+M23+N23</f>
        <v>0</v>
      </c>
      <c r="K23" s="373">
        <f>60-60</f>
        <v>0</v>
      </c>
      <c r="L23" s="373">
        <v>0</v>
      </c>
      <c r="M23" s="374">
        <v>0</v>
      </c>
      <c r="N23" s="374">
        <v>0</v>
      </c>
      <c r="O23" s="374">
        <f t="shared" si="3"/>
        <v>120</v>
      </c>
      <c r="P23" s="374">
        <f>60+60</f>
        <v>120</v>
      </c>
      <c r="Q23" s="374">
        <v>0</v>
      </c>
      <c r="R23" s="374">
        <v>0</v>
      </c>
      <c r="S23" s="374">
        <v>0</v>
      </c>
      <c r="T23" s="374">
        <f>U23+V23+W23+X23</f>
        <v>30</v>
      </c>
      <c r="U23" s="374">
        <v>30</v>
      </c>
      <c r="V23" s="374">
        <v>0</v>
      </c>
      <c r="W23" s="374">
        <v>0</v>
      </c>
      <c r="X23" s="374">
        <v>0</v>
      </c>
      <c r="Y23" s="374">
        <v>0</v>
      </c>
      <c r="Z23" s="374">
        <v>0</v>
      </c>
      <c r="AA23" s="374">
        <v>1428</v>
      </c>
      <c r="AB23" s="374">
        <v>0</v>
      </c>
      <c r="AC23" s="374">
        <v>0</v>
      </c>
      <c r="AD23" s="374">
        <f t="shared" si="5"/>
        <v>270</v>
      </c>
    </row>
    <row r="24" spans="1:31" ht="37.5">
      <c r="A24" s="369" t="s">
        <v>214</v>
      </c>
      <c r="B24" s="370" t="s">
        <v>205</v>
      </c>
      <c r="C24" s="499" t="s">
        <v>52</v>
      </c>
      <c r="D24" s="372" t="s">
        <v>287</v>
      </c>
      <c r="E24" s="373">
        <v>23068</v>
      </c>
      <c r="F24" s="373">
        <v>0</v>
      </c>
      <c r="G24" s="373">
        <v>23068</v>
      </c>
      <c r="H24" s="373">
        <v>0</v>
      </c>
      <c r="I24" s="373">
        <v>0</v>
      </c>
      <c r="J24" s="373">
        <f>K24+L24+M24+N24</f>
        <v>22592</v>
      </c>
      <c r="K24" s="373">
        <v>0</v>
      </c>
      <c r="L24" s="373">
        <f>23742-1150</f>
        <v>22592</v>
      </c>
      <c r="M24" s="374">
        <v>0</v>
      </c>
      <c r="N24" s="374">
        <v>0</v>
      </c>
      <c r="O24" s="374">
        <f t="shared" si="3"/>
        <v>25095.52</v>
      </c>
      <c r="P24" s="374">
        <v>0</v>
      </c>
      <c r="Q24" s="374">
        <f>24077+1018.52</f>
        <v>25095.52</v>
      </c>
      <c r="R24" s="374">
        <v>0</v>
      </c>
      <c r="S24" s="374">
        <v>0</v>
      </c>
      <c r="T24" s="374">
        <f t="shared" si="4"/>
        <v>25952</v>
      </c>
      <c r="U24" s="374">
        <v>0</v>
      </c>
      <c r="V24" s="374">
        <v>25952</v>
      </c>
      <c r="W24" s="374">
        <v>0</v>
      </c>
      <c r="X24" s="374">
        <v>0</v>
      </c>
      <c r="Y24" s="374">
        <f>Z24+AA24+AB24+AC24</f>
        <v>25952</v>
      </c>
      <c r="Z24" s="374">
        <v>0</v>
      </c>
      <c r="AA24" s="374">
        <v>25952</v>
      </c>
      <c r="AB24" s="374">
        <v>0</v>
      </c>
      <c r="AC24" s="374">
        <v>0</v>
      </c>
      <c r="AD24" s="374">
        <f>E24+J24+O24+T24+Y24</f>
        <v>122659.52</v>
      </c>
    </row>
    <row r="25" spans="1:31" ht="46.5">
      <c r="A25" s="369" t="s">
        <v>215</v>
      </c>
      <c r="B25" s="370" t="s">
        <v>198</v>
      </c>
      <c r="C25" s="499" t="s">
        <v>52</v>
      </c>
      <c r="D25" s="372" t="s">
        <v>309</v>
      </c>
      <c r="E25" s="373">
        <v>238</v>
      </c>
      <c r="F25" s="375">
        <v>0</v>
      </c>
      <c r="G25" s="373">
        <v>238</v>
      </c>
      <c r="H25" s="373">
        <v>0</v>
      </c>
      <c r="I25" s="373">
        <v>0</v>
      </c>
      <c r="J25" s="373">
        <f>K25+L25+M25+N25</f>
        <v>476</v>
      </c>
      <c r="K25" s="373">
        <v>0</v>
      </c>
      <c r="L25" s="373">
        <v>476</v>
      </c>
      <c r="M25" s="374">
        <v>0</v>
      </c>
      <c r="N25" s="374">
        <v>0</v>
      </c>
      <c r="O25" s="374">
        <f t="shared" si="3"/>
        <v>2380</v>
      </c>
      <c r="P25" s="374">
        <v>0</v>
      </c>
      <c r="Q25" s="334">
        <f>476+1428+476</f>
        <v>2380</v>
      </c>
      <c r="R25" s="374">
        <v>0</v>
      </c>
      <c r="S25" s="374">
        <v>0</v>
      </c>
      <c r="T25" s="374">
        <f>V25</f>
        <v>2142</v>
      </c>
      <c r="U25" s="374">
        <v>0</v>
      </c>
      <c r="V25" s="374">
        <v>2142</v>
      </c>
      <c r="W25" s="374">
        <v>0</v>
      </c>
      <c r="X25" s="374">
        <v>0</v>
      </c>
      <c r="Y25" s="374">
        <v>1428</v>
      </c>
      <c r="Z25" s="374">
        <v>0</v>
      </c>
      <c r="AA25" s="374">
        <v>0</v>
      </c>
      <c r="AB25" s="374">
        <v>0</v>
      </c>
      <c r="AC25" s="374">
        <v>0</v>
      </c>
      <c r="AD25" s="374">
        <f>E25+J25+O25+T25+Y25</f>
        <v>6664</v>
      </c>
    </row>
    <row r="26" spans="1:31" ht="46.5">
      <c r="A26" s="369" t="s">
        <v>216</v>
      </c>
      <c r="B26" s="376" t="s">
        <v>217</v>
      </c>
      <c r="C26" s="499" t="s">
        <v>94</v>
      </c>
      <c r="D26" s="372">
        <v>2020</v>
      </c>
      <c r="E26" s="373">
        <f>F26+G26+H26+I26</f>
        <v>120</v>
      </c>
      <c r="F26" s="373">
        <f>300-180</f>
        <v>120</v>
      </c>
      <c r="G26" s="373">
        <v>0</v>
      </c>
      <c r="H26" s="373">
        <v>0</v>
      </c>
      <c r="I26" s="373">
        <v>0</v>
      </c>
      <c r="J26" s="373">
        <f>K26+L26+M26+N26</f>
        <v>0</v>
      </c>
      <c r="K26" s="373">
        <v>0</v>
      </c>
      <c r="L26" s="373">
        <v>0</v>
      </c>
      <c r="M26" s="374">
        <v>0</v>
      </c>
      <c r="N26" s="374">
        <v>0</v>
      </c>
      <c r="O26" s="374">
        <f t="shared" si="3"/>
        <v>0</v>
      </c>
      <c r="P26" s="374">
        <v>0</v>
      </c>
      <c r="Q26" s="374">
        <v>0</v>
      </c>
      <c r="R26" s="374">
        <v>0</v>
      </c>
      <c r="S26" s="374">
        <v>0</v>
      </c>
      <c r="T26" s="374">
        <f t="shared" si="4"/>
        <v>0</v>
      </c>
      <c r="U26" s="374">
        <v>0</v>
      </c>
      <c r="V26" s="374">
        <v>0</v>
      </c>
      <c r="W26" s="374">
        <v>0</v>
      </c>
      <c r="X26" s="374">
        <v>0</v>
      </c>
      <c r="Y26" s="374">
        <f>Z26+AA26+AB26+AC26</f>
        <v>0</v>
      </c>
      <c r="Z26" s="374">
        <v>0</v>
      </c>
      <c r="AA26" s="374">
        <v>0</v>
      </c>
      <c r="AB26" s="374">
        <v>0</v>
      </c>
      <c r="AC26" s="374">
        <v>0</v>
      </c>
      <c r="AD26" s="374">
        <f t="shared" si="5"/>
        <v>120</v>
      </c>
    </row>
    <row r="27" spans="1:31" ht="23.25">
      <c r="A27" s="687" t="s">
        <v>313</v>
      </c>
      <c r="B27" s="688"/>
      <c r="C27" s="689"/>
      <c r="D27" s="496"/>
      <c r="E27" s="378">
        <f>E28+E29+E30</f>
        <v>76431.37</v>
      </c>
      <c r="F27" s="378">
        <f>SUM(F13:F26)</f>
        <v>50955.7</v>
      </c>
      <c r="G27" s="378">
        <f>G28+G29+G30</f>
        <v>23306</v>
      </c>
      <c r="H27" s="378">
        <f>SUM(H13:H17)</f>
        <v>0</v>
      </c>
      <c r="I27" s="378">
        <f>SUM(I13:I17)</f>
        <v>2169.67</v>
      </c>
      <c r="J27" s="378">
        <f>J28+J29+J30</f>
        <v>66549</v>
      </c>
      <c r="K27" s="378">
        <f>K28+K29</f>
        <v>43481</v>
      </c>
      <c r="L27" s="378">
        <f>L13+L14+L15+L16+L17+L18+L19+L20+L21+L22+L23+L24+L25+L26</f>
        <v>23068</v>
      </c>
      <c r="M27" s="378">
        <f>SUM(M13:M17)</f>
        <v>0</v>
      </c>
      <c r="N27" s="378">
        <f>SUM(N13:N17)</f>
        <v>0</v>
      </c>
      <c r="O27" s="378">
        <f>P27+Q27+R27+S27</f>
        <v>70725.52</v>
      </c>
      <c r="P27" s="378">
        <f>P28+P29</f>
        <v>43250</v>
      </c>
      <c r="Q27" s="378">
        <f>Q28+Q29+Q30</f>
        <v>27475.52</v>
      </c>
      <c r="R27" s="378">
        <f>SUM(R13:R17)</f>
        <v>0</v>
      </c>
      <c r="S27" s="378">
        <f>SUM(S13:S17)</f>
        <v>0</v>
      </c>
      <c r="T27" s="378">
        <f>SUM(T13:T26)</f>
        <v>81007</v>
      </c>
      <c r="U27" s="378">
        <f>SUM(U13:U26)</f>
        <v>52913</v>
      </c>
      <c r="V27" s="378">
        <f>V28+V29+V30</f>
        <v>28094</v>
      </c>
      <c r="W27" s="378">
        <f>SUM(W13:W16)</f>
        <v>0</v>
      </c>
      <c r="X27" s="378">
        <f>SUM(X13:X16)</f>
        <v>0</v>
      </c>
      <c r="Y27" s="378">
        <f>Y28+Y29+Y30</f>
        <v>27380</v>
      </c>
      <c r="Z27" s="378">
        <f>Z28+Z29+Z30</f>
        <v>0</v>
      </c>
      <c r="AA27" s="378">
        <f>AA28+AA29+AA30</f>
        <v>27380</v>
      </c>
      <c r="AB27" s="378">
        <f>SUM(AB13:AB17)</f>
        <v>0</v>
      </c>
      <c r="AC27" s="378">
        <f>SUM(AC13:AC17)</f>
        <v>0</v>
      </c>
      <c r="AD27" s="378">
        <f>AD28+AD29+AD30</f>
        <v>322092.89</v>
      </c>
    </row>
    <row r="28" spans="1:31" ht="23.25">
      <c r="A28" s="379" t="s">
        <v>14</v>
      </c>
      <c r="B28" s="493"/>
      <c r="C28" s="494"/>
      <c r="D28" s="497"/>
      <c r="E28" s="374">
        <f>F28+G28+H28+I28</f>
        <v>36295.369999999995</v>
      </c>
      <c r="F28" s="374">
        <f>F13+F14+F16</f>
        <v>34125.699999999997</v>
      </c>
      <c r="G28" s="374">
        <f>G13+G14+G16</f>
        <v>0</v>
      </c>
      <c r="H28" s="374">
        <f>G13+G14+G16</f>
        <v>0</v>
      </c>
      <c r="I28" s="374">
        <f>I14+I16</f>
        <v>2169.67</v>
      </c>
      <c r="J28" s="374">
        <f t="shared" ref="J28:V28" si="6">J13+J14+J16</f>
        <v>26292</v>
      </c>
      <c r="K28" s="374">
        <f t="shared" si="6"/>
        <v>26292</v>
      </c>
      <c r="L28" s="374">
        <f t="shared" si="6"/>
        <v>0</v>
      </c>
      <c r="M28" s="374">
        <f t="shared" si="6"/>
        <v>0</v>
      </c>
      <c r="N28" s="374">
        <f t="shared" si="6"/>
        <v>0</v>
      </c>
      <c r="O28" s="374">
        <f t="shared" si="6"/>
        <v>27273</v>
      </c>
      <c r="P28" s="374">
        <f t="shared" si="6"/>
        <v>27273</v>
      </c>
      <c r="Q28" s="374">
        <f t="shared" si="6"/>
        <v>0</v>
      </c>
      <c r="R28" s="374">
        <f t="shared" si="6"/>
        <v>0</v>
      </c>
      <c r="S28" s="374">
        <f t="shared" si="6"/>
        <v>0</v>
      </c>
      <c r="T28" s="374">
        <f t="shared" si="6"/>
        <v>36216</v>
      </c>
      <c r="U28" s="374">
        <f t="shared" si="6"/>
        <v>36216</v>
      </c>
      <c r="V28" s="374">
        <f t="shared" si="6"/>
        <v>0</v>
      </c>
      <c r="W28" s="374">
        <f>W13+W14+W16</f>
        <v>0</v>
      </c>
      <c r="X28" s="374">
        <f t="shared" ref="X28:AC28" si="7">X13+X14+X16</f>
        <v>0</v>
      </c>
      <c r="Y28" s="374">
        <f t="shared" si="7"/>
        <v>0</v>
      </c>
      <c r="Z28" s="374">
        <f>Z13+Z14+Z16</f>
        <v>0</v>
      </c>
      <c r="AA28" s="374">
        <f t="shared" si="7"/>
        <v>0</v>
      </c>
      <c r="AB28" s="374">
        <f t="shared" si="7"/>
        <v>0</v>
      </c>
      <c r="AC28" s="374">
        <f t="shared" si="7"/>
        <v>0</v>
      </c>
      <c r="AD28" s="374">
        <f>E28+J28+O28+T28+Y28</f>
        <v>126076.37</v>
      </c>
    </row>
    <row r="29" spans="1:31" ht="23.25">
      <c r="A29" s="379" t="s">
        <v>135</v>
      </c>
      <c r="B29" s="381"/>
      <c r="C29" s="382"/>
      <c r="D29" s="497"/>
      <c r="E29" s="374">
        <f>E15+E17+E18+E19+E20+E21+E22+E23+E26</f>
        <v>16830</v>
      </c>
      <c r="F29" s="374">
        <f>F15+F17+F18+F19+F20+F21+F22+F23+F26</f>
        <v>16830</v>
      </c>
      <c r="G29" s="374">
        <f>G15+G16</f>
        <v>0</v>
      </c>
      <c r="H29" s="374">
        <f>H15+H17+H18+H19+H20+H21+H22+H23+H26</f>
        <v>0</v>
      </c>
      <c r="I29" s="374">
        <f>I15+I17+I17+I18+I19+I20+I21+I22+I23+I26</f>
        <v>0</v>
      </c>
      <c r="J29" s="374">
        <f>J15+J17+J18+J19+J20+J21+J22+J23+J26</f>
        <v>17189</v>
      </c>
      <c r="K29" s="374">
        <f>K15+K17+K18+K19+K20+K21+K22+K23+K26</f>
        <v>17189</v>
      </c>
      <c r="L29" s="374">
        <f>L15+L17+L18+L19+L20+L21+L22+L23+L26</f>
        <v>0</v>
      </c>
      <c r="M29" s="374">
        <f>M24+M25</f>
        <v>0</v>
      </c>
      <c r="N29" s="374">
        <f>N24+N25</f>
        <v>0</v>
      </c>
      <c r="O29" s="374">
        <f>O15+O17+O18+O19+O20+O21+O22+O23+O26</f>
        <v>15977</v>
      </c>
      <c r="P29" s="374">
        <f>P15+P17+P18+P19+P20+P21+P22+P23+P26</f>
        <v>15977</v>
      </c>
      <c r="Q29" s="374">
        <f t="shared" ref="Q29:AC29" si="8">Q15+Q17+Q18+Q19+Q20+Q21+Q22+Q23+Q26</f>
        <v>0</v>
      </c>
      <c r="R29" s="374">
        <f t="shared" si="8"/>
        <v>0</v>
      </c>
      <c r="S29" s="374">
        <f t="shared" si="8"/>
        <v>0</v>
      </c>
      <c r="T29" s="374">
        <f>T15+T17+T19+T18+T20+T21+T22+T23+T26</f>
        <v>16697</v>
      </c>
      <c r="U29" s="374">
        <f>U15+U17+U18+U19+U20+U21+U22+U23</f>
        <v>16697</v>
      </c>
      <c r="V29" s="374">
        <f>V15+V17+V18+V19+V20+V21+V22</f>
        <v>0</v>
      </c>
      <c r="W29" s="374">
        <f t="shared" si="8"/>
        <v>0</v>
      </c>
      <c r="X29" s="374">
        <f t="shared" si="8"/>
        <v>0</v>
      </c>
      <c r="Y29" s="374">
        <f>Y15+Y17+Y18+Y19+Y20+Y21+Y22</f>
        <v>0</v>
      </c>
      <c r="Z29" s="374">
        <f>Z15+Z17+Z18+Z19+Z20+Z21+Z22+Z23+Z26</f>
        <v>0</v>
      </c>
      <c r="AA29" s="374">
        <f t="shared" si="8"/>
        <v>1428</v>
      </c>
      <c r="AB29" s="374">
        <f t="shared" si="8"/>
        <v>0</v>
      </c>
      <c r="AC29" s="374">
        <f t="shared" si="8"/>
        <v>0</v>
      </c>
      <c r="AD29" s="374">
        <f>E29+J29+O29+T29+Y29</f>
        <v>66693</v>
      </c>
      <c r="AE29" s="464"/>
    </row>
    <row r="30" spans="1:31" ht="23.25">
      <c r="A30" s="493" t="s">
        <v>73</v>
      </c>
      <c r="B30" s="494"/>
      <c r="C30" s="494"/>
      <c r="D30" s="498"/>
      <c r="E30" s="374">
        <f t="shared" ref="E30:S30" si="9">E24+E25</f>
        <v>23306</v>
      </c>
      <c r="F30" s="374">
        <f t="shared" si="9"/>
        <v>0</v>
      </c>
      <c r="G30" s="374">
        <f t="shared" si="9"/>
        <v>23306</v>
      </c>
      <c r="H30" s="374">
        <f t="shared" si="9"/>
        <v>0</v>
      </c>
      <c r="I30" s="374">
        <f t="shared" si="9"/>
        <v>0</v>
      </c>
      <c r="J30" s="374">
        <f t="shared" si="9"/>
        <v>23068</v>
      </c>
      <c r="K30" s="374">
        <f t="shared" si="9"/>
        <v>0</v>
      </c>
      <c r="L30" s="374">
        <f t="shared" si="9"/>
        <v>23068</v>
      </c>
      <c r="M30" s="374">
        <f t="shared" si="9"/>
        <v>0</v>
      </c>
      <c r="N30" s="374">
        <f t="shared" si="9"/>
        <v>0</v>
      </c>
      <c r="O30" s="374">
        <f t="shared" si="9"/>
        <v>27475.52</v>
      </c>
      <c r="P30" s="374">
        <f t="shared" si="9"/>
        <v>0</v>
      </c>
      <c r="Q30" s="374">
        <f>Q24+Q25</f>
        <v>27475.52</v>
      </c>
      <c r="R30" s="374">
        <f t="shared" si="9"/>
        <v>0</v>
      </c>
      <c r="S30" s="374">
        <f t="shared" si="9"/>
        <v>0</v>
      </c>
      <c r="T30" s="374">
        <f>T24+T25</f>
        <v>28094</v>
      </c>
      <c r="U30" s="374">
        <f>U25+U24</f>
        <v>0</v>
      </c>
      <c r="V30" s="374">
        <f>V25+V24</f>
        <v>28094</v>
      </c>
      <c r="W30" s="374">
        <f t="shared" ref="W30:AC30" si="10">W24+W25</f>
        <v>0</v>
      </c>
      <c r="X30" s="374">
        <f t="shared" si="10"/>
        <v>0</v>
      </c>
      <c r="Y30" s="374">
        <f>Y24+Y25</f>
        <v>27380</v>
      </c>
      <c r="Z30" s="374">
        <f t="shared" si="10"/>
        <v>0</v>
      </c>
      <c r="AA30" s="374">
        <f>AA24+AA25</f>
        <v>25952</v>
      </c>
      <c r="AB30" s="374">
        <f t="shared" si="10"/>
        <v>0</v>
      </c>
      <c r="AC30" s="374">
        <f t="shared" si="10"/>
        <v>0</v>
      </c>
      <c r="AD30" s="374">
        <f>E30+J30+O30+T30+Y30</f>
        <v>129323.52</v>
      </c>
      <c r="AE30" s="464"/>
    </row>
    <row r="31" spans="1:31" ht="23.25">
      <c r="A31" s="384" t="s">
        <v>222</v>
      </c>
      <c r="B31" s="690" t="s">
        <v>308</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2"/>
    </row>
    <row r="32" spans="1:31" ht="93">
      <c r="A32" s="369" t="s">
        <v>21</v>
      </c>
      <c r="B32" s="465" t="s">
        <v>192</v>
      </c>
      <c r="C32" s="384" t="s">
        <v>94</v>
      </c>
      <c r="D32" s="384" t="s">
        <v>93</v>
      </c>
      <c r="E32" s="374">
        <f>F32+G32+H32+I32</f>
        <v>1892</v>
      </c>
      <c r="F32" s="374">
        <f>2664-772</f>
        <v>1892</v>
      </c>
      <c r="G32" s="374">
        <v>0</v>
      </c>
      <c r="H32" s="374">
        <v>0</v>
      </c>
      <c r="I32" s="374">
        <v>0</v>
      </c>
      <c r="J32" s="374">
        <f>K32+L32+M32+N32</f>
        <v>1072</v>
      </c>
      <c r="K32" s="374">
        <f>1892-286-534</f>
        <v>1072</v>
      </c>
      <c r="L32" s="374">
        <v>0</v>
      </c>
      <c r="M32" s="374">
        <v>0</v>
      </c>
      <c r="N32" s="374">
        <v>0</v>
      </c>
      <c r="O32" s="334">
        <f>P32+Q32+R32+S32</f>
        <v>319</v>
      </c>
      <c r="P32" s="334">
        <f>1633-465-849</f>
        <v>319</v>
      </c>
      <c r="Q32" s="374">
        <v>0</v>
      </c>
      <c r="R32" s="374">
        <v>0</v>
      </c>
      <c r="S32" s="374">
        <v>0</v>
      </c>
      <c r="T32" s="374">
        <f>U32+V32+W32+X32</f>
        <v>0</v>
      </c>
      <c r="U32" s="374">
        <v>0</v>
      </c>
      <c r="V32" s="374">
        <v>0</v>
      </c>
      <c r="W32" s="374">
        <v>0</v>
      </c>
      <c r="X32" s="374">
        <v>0</v>
      </c>
      <c r="Y32" s="374">
        <f>Z32+AA32+AB32+AC32</f>
        <v>0</v>
      </c>
      <c r="Z32" s="374">
        <v>0</v>
      </c>
      <c r="AA32" s="374">
        <v>0</v>
      </c>
      <c r="AB32" s="374">
        <v>0</v>
      </c>
      <c r="AC32" s="374">
        <v>0</v>
      </c>
      <c r="AD32" s="374">
        <f>E32+J32+O32+T32+Y32</f>
        <v>3283</v>
      </c>
    </row>
    <row r="33" spans="1:31" ht="20.25">
      <c r="A33" s="708" t="s">
        <v>314</v>
      </c>
      <c r="B33" s="709"/>
      <c r="C33" s="710"/>
      <c r="D33" s="466"/>
      <c r="E33" s="378">
        <f>E32</f>
        <v>1892</v>
      </c>
      <c r="F33" s="378">
        <f>SUM(F32)</f>
        <v>1892</v>
      </c>
      <c r="G33" s="378">
        <f t="shared" ref="G33:AD33" si="11">SUM(G32:G32)</f>
        <v>0</v>
      </c>
      <c r="H33" s="378">
        <f t="shared" si="11"/>
        <v>0</v>
      </c>
      <c r="I33" s="378">
        <f t="shared" si="11"/>
        <v>0</v>
      </c>
      <c r="J33" s="378">
        <f>J32</f>
        <v>1072</v>
      </c>
      <c r="K33" s="378">
        <f t="shared" si="11"/>
        <v>1072</v>
      </c>
      <c r="L33" s="378">
        <f t="shared" si="11"/>
        <v>0</v>
      </c>
      <c r="M33" s="378">
        <f t="shared" si="11"/>
        <v>0</v>
      </c>
      <c r="N33" s="378">
        <f t="shared" si="11"/>
        <v>0</v>
      </c>
      <c r="O33" s="378">
        <f t="shared" si="11"/>
        <v>319</v>
      </c>
      <c r="P33" s="378">
        <f t="shared" si="11"/>
        <v>319</v>
      </c>
      <c r="Q33" s="378">
        <f t="shared" si="11"/>
        <v>0</v>
      </c>
      <c r="R33" s="378">
        <f t="shared" si="11"/>
        <v>0</v>
      </c>
      <c r="S33" s="378">
        <f t="shared" si="11"/>
        <v>0</v>
      </c>
      <c r="T33" s="378">
        <f t="shared" si="11"/>
        <v>0</v>
      </c>
      <c r="U33" s="378">
        <f t="shared" si="11"/>
        <v>0</v>
      </c>
      <c r="V33" s="378">
        <f t="shared" si="11"/>
        <v>0</v>
      </c>
      <c r="W33" s="378">
        <f t="shared" si="11"/>
        <v>0</v>
      </c>
      <c r="X33" s="378">
        <f t="shared" si="11"/>
        <v>0</v>
      </c>
      <c r="Y33" s="378">
        <f t="shared" si="11"/>
        <v>0</v>
      </c>
      <c r="Z33" s="378">
        <f t="shared" si="11"/>
        <v>0</v>
      </c>
      <c r="AA33" s="378">
        <f t="shared" si="11"/>
        <v>0</v>
      </c>
      <c r="AB33" s="378">
        <f t="shared" si="11"/>
        <v>0</v>
      </c>
      <c r="AC33" s="378">
        <f t="shared" si="11"/>
        <v>0</v>
      </c>
      <c r="AD33" s="378">
        <f t="shared" si="11"/>
        <v>3283</v>
      </c>
    </row>
    <row r="34" spans="1:31" ht="20.25">
      <c r="A34" s="384" t="s">
        <v>229</v>
      </c>
      <c r="B34" s="711" t="s">
        <v>230</v>
      </c>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3"/>
    </row>
    <row r="35" spans="1:31" ht="46.5">
      <c r="A35" s="369" t="s">
        <v>24</v>
      </c>
      <c r="B35" s="465" t="s">
        <v>288</v>
      </c>
      <c r="C35" s="463" t="s">
        <v>94</v>
      </c>
      <c r="D35" s="384" t="s">
        <v>93</v>
      </c>
      <c r="E35" s="374">
        <f>F35+G35+H35+I35</f>
        <v>2949</v>
      </c>
      <c r="F35" s="374">
        <v>2949</v>
      </c>
      <c r="G35" s="374">
        <v>0</v>
      </c>
      <c r="H35" s="374">
        <v>0</v>
      </c>
      <c r="I35" s="374">
        <v>0</v>
      </c>
      <c r="J35" s="374">
        <f>K35+L35+M35+N35</f>
        <v>2313</v>
      </c>
      <c r="K35" s="374">
        <f>1775+587-49</f>
        <v>2313</v>
      </c>
      <c r="L35" s="374">
        <v>0</v>
      </c>
      <c r="M35" s="374">
        <v>0</v>
      </c>
      <c r="N35" s="374">
        <v>0</v>
      </c>
      <c r="O35" s="334">
        <f xml:space="preserve"> SUM(P35:S35)</f>
        <v>1912</v>
      </c>
      <c r="P35" s="334">
        <f>2362-240-210</f>
        <v>1912</v>
      </c>
      <c r="Q35" s="374">
        <f>SUM(Q36,Q37,Q38,Q39)</f>
        <v>0</v>
      </c>
      <c r="R35" s="374">
        <f>SUM(R36,R37,R38,R39)</f>
        <v>0</v>
      </c>
      <c r="S35" s="374">
        <f>SUM(S36,S37,S38,S39)</f>
        <v>0</v>
      </c>
      <c r="T35" s="374">
        <f xml:space="preserve"> SUM(U35:X35)</f>
        <v>2022</v>
      </c>
      <c r="U35" s="374">
        <v>2022</v>
      </c>
      <c r="V35" s="374">
        <f>SUM(V36,V37,V38,V39)</f>
        <v>0</v>
      </c>
      <c r="W35" s="374">
        <f>SUM(W36,W37,W38,W39)</f>
        <v>0</v>
      </c>
      <c r="X35" s="374">
        <f>SUM(X36,X37,X38,X39)</f>
        <v>0</v>
      </c>
      <c r="Y35" s="374">
        <f xml:space="preserve"> SUM(Z35:AC35)</f>
        <v>0</v>
      </c>
      <c r="Z35" s="374">
        <v>0</v>
      </c>
      <c r="AA35" s="374">
        <f>SUM(AA36,AA37,AA38,AA39)</f>
        <v>0</v>
      </c>
      <c r="AB35" s="374">
        <f>SUM(AB36,AB37,AB38,AB39)</f>
        <v>0</v>
      </c>
      <c r="AC35" s="374">
        <f>SUM(AC36,AC37,AC38,AC39)</f>
        <v>0</v>
      </c>
      <c r="AD35" s="374">
        <f>E35+J35+O35+T35+Y35</f>
        <v>9196</v>
      </c>
    </row>
    <row r="36" spans="1:31" ht="139.5">
      <c r="A36" s="369" t="s">
        <v>151</v>
      </c>
      <c r="B36" s="376" t="s">
        <v>76</v>
      </c>
      <c r="C36" s="463" t="s">
        <v>94</v>
      </c>
      <c r="D36" s="384" t="s">
        <v>310</v>
      </c>
      <c r="E36" s="374">
        <f t="shared" ref="E36:E46" si="12">F36+G36+H36+I36</f>
        <v>9</v>
      </c>
      <c r="F36" s="374">
        <v>9</v>
      </c>
      <c r="G36" s="374">
        <v>0</v>
      </c>
      <c r="H36" s="374">
        <v>0</v>
      </c>
      <c r="I36" s="374">
        <v>0</v>
      </c>
      <c r="J36" s="374">
        <f t="shared" ref="J36:J46" si="13">K36+L36+M36+N36</f>
        <v>9</v>
      </c>
      <c r="K36" s="374">
        <v>9</v>
      </c>
      <c r="L36" s="374">
        <v>0</v>
      </c>
      <c r="M36" s="374">
        <v>0</v>
      </c>
      <c r="N36" s="374">
        <v>0</v>
      </c>
      <c r="O36" s="374">
        <f t="shared" ref="O36:O46" si="14">P36+Q36+R36+S36</f>
        <v>9</v>
      </c>
      <c r="P36" s="374">
        <v>9</v>
      </c>
      <c r="Q36" s="374">
        <v>0</v>
      </c>
      <c r="R36" s="374">
        <v>0</v>
      </c>
      <c r="S36" s="374">
        <v>0</v>
      </c>
      <c r="T36" s="374">
        <f t="shared" ref="T36:T46" si="15">U36+V36+W36+X36</f>
        <v>0</v>
      </c>
      <c r="U36" s="374">
        <v>0</v>
      </c>
      <c r="V36" s="374">
        <v>0</v>
      </c>
      <c r="W36" s="374">
        <v>0</v>
      </c>
      <c r="X36" s="374">
        <v>0</v>
      </c>
      <c r="Y36" s="374">
        <f t="shared" ref="Y36:Y46" si="16">Z36+AA36+AB36+AC36</f>
        <v>0</v>
      </c>
      <c r="Z36" s="374">
        <v>0</v>
      </c>
      <c r="AA36" s="374">
        <v>0</v>
      </c>
      <c r="AB36" s="374">
        <v>0</v>
      </c>
      <c r="AC36" s="374">
        <v>0</v>
      </c>
      <c r="AD36" s="374">
        <f t="shared" ref="AD36:AD52" si="17">E36+J36+O36+T36+Y36</f>
        <v>27</v>
      </c>
    </row>
    <row r="37" spans="1:31" ht="37.5">
      <c r="A37" s="369" t="s">
        <v>235</v>
      </c>
      <c r="B37" s="376" t="s">
        <v>71</v>
      </c>
      <c r="C37" s="384" t="s">
        <v>94</v>
      </c>
      <c r="D37" s="384" t="s">
        <v>168</v>
      </c>
      <c r="E37" s="374">
        <f t="shared" si="12"/>
        <v>426</v>
      </c>
      <c r="F37" s="374">
        <v>426</v>
      </c>
      <c r="G37" s="374">
        <v>0</v>
      </c>
      <c r="H37" s="374">
        <v>0</v>
      </c>
      <c r="I37" s="374">
        <v>0</v>
      </c>
      <c r="J37" s="374">
        <f t="shared" si="13"/>
        <v>0</v>
      </c>
      <c r="K37" s="374">
        <v>0</v>
      </c>
      <c r="L37" s="374">
        <v>0</v>
      </c>
      <c r="M37" s="374">
        <v>0</v>
      </c>
      <c r="N37" s="374">
        <v>0</v>
      </c>
      <c r="O37" s="374">
        <f t="shared" si="14"/>
        <v>0</v>
      </c>
      <c r="P37" s="374">
        <v>0</v>
      </c>
      <c r="Q37" s="374">
        <v>0</v>
      </c>
      <c r="R37" s="374">
        <v>0</v>
      </c>
      <c r="S37" s="374">
        <v>0</v>
      </c>
      <c r="T37" s="374">
        <f t="shared" si="15"/>
        <v>0</v>
      </c>
      <c r="U37" s="374">
        <v>0</v>
      </c>
      <c r="V37" s="374">
        <v>0</v>
      </c>
      <c r="W37" s="374">
        <v>0</v>
      </c>
      <c r="X37" s="374">
        <v>0</v>
      </c>
      <c r="Y37" s="374">
        <f t="shared" si="16"/>
        <v>0</v>
      </c>
      <c r="Z37" s="374">
        <v>0</v>
      </c>
      <c r="AA37" s="374">
        <v>0</v>
      </c>
      <c r="AB37" s="374">
        <v>0</v>
      </c>
      <c r="AC37" s="374">
        <v>0</v>
      </c>
      <c r="AD37" s="374">
        <f>E37+J37+O37+T37+Y37</f>
        <v>426</v>
      </c>
    </row>
    <row r="38" spans="1:31" ht="23.25">
      <c r="A38" s="369" t="s">
        <v>236</v>
      </c>
      <c r="B38" s="376" t="s">
        <v>110</v>
      </c>
      <c r="C38" s="714" t="s">
        <v>105</v>
      </c>
      <c r="D38" s="384" t="s">
        <v>93</v>
      </c>
      <c r="E38" s="374">
        <f t="shared" si="12"/>
        <v>3304</v>
      </c>
      <c r="F38" s="374">
        <v>3304</v>
      </c>
      <c r="G38" s="374">
        <v>0</v>
      </c>
      <c r="H38" s="374">
        <v>0</v>
      </c>
      <c r="I38" s="374">
        <v>0</v>
      </c>
      <c r="J38" s="374">
        <f t="shared" si="13"/>
        <v>3080</v>
      </c>
      <c r="K38" s="374">
        <f>3304-224</f>
        <v>3080</v>
      </c>
      <c r="L38" s="374">
        <v>0</v>
      </c>
      <c r="M38" s="374">
        <v>0</v>
      </c>
      <c r="N38" s="374">
        <v>0</v>
      </c>
      <c r="O38" s="334">
        <f t="shared" si="14"/>
        <v>2842</v>
      </c>
      <c r="P38" s="334">
        <f>2968-126</f>
        <v>2842</v>
      </c>
      <c r="Q38" s="374">
        <v>0</v>
      </c>
      <c r="R38" s="374">
        <v>0</v>
      </c>
      <c r="S38" s="374">
        <v>0</v>
      </c>
      <c r="T38" s="374">
        <f t="shared" si="15"/>
        <v>3136</v>
      </c>
      <c r="U38" s="374">
        <v>3136</v>
      </c>
      <c r="V38" s="374">
        <v>0</v>
      </c>
      <c r="W38" s="374">
        <v>0</v>
      </c>
      <c r="X38" s="374">
        <v>0</v>
      </c>
      <c r="Y38" s="374">
        <f t="shared" si="16"/>
        <v>0</v>
      </c>
      <c r="Z38" s="374">
        <v>0</v>
      </c>
      <c r="AA38" s="374">
        <v>0</v>
      </c>
      <c r="AB38" s="374">
        <v>0</v>
      </c>
      <c r="AC38" s="374">
        <v>0</v>
      </c>
      <c r="AD38" s="374">
        <f>E38+J38+O38+T38+Y38</f>
        <v>12362</v>
      </c>
    </row>
    <row r="39" spans="1:31" ht="93">
      <c r="A39" s="369" t="s">
        <v>237</v>
      </c>
      <c r="B39" s="376" t="s">
        <v>191</v>
      </c>
      <c r="C39" s="715"/>
      <c r="D39" s="384" t="s">
        <v>283</v>
      </c>
      <c r="E39" s="374">
        <f t="shared" si="12"/>
        <v>378</v>
      </c>
      <c r="F39" s="374">
        <v>378</v>
      </c>
      <c r="G39" s="374">
        <v>0</v>
      </c>
      <c r="H39" s="374">
        <v>0</v>
      </c>
      <c r="I39" s="374">
        <v>0</v>
      </c>
      <c r="J39" s="374">
        <f t="shared" si="13"/>
        <v>419</v>
      </c>
      <c r="K39" s="374">
        <f>324+95</f>
        <v>419</v>
      </c>
      <c r="L39" s="374">
        <v>0</v>
      </c>
      <c r="M39" s="374">
        <v>0</v>
      </c>
      <c r="N39" s="374">
        <v>0</v>
      </c>
      <c r="O39" s="334">
        <f t="shared" si="14"/>
        <v>468</v>
      </c>
      <c r="P39" s="334">
        <f>495-27</f>
        <v>468</v>
      </c>
      <c r="Q39" s="374">
        <v>0</v>
      </c>
      <c r="R39" s="374">
        <v>0</v>
      </c>
      <c r="S39" s="374">
        <v>0</v>
      </c>
      <c r="T39" s="374">
        <f>U39+V39+W39+X39</f>
        <v>432</v>
      </c>
      <c r="U39" s="374">
        <v>432</v>
      </c>
      <c r="V39" s="374">
        <v>0</v>
      </c>
      <c r="W39" s="374">
        <v>0</v>
      </c>
      <c r="X39" s="374">
        <v>0</v>
      </c>
      <c r="Y39" s="374">
        <f t="shared" si="16"/>
        <v>0</v>
      </c>
      <c r="Z39" s="374">
        <v>0</v>
      </c>
      <c r="AA39" s="374">
        <v>0</v>
      </c>
      <c r="AB39" s="374">
        <v>0</v>
      </c>
      <c r="AC39" s="374">
        <v>0</v>
      </c>
      <c r="AD39" s="374">
        <f>E39+J39+O39+T39+Y39</f>
        <v>1697</v>
      </c>
    </row>
    <row r="40" spans="1:31" ht="69.75">
      <c r="A40" s="369" t="s">
        <v>238</v>
      </c>
      <c r="B40" s="376" t="s">
        <v>77</v>
      </c>
      <c r="C40" s="463" t="s">
        <v>94</v>
      </c>
      <c r="D40" s="384" t="s">
        <v>310</v>
      </c>
      <c r="E40" s="374">
        <f t="shared" si="12"/>
        <v>12</v>
      </c>
      <c r="F40" s="374">
        <v>12</v>
      </c>
      <c r="G40" s="374">
        <v>0</v>
      </c>
      <c r="H40" s="374">
        <v>0</v>
      </c>
      <c r="I40" s="374">
        <v>0</v>
      </c>
      <c r="J40" s="374">
        <f t="shared" si="13"/>
        <v>12</v>
      </c>
      <c r="K40" s="374">
        <v>12</v>
      </c>
      <c r="L40" s="374">
        <v>0</v>
      </c>
      <c r="M40" s="374">
        <v>0</v>
      </c>
      <c r="N40" s="374">
        <v>0</v>
      </c>
      <c r="O40" s="374">
        <f t="shared" si="14"/>
        <v>12</v>
      </c>
      <c r="P40" s="374">
        <v>12</v>
      </c>
      <c r="Q40" s="374">
        <v>0</v>
      </c>
      <c r="R40" s="374">
        <v>0</v>
      </c>
      <c r="S40" s="374">
        <v>0</v>
      </c>
      <c r="T40" s="374">
        <f t="shared" si="15"/>
        <v>0</v>
      </c>
      <c r="U40" s="374">
        <v>0</v>
      </c>
      <c r="V40" s="374">
        <v>0</v>
      </c>
      <c r="W40" s="374">
        <v>0</v>
      </c>
      <c r="X40" s="374">
        <v>0</v>
      </c>
      <c r="Y40" s="374">
        <f t="shared" si="16"/>
        <v>0</v>
      </c>
      <c r="Z40" s="374">
        <v>0</v>
      </c>
      <c r="AA40" s="374">
        <v>0</v>
      </c>
      <c r="AB40" s="374">
        <v>0</v>
      </c>
      <c r="AC40" s="374">
        <v>0</v>
      </c>
      <c r="AD40" s="374">
        <f t="shared" si="17"/>
        <v>36</v>
      </c>
    </row>
    <row r="41" spans="1:31" ht="69.75">
      <c r="A41" s="369" t="s">
        <v>239</v>
      </c>
      <c r="B41" s="376" t="s">
        <v>265</v>
      </c>
      <c r="C41" s="706" t="s">
        <v>105</v>
      </c>
      <c r="D41" s="384" t="s">
        <v>168</v>
      </c>
      <c r="E41" s="374">
        <f t="shared" si="12"/>
        <v>50</v>
      </c>
      <c r="F41" s="374">
        <v>50</v>
      </c>
      <c r="G41" s="374">
        <v>0</v>
      </c>
      <c r="H41" s="374">
        <v>0</v>
      </c>
      <c r="I41" s="374">
        <v>0</v>
      </c>
      <c r="J41" s="374">
        <f t="shared" si="13"/>
        <v>0</v>
      </c>
      <c r="K41" s="374">
        <v>0</v>
      </c>
      <c r="L41" s="374">
        <v>0</v>
      </c>
      <c r="M41" s="374">
        <v>0</v>
      </c>
      <c r="N41" s="374">
        <v>0</v>
      </c>
      <c r="O41" s="374">
        <f t="shared" si="14"/>
        <v>0</v>
      </c>
      <c r="P41" s="374">
        <v>0</v>
      </c>
      <c r="Q41" s="374">
        <v>0</v>
      </c>
      <c r="R41" s="374">
        <v>0</v>
      </c>
      <c r="S41" s="374">
        <v>0</v>
      </c>
      <c r="T41" s="374">
        <f t="shared" si="15"/>
        <v>0</v>
      </c>
      <c r="U41" s="374">
        <v>0</v>
      </c>
      <c r="V41" s="374">
        <v>0</v>
      </c>
      <c r="W41" s="374">
        <v>0</v>
      </c>
      <c r="X41" s="374">
        <v>0</v>
      </c>
      <c r="Y41" s="374">
        <f t="shared" si="16"/>
        <v>0</v>
      </c>
      <c r="Z41" s="374">
        <v>0</v>
      </c>
      <c r="AA41" s="374">
        <v>0</v>
      </c>
      <c r="AB41" s="374">
        <v>0</v>
      </c>
      <c r="AC41" s="374">
        <v>0</v>
      </c>
      <c r="AD41" s="374">
        <f t="shared" si="17"/>
        <v>50</v>
      </c>
    </row>
    <row r="42" spans="1:31" ht="69.75">
      <c r="A42" s="369" t="s">
        <v>240</v>
      </c>
      <c r="B42" s="376" t="s">
        <v>111</v>
      </c>
      <c r="C42" s="716"/>
      <c r="D42" s="384" t="s">
        <v>168</v>
      </c>
      <c r="E42" s="374">
        <f t="shared" si="12"/>
        <v>50</v>
      </c>
      <c r="F42" s="374">
        <v>50</v>
      </c>
      <c r="G42" s="374">
        <v>0</v>
      </c>
      <c r="H42" s="374">
        <v>0</v>
      </c>
      <c r="I42" s="374">
        <v>0</v>
      </c>
      <c r="J42" s="374">
        <f t="shared" si="13"/>
        <v>50</v>
      </c>
      <c r="K42" s="374">
        <v>50</v>
      </c>
      <c r="L42" s="374">
        <v>0</v>
      </c>
      <c r="M42" s="374">
        <v>0</v>
      </c>
      <c r="N42" s="374">
        <v>0</v>
      </c>
      <c r="O42" s="334">
        <f t="shared" si="14"/>
        <v>100</v>
      </c>
      <c r="P42" s="334">
        <f>50+50</f>
        <v>100</v>
      </c>
      <c r="Q42" s="374">
        <v>0</v>
      </c>
      <c r="R42" s="374">
        <v>0</v>
      </c>
      <c r="S42" s="374">
        <v>0</v>
      </c>
      <c r="T42" s="374">
        <f t="shared" si="15"/>
        <v>50</v>
      </c>
      <c r="U42" s="374">
        <v>50</v>
      </c>
      <c r="V42" s="374">
        <v>0</v>
      </c>
      <c r="W42" s="374">
        <v>0</v>
      </c>
      <c r="X42" s="374">
        <v>0</v>
      </c>
      <c r="Y42" s="374">
        <f t="shared" si="16"/>
        <v>0</v>
      </c>
      <c r="Z42" s="374">
        <v>0</v>
      </c>
      <c r="AA42" s="374">
        <v>0</v>
      </c>
      <c r="AB42" s="374">
        <v>0</v>
      </c>
      <c r="AC42" s="374">
        <v>0</v>
      </c>
      <c r="AD42" s="374">
        <f t="shared" si="17"/>
        <v>250</v>
      </c>
    </row>
    <row r="43" spans="1:31" ht="93">
      <c r="A43" s="369" t="s">
        <v>241</v>
      </c>
      <c r="B43" s="376" t="s">
        <v>112</v>
      </c>
      <c r="C43" s="716"/>
      <c r="D43" s="384" t="s">
        <v>93</v>
      </c>
      <c r="E43" s="374">
        <f t="shared" si="12"/>
        <v>810</v>
      </c>
      <c r="F43" s="374">
        <f>480+330</f>
        <v>810</v>
      </c>
      <c r="G43" s="374">
        <v>0</v>
      </c>
      <c r="H43" s="374">
        <v>0</v>
      </c>
      <c r="I43" s="374">
        <v>0</v>
      </c>
      <c r="J43" s="374">
        <f>K43+L43+M43+N43</f>
        <v>770</v>
      </c>
      <c r="K43" s="374">
        <f>720+50</f>
        <v>770</v>
      </c>
      <c r="L43" s="374">
        <v>0</v>
      </c>
      <c r="M43" s="374">
        <v>0</v>
      </c>
      <c r="N43" s="374">
        <v>0</v>
      </c>
      <c r="O43" s="334">
        <f t="shared" si="14"/>
        <v>590</v>
      </c>
      <c r="P43" s="334">
        <f>720-130</f>
        <v>590</v>
      </c>
      <c r="Q43" s="374">
        <v>0</v>
      </c>
      <c r="R43" s="374">
        <v>0</v>
      </c>
      <c r="S43" s="374">
        <v>0</v>
      </c>
      <c r="T43" s="374">
        <f t="shared" si="15"/>
        <v>600</v>
      </c>
      <c r="U43" s="374">
        <v>600</v>
      </c>
      <c r="V43" s="374">
        <v>0</v>
      </c>
      <c r="W43" s="374">
        <v>0</v>
      </c>
      <c r="X43" s="374">
        <v>0</v>
      </c>
      <c r="Y43" s="374">
        <f t="shared" si="16"/>
        <v>0</v>
      </c>
      <c r="Z43" s="374">
        <v>0</v>
      </c>
      <c r="AA43" s="374">
        <v>0</v>
      </c>
      <c r="AB43" s="374">
        <v>0</v>
      </c>
      <c r="AC43" s="374">
        <v>0</v>
      </c>
      <c r="AD43" s="374">
        <f>E43+J43+O43+T43+Y43</f>
        <v>2770</v>
      </c>
    </row>
    <row r="44" spans="1:31" ht="93">
      <c r="A44" s="467" t="s">
        <v>242</v>
      </c>
      <c r="B44" s="376" t="s">
        <v>113</v>
      </c>
      <c r="C44" s="716"/>
      <c r="D44" s="384" t="s">
        <v>168</v>
      </c>
      <c r="E44" s="374">
        <f t="shared" si="12"/>
        <v>30</v>
      </c>
      <c r="F44" s="374">
        <v>30</v>
      </c>
      <c r="G44" s="374">
        <v>0</v>
      </c>
      <c r="H44" s="374">
        <v>0</v>
      </c>
      <c r="I44" s="374">
        <v>0</v>
      </c>
      <c r="J44" s="374">
        <f t="shared" si="13"/>
        <v>10</v>
      </c>
      <c r="K44" s="374">
        <v>10</v>
      </c>
      <c r="L44" s="374">
        <v>0</v>
      </c>
      <c r="M44" s="374">
        <v>0</v>
      </c>
      <c r="N44" s="374">
        <v>0</v>
      </c>
      <c r="O44" s="374">
        <f t="shared" si="14"/>
        <v>10</v>
      </c>
      <c r="P44" s="374">
        <v>10</v>
      </c>
      <c r="Q44" s="374">
        <v>0</v>
      </c>
      <c r="R44" s="374">
        <v>0</v>
      </c>
      <c r="S44" s="374">
        <v>0</v>
      </c>
      <c r="T44" s="374">
        <f t="shared" si="15"/>
        <v>10</v>
      </c>
      <c r="U44" s="374">
        <v>10</v>
      </c>
      <c r="V44" s="374">
        <v>0</v>
      </c>
      <c r="W44" s="374">
        <v>0</v>
      </c>
      <c r="X44" s="374">
        <v>0</v>
      </c>
      <c r="Y44" s="374">
        <f t="shared" si="16"/>
        <v>0</v>
      </c>
      <c r="Z44" s="374">
        <v>0</v>
      </c>
      <c r="AA44" s="374">
        <v>0</v>
      </c>
      <c r="AB44" s="374">
        <v>0</v>
      </c>
      <c r="AC44" s="374">
        <v>0</v>
      </c>
      <c r="AD44" s="374">
        <f t="shared" si="17"/>
        <v>60</v>
      </c>
    </row>
    <row r="45" spans="1:31" ht="69.75">
      <c r="A45" s="369" t="s">
        <v>243</v>
      </c>
      <c r="B45" s="376" t="s">
        <v>114</v>
      </c>
      <c r="C45" s="707"/>
      <c r="D45" s="384" t="s">
        <v>168</v>
      </c>
      <c r="E45" s="374">
        <f t="shared" si="12"/>
        <v>50</v>
      </c>
      <c r="F45" s="374">
        <v>50</v>
      </c>
      <c r="G45" s="374">
        <v>0</v>
      </c>
      <c r="H45" s="374">
        <v>0</v>
      </c>
      <c r="I45" s="374">
        <v>0</v>
      </c>
      <c r="J45" s="374">
        <f t="shared" si="13"/>
        <v>50</v>
      </c>
      <c r="K45" s="374">
        <v>50</v>
      </c>
      <c r="L45" s="374">
        <v>0</v>
      </c>
      <c r="M45" s="374">
        <v>0</v>
      </c>
      <c r="N45" s="374">
        <v>0</v>
      </c>
      <c r="O45" s="374">
        <f t="shared" si="14"/>
        <v>100</v>
      </c>
      <c r="P45" s="374">
        <v>100</v>
      </c>
      <c r="Q45" s="374">
        <v>0</v>
      </c>
      <c r="R45" s="374">
        <v>0</v>
      </c>
      <c r="S45" s="374">
        <v>0</v>
      </c>
      <c r="T45" s="374">
        <f t="shared" si="15"/>
        <v>50</v>
      </c>
      <c r="U45" s="374">
        <v>50</v>
      </c>
      <c r="V45" s="374">
        <v>0</v>
      </c>
      <c r="W45" s="374">
        <v>0</v>
      </c>
      <c r="X45" s="374">
        <v>0</v>
      </c>
      <c r="Y45" s="374">
        <f t="shared" si="16"/>
        <v>0</v>
      </c>
      <c r="Z45" s="374">
        <v>0</v>
      </c>
      <c r="AA45" s="374">
        <v>0</v>
      </c>
      <c r="AB45" s="374">
        <v>0</v>
      </c>
      <c r="AC45" s="374">
        <v>0</v>
      </c>
      <c r="AD45" s="374">
        <f t="shared" si="17"/>
        <v>250</v>
      </c>
    </row>
    <row r="46" spans="1:31" ht="69.75">
      <c r="A46" s="369" t="s">
        <v>244</v>
      </c>
      <c r="B46" s="376" t="s">
        <v>78</v>
      </c>
      <c r="C46" s="384" t="s">
        <v>18</v>
      </c>
      <c r="D46" s="384" t="s">
        <v>93</v>
      </c>
      <c r="E46" s="374">
        <f t="shared" si="12"/>
        <v>96</v>
      </c>
      <c r="F46" s="374">
        <f>96</f>
        <v>96</v>
      </c>
      <c r="G46" s="374">
        <v>0</v>
      </c>
      <c r="H46" s="374">
        <v>0</v>
      </c>
      <c r="I46" s="374">
        <v>0</v>
      </c>
      <c r="J46" s="374">
        <f t="shared" si="13"/>
        <v>43</v>
      </c>
      <c r="K46" s="374">
        <f>68-25</f>
        <v>43</v>
      </c>
      <c r="L46" s="374">
        <v>0</v>
      </c>
      <c r="M46" s="374">
        <v>0</v>
      </c>
      <c r="N46" s="374">
        <v>0</v>
      </c>
      <c r="O46" s="334">
        <f t="shared" si="14"/>
        <v>36</v>
      </c>
      <c r="P46" s="334">
        <f>53-17</f>
        <v>36</v>
      </c>
      <c r="Q46" s="374">
        <v>0</v>
      </c>
      <c r="R46" s="374">
        <v>0</v>
      </c>
      <c r="S46" s="374">
        <v>0</v>
      </c>
      <c r="T46" s="374">
        <f t="shared" si="15"/>
        <v>39</v>
      </c>
      <c r="U46" s="374">
        <v>39</v>
      </c>
      <c r="V46" s="374">
        <v>0</v>
      </c>
      <c r="W46" s="374">
        <v>0</v>
      </c>
      <c r="X46" s="374">
        <v>0</v>
      </c>
      <c r="Y46" s="374">
        <f t="shared" si="16"/>
        <v>0</v>
      </c>
      <c r="Z46" s="374">
        <v>0</v>
      </c>
      <c r="AA46" s="374">
        <v>0</v>
      </c>
      <c r="AB46" s="374">
        <v>0</v>
      </c>
      <c r="AC46" s="374">
        <v>0</v>
      </c>
      <c r="AD46" s="374">
        <f t="shared" si="17"/>
        <v>214</v>
      </c>
    </row>
    <row r="47" spans="1:31" ht="93">
      <c r="A47" s="369" t="s">
        <v>245</v>
      </c>
      <c r="B47" s="376" t="s">
        <v>145</v>
      </c>
      <c r="C47" s="384" t="s">
        <v>94</v>
      </c>
      <c r="D47" s="384" t="s">
        <v>93</v>
      </c>
      <c r="E47" s="374">
        <f>F47+G47+H47+I47</f>
        <v>28325</v>
      </c>
      <c r="F47" s="374">
        <f>6567-902</f>
        <v>5665</v>
      </c>
      <c r="G47" s="374">
        <f>26268-3608</f>
        <v>22660</v>
      </c>
      <c r="H47" s="374">
        <v>0</v>
      </c>
      <c r="I47" s="374">
        <v>0</v>
      </c>
      <c r="J47" s="374">
        <f>K47+L47+M47+N47</f>
        <v>4455</v>
      </c>
      <c r="K47" s="374">
        <f>550+341</f>
        <v>891</v>
      </c>
      <c r="L47" s="374">
        <v>3564</v>
      </c>
      <c r="M47" s="374">
        <v>0</v>
      </c>
      <c r="N47" s="374">
        <v>0</v>
      </c>
      <c r="O47" s="374">
        <f>P47+Q47+R47+S47</f>
        <v>550</v>
      </c>
      <c r="P47" s="374">
        <v>550</v>
      </c>
      <c r="Q47" s="374">
        <v>0</v>
      </c>
      <c r="R47" s="374">
        <v>0</v>
      </c>
      <c r="S47" s="374">
        <v>0</v>
      </c>
      <c r="T47" s="374">
        <f>U47+V47+W47+X47</f>
        <v>0</v>
      </c>
      <c r="U47" s="374">
        <v>0</v>
      </c>
      <c r="V47" s="374">
        <v>0</v>
      </c>
      <c r="W47" s="374">
        <v>0</v>
      </c>
      <c r="X47" s="374">
        <v>0</v>
      </c>
      <c r="Y47" s="374">
        <f>Z47+AA47+AB47+AC47</f>
        <v>0</v>
      </c>
      <c r="Z47" s="374">
        <v>0</v>
      </c>
      <c r="AA47" s="374">
        <v>0</v>
      </c>
      <c r="AB47" s="374">
        <v>0</v>
      </c>
      <c r="AC47" s="374">
        <v>0</v>
      </c>
      <c r="AD47" s="374">
        <f t="shared" si="17"/>
        <v>33330</v>
      </c>
      <c r="AE47" s="468"/>
    </row>
    <row r="48" spans="1:31" ht="46.5">
      <c r="A48" s="469" t="s">
        <v>246</v>
      </c>
      <c r="B48" s="470" t="s">
        <v>87</v>
      </c>
      <c r="C48" s="500" t="s">
        <v>52</v>
      </c>
      <c r="D48" s="384" t="s">
        <v>310</v>
      </c>
      <c r="E48" s="374">
        <f>F48+G48+H48+I48</f>
        <v>384.8</v>
      </c>
      <c r="F48" s="374">
        <f>387-2.2</f>
        <v>384.8</v>
      </c>
      <c r="G48" s="374">
        <v>0</v>
      </c>
      <c r="H48" s="374">
        <v>0</v>
      </c>
      <c r="I48" s="374">
        <v>0</v>
      </c>
      <c r="J48" s="374">
        <f>K48+L48+M48+N48</f>
        <v>362.1</v>
      </c>
      <c r="K48" s="374">
        <f>387-24.9</f>
        <v>362.1</v>
      </c>
      <c r="L48" s="374">
        <v>0</v>
      </c>
      <c r="M48" s="374">
        <v>0</v>
      </c>
      <c r="N48" s="374">
        <v>0</v>
      </c>
      <c r="O48" s="334">
        <f>P48+Q48+R48+S48</f>
        <v>379</v>
      </c>
      <c r="P48" s="334">
        <f>387-8</f>
        <v>379</v>
      </c>
      <c r="Q48" s="374">
        <v>0</v>
      </c>
      <c r="R48" s="374">
        <v>0</v>
      </c>
      <c r="S48" s="374">
        <v>0</v>
      </c>
      <c r="T48" s="374">
        <f>U48+V48+W48+X48</f>
        <v>0</v>
      </c>
      <c r="U48" s="374">
        <v>0</v>
      </c>
      <c r="V48" s="374">
        <v>0</v>
      </c>
      <c r="W48" s="374">
        <v>0</v>
      </c>
      <c r="X48" s="374">
        <v>0</v>
      </c>
      <c r="Y48" s="374">
        <f>Z48+AA48+AB48+AC48</f>
        <v>0</v>
      </c>
      <c r="Z48" s="374">
        <v>0</v>
      </c>
      <c r="AA48" s="374">
        <v>0</v>
      </c>
      <c r="AB48" s="374">
        <v>0</v>
      </c>
      <c r="AC48" s="374">
        <v>0</v>
      </c>
      <c r="AD48" s="374">
        <f t="shared" si="17"/>
        <v>1125.9000000000001</v>
      </c>
    </row>
    <row r="49" spans="1:32" ht="75">
      <c r="A49" s="469" t="s">
        <v>247</v>
      </c>
      <c r="B49" s="470" t="s">
        <v>132</v>
      </c>
      <c r="C49" s="500" t="s">
        <v>147</v>
      </c>
      <c r="D49" s="460">
        <v>2020</v>
      </c>
      <c r="E49" s="374">
        <f>F49+G49+H49+I49</f>
        <v>1248</v>
      </c>
      <c r="F49" s="374">
        <f>1248</f>
        <v>1248</v>
      </c>
      <c r="G49" s="374">
        <v>0</v>
      </c>
      <c r="H49" s="374">
        <v>0</v>
      </c>
      <c r="I49" s="374">
        <v>0</v>
      </c>
      <c r="J49" s="374">
        <f>K49+L49+M49+N49</f>
        <v>0</v>
      </c>
      <c r="K49" s="374">
        <v>0</v>
      </c>
      <c r="L49" s="374">
        <v>0</v>
      </c>
      <c r="M49" s="374">
        <v>0</v>
      </c>
      <c r="N49" s="374">
        <v>0</v>
      </c>
      <c r="O49" s="374">
        <f>P49+Q49+R49+S49</f>
        <v>0</v>
      </c>
      <c r="P49" s="374">
        <v>0</v>
      </c>
      <c r="Q49" s="374">
        <v>0</v>
      </c>
      <c r="R49" s="374">
        <v>0</v>
      </c>
      <c r="S49" s="374">
        <v>0</v>
      </c>
      <c r="T49" s="374">
        <f>U49+V49+W49+X49</f>
        <v>0</v>
      </c>
      <c r="U49" s="374">
        <v>0</v>
      </c>
      <c r="V49" s="374">
        <v>0</v>
      </c>
      <c r="W49" s="374">
        <v>0</v>
      </c>
      <c r="X49" s="374">
        <v>0</v>
      </c>
      <c r="Y49" s="374">
        <f>Z49+AA49+AB49+AC49</f>
        <v>0</v>
      </c>
      <c r="Z49" s="374">
        <v>0</v>
      </c>
      <c r="AA49" s="374">
        <v>0</v>
      </c>
      <c r="AB49" s="374">
        <v>0</v>
      </c>
      <c r="AC49" s="374">
        <v>0</v>
      </c>
      <c r="AD49" s="374">
        <f t="shared" si="17"/>
        <v>1248</v>
      </c>
    </row>
    <row r="50" spans="1:32" ht="23.25">
      <c r="A50" s="687" t="s">
        <v>315</v>
      </c>
      <c r="B50" s="688"/>
      <c r="C50" s="689"/>
      <c r="D50" s="466"/>
      <c r="E50" s="378">
        <f t="shared" ref="E50:K50" si="18">E51+E52</f>
        <v>38121.800000000003</v>
      </c>
      <c r="F50" s="378">
        <f t="shared" si="18"/>
        <v>15461.8</v>
      </c>
      <c r="G50" s="378">
        <f t="shared" si="18"/>
        <v>22660</v>
      </c>
      <c r="H50" s="378">
        <f t="shared" si="18"/>
        <v>0</v>
      </c>
      <c r="I50" s="378">
        <f t="shared" si="18"/>
        <v>0</v>
      </c>
      <c r="J50" s="378">
        <f>J52+J51</f>
        <v>11573.1</v>
      </c>
      <c r="K50" s="378">
        <f t="shared" si="18"/>
        <v>8009.1</v>
      </c>
      <c r="L50" s="378">
        <f>SUM(L35,L36:L48)</f>
        <v>3564</v>
      </c>
      <c r="M50" s="378">
        <f>SUM(M35,M36:M48)</f>
        <v>0</v>
      </c>
      <c r="N50" s="378">
        <f>SUM(N35,N36:N48)</f>
        <v>0</v>
      </c>
      <c r="O50" s="378">
        <f>O51+O52</f>
        <v>7008</v>
      </c>
      <c r="P50" s="378">
        <f>P51+P52</f>
        <v>7008</v>
      </c>
      <c r="Q50" s="378">
        <f>SUM(Q35,Q36:Q48)</f>
        <v>0</v>
      </c>
      <c r="R50" s="378">
        <f>SUM(R35,R36:R48)</f>
        <v>0</v>
      </c>
      <c r="S50" s="378">
        <f>SUM(S35,S36:S48)</f>
        <v>0</v>
      </c>
      <c r="T50" s="378">
        <f>T51+T52</f>
        <v>6339</v>
      </c>
      <c r="U50" s="378">
        <f>U35+U36+U37+U38+U39+U40+U41+U42+U43+U44+U45+U46+U47+U49</f>
        <v>6339</v>
      </c>
      <c r="V50" s="378">
        <f>SUM(V35,V36:V48)</f>
        <v>0</v>
      </c>
      <c r="W50" s="378">
        <f>SUM(W35,W36:W48)</f>
        <v>0</v>
      </c>
      <c r="X50" s="378">
        <f>SUM(X35,X36:X48)</f>
        <v>0</v>
      </c>
      <c r="Y50" s="378">
        <f>Y51+Y52</f>
        <v>0</v>
      </c>
      <c r="Z50" s="378">
        <f>Z51+Z52</f>
        <v>0</v>
      </c>
      <c r="AA50" s="378">
        <f>SUM(AA35,AA36:AA48)</f>
        <v>0</v>
      </c>
      <c r="AB50" s="378">
        <f>SUM(AB35,AB36:AB48)</f>
        <v>0</v>
      </c>
      <c r="AC50" s="378">
        <f>SUM(AC35,AC36:AC48)</f>
        <v>0</v>
      </c>
      <c r="AD50" s="378">
        <f t="shared" si="17"/>
        <v>63041.9</v>
      </c>
    </row>
    <row r="51" spans="1:32" ht="23.25">
      <c r="A51" s="379" t="s">
        <v>73</v>
      </c>
      <c r="B51" s="379"/>
      <c r="C51" s="494"/>
      <c r="D51" s="497"/>
      <c r="E51" s="472">
        <f t="shared" ref="E51:AC51" si="19">E48</f>
        <v>384.8</v>
      </c>
      <c r="F51" s="472">
        <f t="shared" si="19"/>
        <v>384.8</v>
      </c>
      <c r="G51" s="472">
        <v>0</v>
      </c>
      <c r="H51" s="472">
        <f t="shared" si="19"/>
        <v>0</v>
      </c>
      <c r="I51" s="472">
        <f t="shared" si="19"/>
        <v>0</v>
      </c>
      <c r="J51" s="472">
        <f t="shared" si="19"/>
        <v>362.1</v>
      </c>
      <c r="K51" s="472">
        <f t="shared" si="19"/>
        <v>362.1</v>
      </c>
      <c r="L51" s="472">
        <f t="shared" si="19"/>
        <v>0</v>
      </c>
      <c r="M51" s="472">
        <f t="shared" si="19"/>
        <v>0</v>
      </c>
      <c r="N51" s="472">
        <f t="shared" si="19"/>
        <v>0</v>
      </c>
      <c r="O51" s="472">
        <f t="shared" si="19"/>
        <v>379</v>
      </c>
      <c r="P51" s="472">
        <f t="shared" si="19"/>
        <v>379</v>
      </c>
      <c r="Q51" s="472">
        <f t="shared" si="19"/>
        <v>0</v>
      </c>
      <c r="R51" s="472">
        <f t="shared" si="19"/>
        <v>0</v>
      </c>
      <c r="S51" s="472">
        <f t="shared" si="19"/>
        <v>0</v>
      </c>
      <c r="T51" s="472">
        <f t="shared" si="19"/>
        <v>0</v>
      </c>
      <c r="U51" s="472">
        <f t="shared" si="19"/>
        <v>0</v>
      </c>
      <c r="V51" s="472">
        <f t="shared" si="19"/>
        <v>0</v>
      </c>
      <c r="W51" s="472">
        <f t="shared" si="19"/>
        <v>0</v>
      </c>
      <c r="X51" s="472">
        <f t="shared" si="19"/>
        <v>0</v>
      </c>
      <c r="Y51" s="472">
        <f t="shared" si="19"/>
        <v>0</v>
      </c>
      <c r="Z51" s="472">
        <f t="shared" si="19"/>
        <v>0</v>
      </c>
      <c r="AA51" s="472">
        <f t="shared" si="19"/>
        <v>0</v>
      </c>
      <c r="AB51" s="472">
        <f t="shared" si="19"/>
        <v>0</v>
      </c>
      <c r="AC51" s="472">
        <f t="shared" si="19"/>
        <v>0</v>
      </c>
      <c r="AD51" s="473">
        <f t="shared" si="17"/>
        <v>1125.9000000000001</v>
      </c>
    </row>
    <row r="52" spans="1:32" ht="23.25">
      <c r="A52" s="379" t="s">
        <v>135</v>
      </c>
      <c r="B52" s="379"/>
      <c r="C52" s="494"/>
      <c r="D52" s="497"/>
      <c r="E52" s="374">
        <f>E35+E36+E37+E38+E39+E40+E41+E42+E43+E44+E45+E46+E47+E49</f>
        <v>37737</v>
      </c>
      <c r="F52" s="374">
        <f>F35+F36+F37+F38+F39+F40+F41+F42+F43+F44+F45+F46+F47+F49</f>
        <v>15077</v>
      </c>
      <c r="G52" s="374">
        <v>22660</v>
      </c>
      <c r="H52" s="374">
        <f>0</f>
        <v>0</v>
      </c>
      <c r="I52" s="374">
        <v>0</v>
      </c>
      <c r="J52" s="374">
        <f>J35+J36+J37+J38+J39+J40+J41+J42+J43+J44+J45+J46+J47+J49</f>
        <v>11211</v>
      </c>
      <c r="K52" s="374">
        <f>K35+K36+K37+K38+K39+K40+K41+K42+K43+K44+K45+K46+K47+K49</f>
        <v>7647</v>
      </c>
      <c r="L52" s="374">
        <v>0</v>
      </c>
      <c r="M52" s="374">
        <v>0</v>
      </c>
      <c r="N52" s="374">
        <v>0</v>
      </c>
      <c r="O52" s="374">
        <f>O35+O36+O37+O38+O39+O40+O42+O41+O43+O44+O45+O46+O47+O49</f>
        <v>6629</v>
      </c>
      <c r="P52" s="374">
        <f>P35+P36+P37+P38+P39+P40+P41+P42+P43+P44+P45+P46+P47+P49</f>
        <v>6629</v>
      </c>
      <c r="Q52" s="374">
        <v>0</v>
      </c>
      <c r="R52" s="374">
        <v>0</v>
      </c>
      <c r="S52" s="374">
        <v>0</v>
      </c>
      <c r="T52" s="374">
        <f>T35+T36+T37+T38+T39+T40+T41+T42+T43+T44+T45+T46+T47+T49</f>
        <v>6339</v>
      </c>
      <c r="U52" s="374">
        <f>U35+U36+U37+U38+U39+U40+U41+U42+U43+U44+U45+U46+U47+U49</f>
        <v>6339</v>
      </c>
      <c r="V52" s="374">
        <v>0</v>
      </c>
      <c r="W52" s="374">
        <v>0</v>
      </c>
      <c r="X52" s="374">
        <v>0</v>
      </c>
      <c r="Y52" s="374">
        <f>Y35+Y36+Y37+Y38+Y39+Y40+Y41+Y42+Y43+Y44+Y45+Y46+Y47+Y49</f>
        <v>0</v>
      </c>
      <c r="Z52" s="374">
        <f>Z35+Z36+Z37+Z38+Z39+Z40+Z41+Z42+Z43+Z44+Z45+Z46+Z47+Z49</f>
        <v>0</v>
      </c>
      <c r="AA52" s="374">
        <v>0</v>
      </c>
      <c r="AB52" s="374">
        <v>0</v>
      </c>
      <c r="AC52" s="374">
        <v>0</v>
      </c>
      <c r="AD52" s="374">
        <f t="shared" si="17"/>
        <v>61916</v>
      </c>
    </row>
    <row r="53" spans="1:32" ht="23.25" customHeight="1">
      <c r="A53" s="384" t="s">
        <v>223</v>
      </c>
      <c r="B53" s="690" t="s">
        <v>324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2"/>
    </row>
    <row r="54" spans="1:32" ht="63" customHeight="1">
      <c r="A54" s="369" t="s">
        <v>27</v>
      </c>
      <c r="B54" s="376" t="s">
        <v>120</v>
      </c>
      <c r="C54" s="384" t="s">
        <v>94</v>
      </c>
      <c r="D54" s="384" t="s">
        <v>93</v>
      </c>
      <c r="E54" s="374">
        <f>F54+G54+H54+I54</f>
        <v>700</v>
      </c>
      <c r="F54" s="374">
        <f>700</f>
        <v>700</v>
      </c>
      <c r="G54" s="374">
        <v>0</v>
      </c>
      <c r="H54" s="374">
        <v>0</v>
      </c>
      <c r="I54" s="374">
        <v>0</v>
      </c>
      <c r="J54" s="374">
        <f>K54+L54+M54+N54</f>
        <v>498</v>
      </c>
      <c r="K54" s="374">
        <f>600-102</f>
        <v>498</v>
      </c>
      <c r="L54" s="374">
        <v>0</v>
      </c>
      <c r="M54" s="374">
        <v>0</v>
      </c>
      <c r="N54" s="374">
        <v>0</v>
      </c>
      <c r="O54" s="334">
        <f>P54+Q54+R54+S54</f>
        <v>554</v>
      </c>
      <c r="P54" s="334">
        <f>600-46</f>
        <v>554</v>
      </c>
      <c r="Q54" s="374">
        <v>0</v>
      </c>
      <c r="R54" s="374">
        <v>0</v>
      </c>
      <c r="S54" s="374">
        <v>0</v>
      </c>
      <c r="T54" s="374">
        <f>U54+V54+W54+X54</f>
        <v>555</v>
      </c>
      <c r="U54" s="374">
        <v>555</v>
      </c>
      <c r="V54" s="374">
        <v>0</v>
      </c>
      <c r="W54" s="374">
        <v>0</v>
      </c>
      <c r="X54" s="374">
        <v>0</v>
      </c>
      <c r="Y54" s="374">
        <f>Z54+AA54+AB54+AC54</f>
        <v>0</v>
      </c>
      <c r="Z54" s="374">
        <v>0</v>
      </c>
      <c r="AA54" s="374">
        <v>0</v>
      </c>
      <c r="AB54" s="374">
        <v>0</v>
      </c>
      <c r="AC54" s="374">
        <v>0</v>
      </c>
      <c r="AD54" s="374">
        <f>E54+J54+O54+T54+Y54</f>
        <v>2307</v>
      </c>
    </row>
    <row r="55" spans="1:32" ht="23.25">
      <c r="A55" s="687" t="s">
        <v>316</v>
      </c>
      <c r="B55" s="688"/>
      <c r="C55" s="689"/>
      <c r="D55" s="466"/>
      <c r="E55" s="378">
        <f t="shared" ref="E55:AD55" si="20">SUM(E54:E54)</f>
        <v>700</v>
      </c>
      <c r="F55" s="378">
        <f>SUM(F54)</f>
        <v>700</v>
      </c>
      <c r="G55" s="378">
        <f t="shared" si="20"/>
        <v>0</v>
      </c>
      <c r="H55" s="378">
        <f t="shared" si="20"/>
        <v>0</v>
      </c>
      <c r="I55" s="378">
        <f t="shared" si="20"/>
        <v>0</v>
      </c>
      <c r="J55" s="378">
        <f>J54</f>
        <v>498</v>
      </c>
      <c r="K55" s="378">
        <f t="shared" si="20"/>
        <v>498</v>
      </c>
      <c r="L55" s="378">
        <f t="shared" si="20"/>
        <v>0</v>
      </c>
      <c r="M55" s="378">
        <f t="shared" si="20"/>
        <v>0</v>
      </c>
      <c r="N55" s="378">
        <f t="shared" si="20"/>
        <v>0</v>
      </c>
      <c r="O55" s="378">
        <f t="shared" si="20"/>
        <v>554</v>
      </c>
      <c r="P55" s="378">
        <f t="shared" si="20"/>
        <v>554</v>
      </c>
      <c r="Q55" s="378">
        <f t="shared" si="20"/>
        <v>0</v>
      </c>
      <c r="R55" s="378">
        <f t="shared" si="20"/>
        <v>0</v>
      </c>
      <c r="S55" s="378">
        <f t="shared" si="20"/>
        <v>0</v>
      </c>
      <c r="T55" s="378">
        <f t="shared" si="20"/>
        <v>555</v>
      </c>
      <c r="U55" s="378">
        <f t="shared" si="20"/>
        <v>555</v>
      </c>
      <c r="V55" s="378">
        <f t="shared" si="20"/>
        <v>0</v>
      </c>
      <c r="W55" s="378">
        <f t="shared" si="20"/>
        <v>0</v>
      </c>
      <c r="X55" s="378">
        <f t="shared" si="20"/>
        <v>0</v>
      </c>
      <c r="Y55" s="378">
        <f t="shared" si="20"/>
        <v>0</v>
      </c>
      <c r="Z55" s="378">
        <f t="shared" si="20"/>
        <v>0</v>
      </c>
      <c r="AA55" s="378">
        <f t="shared" si="20"/>
        <v>0</v>
      </c>
      <c r="AB55" s="378">
        <f t="shared" si="20"/>
        <v>0</v>
      </c>
      <c r="AC55" s="378">
        <f t="shared" si="20"/>
        <v>0</v>
      </c>
      <c r="AD55" s="378">
        <f t="shared" si="20"/>
        <v>2307</v>
      </c>
    </row>
    <row r="56" spans="1:32" ht="23.25" customHeight="1">
      <c r="A56" s="384" t="s">
        <v>249</v>
      </c>
      <c r="B56" s="690" t="s">
        <v>325</v>
      </c>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2"/>
    </row>
    <row r="57" spans="1:32" ht="111" customHeight="1">
      <c r="A57" s="702" t="s">
        <v>46</v>
      </c>
      <c r="B57" s="704" t="s">
        <v>291</v>
      </c>
      <c r="C57" s="384" t="s">
        <v>285</v>
      </c>
      <c r="D57" s="474">
        <v>2020</v>
      </c>
      <c r="E57" s="374">
        <f>F57+G57+H57+I57</f>
        <v>1449</v>
      </c>
      <c r="F57" s="374">
        <f>1656-207</f>
        <v>1449</v>
      </c>
      <c r="G57" s="374">
        <v>0</v>
      </c>
      <c r="H57" s="374">
        <v>0</v>
      </c>
      <c r="I57" s="374">
        <v>0</v>
      </c>
      <c r="J57" s="374">
        <f>K57+L57+M57+N57</f>
        <v>0</v>
      </c>
      <c r="K57" s="374">
        <v>0</v>
      </c>
      <c r="L57" s="374">
        <v>0</v>
      </c>
      <c r="M57" s="374">
        <v>0</v>
      </c>
      <c r="N57" s="374">
        <v>0</v>
      </c>
      <c r="O57" s="374">
        <f>P57+Q57+R57+S57</f>
        <v>0</v>
      </c>
      <c r="P57" s="374">
        <v>0</v>
      </c>
      <c r="Q57" s="374">
        <v>0</v>
      </c>
      <c r="R57" s="374">
        <v>0</v>
      </c>
      <c r="S57" s="374">
        <v>0</v>
      </c>
      <c r="T57" s="374">
        <f t="shared" ref="T57:T59" si="21">U57+V57+W57+X57</f>
        <v>0</v>
      </c>
      <c r="U57" s="374">
        <v>0</v>
      </c>
      <c r="V57" s="374">
        <v>0</v>
      </c>
      <c r="W57" s="374">
        <v>0</v>
      </c>
      <c r="X57" s="374">
        <v>0</v>
      </c>
      <c r="Y57" s="374">
        <f>Z57+AA57+AB57+AC57</f>
        <v>0</v>
      </c>
      <c r="Z57" s="374">
        <v>0</v>
      </c>
      <c r="AA57" s="374">
        <v>0</v>
      </c>
      <c r="AB57" s="374">
        <v>0</v>
      </c>
      <c r="AC57" s="374">
        <v>0</v>
      </c>
      <c r="AD57" s="374">
        <f>E57+I57+O57+T57+0</f>
        <v>1449</v>
      </c>
    </row>
    <row r="58" spans="1:32" ht="76.5" customHeight="1">
      <c r="A58" s="703"/>
      <c r="B58" s="705"/>
      <c r="C58" s="384" t="s">
        <v>286</v>
      </c>
      <c r="D58" s="474" t="s">
        <v>284</v>
      </c>
      <c r="E58" s="374">
        <f>F58+G58+H58+I58</f>
        <v>0</v>
      </c>
      <c r="F58" s="374">
        <v>0</v>
      </c>
      <c r="G58" s="374">
        <v>0</v>
      </c>
      <c r="H58" s="374">
        <v>0</v>
      </c>
      <c r="I58" s="374">
        <v>0</v>
      </c>
      <c r="J58" s="374">
        <f>K58+L58+M58+N58</f>
        <v>850</v>
      </c>
      <c r="K58" s="374">
        <f>1437-237-350</f>
        <v>850</v>
      </c>
      <c r="L58" s="374">
        <v>0</v>
      </c>
      <c r="M58" s="374">
        <v>0</v>
      </c>
      <c r="N58" s="374">
        <v>0</v>
      </c>
      <c r="O58" s="334">
        <f>P58+Q58+R58+S58</f>
        <v>997</v>
      </c>
      <c r="P58" s="334">
        <f>1437-175-3-262</f>
        <v>997</v>
      </c>
      <c r="Q58" s="374">
        <v>0</v>
      </c>
      <c r="R58" s="374">
        <v>0</v>
      </c>
      <c r="S58" s="374">
        <v>0</v>
      </c>
      <c r="T58" s="374">
        <f t="shared" si="21"/>
        <v>2022</v>
      </c>
      <c r="U58" s="374">
        <v>2022</v>
      </c>
      <c r="V58" s="374">
        <v>0</v>
      </c>
      <c r="W58" s="374">
        <v>0</v>
      </c>
      <c r="X58" s="374">
        <v>0</v>
      </c>
      <c r="Y58" s="374">
        <f>Z58+AA58+AB58+AC58</f>
        <v>2022</v>
      </c>
      <c r="Z58" s="374">
        <v>2022</v>
      </c>
      <c r="AA58" s="374">
        <v>0</v>
      </c>
      <c r="AB58" s="374">
        <v>0</v>
      </c>
      <c r="AC58" s="374">
        <v>0</v>
      </c>
      <c r="AD58" s="374">
        <f>E58+J58+O58+T58+Y58</f>
        <v>5891</v>
      </c>
    </row>
    <row r="59" spans="1:32" ht="69.75">
      <c r="A59" s="369" t="s">
        <v>251</v>
      </c>
      <c r="B59" s="376" t="s">
        <v>292</v>
      </c>
      <c r="C59" s="384" t="s">
        <v>52</v>
      </c>
      <c r="D59" s="384" t="s">
        <v>93</v>
      </c>
      <c r="E59" s="374">
        <f>F59+G59+H59+I59</f>
        <v>55</v>
      </c>
      <c r="F59" s="374">
        <f>86-31</f>
        <v>55</v>
      </c>
      <c r="G59" s="374">
        <v>0</v>
      </c>
      <c r="H59" s="374">
        <v>0</v>
      </c>
      <c r="I59" s="374">
        <v>0</v>
      </c>
      <c r="J59" s="374">
        <f>K59+L59+M59+N59</f>
        <v>60.5</v>
      </c>
      <c r="K59" s="374">
        <f>70-9.5</f>
        <v>60.5</v>
      </c>
      <c r="L59" s="374">
        <v>0</v>
      </c>
      <c r="M59" s="374">
        <v>0</v>
      </c>
      <c r="N59" s="374">
        <v>0</v>
      </c>
      <c r="O59" s="334">
        <f>P59+Q59+R59+S59</f>
        <v>134.19999999999999</v>
      </c>
      <c r="P59" s="334">
        <f>153-18.8</f>
        <v>134.19999999999999</v>
      </c>
      <c r="Q59" s="374">
        <v>0</v>
      </c>
      <c r="R59" s="374">
        <v>0</v>
      </c>
      <c r="S59" s="374">
        <v>0</v>
      </c>
      <c r="T59" s="374">
        <f t="shared" si="21"/>
        <v>146</v>
      </c>
      <c r="U59" s="374">
        <v>146</v>
      </c>
      <c r="V59" s="374">
        <v>0</v>
      </c>
      <c r="W59" s="374">
        <v>0</v>
      </c>
      <c r="X59" s="374">
        <v>0</v>
      </c>
      <c r="Y59" s="374">
        <f>Z59+AA59+AB59+AC59</f>
        <v>146</v>
      </c>
      <c r="Z59" s="374">
        <v>146</v>
      </c>
      <c r="AA59" s="374">
        <v>0</v>
      </c>
      <c r="AB59" s="374">
        <v>0</v>
      </c>
      <c r="AC59" s="374">
        <v>0</v>
      </c>
      <c r="AD59" s="374">
        <f>E59+J59+O59+T59+Y59</f>
        <v>541.70000000000005</v>
      </c>
    </row>
    <row r="60" spans="1:32" ht="23.25">
      <c r="A60" s="379" t="s">
        <v>73</v>
      </c>
      <c r="B60" s="379"/>
      <c r="C60" s="494"/>
      <c r="D60" s="466"/>
      <c r="E60" s="374">
        <f>E59</f>
        <v>55</v>
      </c>
      <c r="F60" s="374">
        <f>F59</f>
        <v>55</v>
      </c>
      <c r="G60" s="374">
        <v>0</v>
      </c>
      <c r="H60" s="374">
        <v>0</v>
      </c>
      <c r="I60" s="374">
        <v>0</v>
      </c>
      <c r="J60" s="374">
        <f>K60+L60+M60+N60</f>
        <v>910.5</v>
      </c>
      <c r="K60" s="374">
        <f>K58+K59</f>
        <v>910.5</v>
      </c>
      <c r="L60" s="374">
        <v>0</v>
      </c>
      <c r="M60" s="374">
        <v>0</v>
      </c>
      <c r="N60" s="374">
        <v>0</v>
      </c>
      <c r="O60" s="374">
        <f>P60+Q60+R60+S60</f>
        <v>1131.2</v>
      </c>
      <c r="P60" s="374">
        <f>P58+P59</f>
        <v>1131.2</v>
      </c>
      <c r="Q60" s="374">
        <v>0</v>
      </c>
      <c r="R60" s="374">
        <v>0</v>
      </c>
      <c r="S60" s="374">
        <v>0</v>
      </c>
      <c r="T60" s="374">
        <f>T58+T59</f>
        <v>2168</v>
      </c>
      <c r="U60" s="374">
        <f>U58+U59</f>
        <v>2168</v>
      </c>
      <c r="V60" s="374">
        <v>0</v>
      </c>
      <c r="W60" s="374">
        <v>0</v>
      </c>
      <c r="X60" s="374">
        <v>0</v>
      </c>
      <c r="Y60" s="374">
        <f>Y58+Y59</f>
        <v>2168</v>
      </c>
      <c r="Z60" s="374">
        <f>Z58+Z59</f>
        <v>2168</v>
      </c>
      <c r="AA60" s="374">
        <v>0</v>
      </c>
      <c r="AB60" s="374">
        <v>0</v>
      </c>
      <c r="AC60" s="374">
        <v>0</v>
      </c>
      <c r="AD60" s="374">
        <f>AD58+AD59</f>
        <v>6432.7</v>
      </c>
    </row>
    <row r="61" spans="1:32" ht="23.25">
      <c r="A61" s="379" t="s">
        <v>135</v>
      </c>
      <c r="B61" s="379"/>
      <c r="C61" s="494"/>
      <c r="D61" s="466"/>
      <c r="E61" s="374">
        <f>F61+G61+H61+I61</f>
        <v>1449</v>
      </c>
      <c r="F61" s="374">
        <f>F57</f>
        <v>1449</v>
      </c>
      <c r="G61" s="374">
        <v>0</v>
      </c>
      <c r="H61" s="374">
        <v>0</v>
      </c>
      <c r="I61" s="374">
        <v>0</v>
      </c>
      <c r="J61" s="374">
        <v>0</v>
      </c>
      <c r="K61" s="374">
        <v>0</v>
      </c>
      <c r="L61" s="374">
        <v>0</v>
      </c>
      <c r="M61" s="374">
        <v>0</v>
      </c>
      <c r="N61" s="374">
        <v>0</v>
      </c>
      <c r="O61" s="374">
        <v>0</v>
      </c>
      <c r="P61" s="374">
        <v>0</v>
      </c>
      <c r="Q61" s="374">
        <v>0</v>
      </c>
      <c r="R61" s="374">
        <v>0</v>
      </c>
      <c r="S61" s="374">
        <v>0</v>
      </c>
      <c r="T61" s="374">
        <v>0</v>
      </c>
      <c r="U61" s="374">
        <v>0</v>
      </c>
      <c r="V61" s="374">
        <v>0</v>
      </c>
      <c r="W61" s="374">
        <v>0</v>
      </c>
      <c r="X61" s="374">
        <v>0</v>
      </c>
      <c r="Y61" s="374">
        <v>0</v>
      </c>
      <c r="Z61" s="374">
        <v>0</v>
      </c>
      <c r="AA61" s="374">
        <v>0</v>
      </c>
      <c r="AB61" s="374">
        <v>0</v>
      </c>
      <c r="AC61" s="374">
        <v>0</v>
      </c>
      <c r="AD61" s="374">
        <f>AD57</f>
        <v>1449</v>
      </c>
    </row>
    <row r="62" spans="1:32" s="468" customFormat="1" ht="22.5">
      <c r="A62" s="475"/>
      <c r="B62" s="475" t="s">
        <v>303</v>
      </c>
      <c r="C62" s="476"/>
      <c r="D62" s="477"/>
      <c r="E62" s="378">
        <f>F62+G62+H62+I62</f>
        <v>1504</v>
      </c>
      <c r="F62" s="378">
        <f>F60+F61</f>
        <v>1504</v>
      </c>
      <c r="G62" s="378">
        <v>0</v>
      </c>
      <c r="H62" s="378">
        <v>0</v>
      </c>
      <c r="I62" s="378">
        <v>0</v>
      </c>
      <c r="J62" s="378">
        <f>K62+L62+M62+N62</f>
        <v>910.5</v>
      </c>
      <c r="K62" s="378">
        <f>K60+K61</f>
        <v>910.5</v>
      </c>
      <c r="L62" s="378">
        <v>0</v>
      </c>
      <c r="M62" s="378">
        <v>0</v>
      </c>
      <c r="N62" s="378">
        <v>0</v>
      </c>
      <c r="O62" s="378">
        <f>P62+Q62+R62+S62</f>
        <v>1131.2</v>
      </c>
      <c r="P62" s="378">
        <f>P60+P61</f>
        <v>1131.2</v>
      </c>
      <c r="Q62" s="378">
        <v>0</v>
      </c>
      <c r="R62" s="378">
        <v>0</v>
      </c>
      <c r="S62" s="378">
        <v>0</v>
      </c>
      <c r="T62" s="378">
        <f>U62+V62+W62+X62</f>
        <v>2168</v>
      </c>
      <c r="U62" s="378">
        <f>U60+U61</f>
        <v>2168</v>
      </c>
      <c r="V62" s="378">
        <v>0</v>
      </c>
      <c r="W62" s="378">
        <v>0</v>
      </c>
      <c r="X62" s="378">
        <v>0</v>
      </c>
      <c r="Y62" s="378">
        <f>Z62+AA62+AB62+AC62</f>
        <v>2168</v>
      </c>
      <c r="Z62" s="378">
        <f>Z60+Z61</f>
        <v>2168</v>
      </c>
      <c r="AA62" s="378">
        <v>0</v>
      </c>
      <c r="AB62" s="378">
        <v>0</v>
      </c>
      <c r="AC62" s="378">
        <v>0</v>
      </c>
      <c r="AD62" s="378">
        <f>E62+J62+O62+T62+Y62</f>
        <v>7881.7</v>
      </c>
    </row>
    <row r="63" spans="1:32" ht="23.25">
      <c r="A63" s="384" t="s">
        <v>224</v>
      </c>
      <c r="B63" s="690" t="s">
        <v>326</v>
      </c>
      <c r="C63" s="691"/>
      <c r="D63" s="691"/>
      <c r="E63" s="691"/>
      <c r="F63" s="691"/>
      <c r="G63" s="691"/>
      <c r="H63" s="691"/>
      <c r="I63" s="691"/>
      <c r="J63" s="691"/>
      <c r="K63" s="691"/>
      <c r="L63" s="691"/>
      <c r="M63" s="691"/>
      <c r="N63" s="691"/>
      <c r="O63" s="691"/>
      <c r="P63" s="691"/>
      <c r="Q63" s="691"/>
      <c r="R63" s="691"/>
      <c r="S63" s="691"/>
      <c r="T63" s="691"/>
      <c r="U63" s="691"/>
      <c r="V63" s="691"/>
      <c r="W63" s="691"/>
      <c r="X63" s="691"/>
      <c r="Y63" s="691"/>
      <c r="Z63" s="691"/>
      <c r="AA63" s="691"/>
      <c r="AB63" s="691"/>
      <c r="AC63" s="691"/>
      <c r="AD63" s="692"/>
    </row>
    <row r="64" spans="1:32" ht="87.75" customHeight="1">
      <c r="A64" s="369" t="s">
        <v>48</v>
      </c>
      <c r="B64" s="370" t="s">
        <v>108</v>
      </c>
      <c r="C64" s="384" t="s">
        <v>94</v>
      </c>
      <c r="D64" s="384" t="s">
        <v>93</v>
      </c>
      <c r="E64" s="374">
        <f>F64+G64+H64+I64</f>
        <v>766</v>
      </c>
      <c r="F64" s="374">
        <f>409+357</f>
        <v>766</v>
      </c>
      <c r="G64" s="374">
        <v>0</v>
      </c>
      <c r="H64" s="374">
        <v>0</v>
      </c>
      <c r="I64" s="374">
        <v>0</v>
      </c>
      <c r="J64" s="374">
        <f>K64+L64+M64+N64</f>
        <v>628</v>
      </c>
      <c r="K64" s="374">
        <f>655-27</f>
        <v>628</v>
      </c>
      <c r="L64" s="374">
        <v>0</v>
      </c>
      <c r="M64" s="374">
        <v>0</v>
      </c>
      <c r="N64" s="374">
        <v>0</v>
      </c>
      <c r="O64" s="334">
        <f>P64+Q64+R64+S64</f>
        <v>508.79999999999995</v>
      </c>
      <c r="P64" s="334">
        <f>533-23.2+34-35</f>
        <v>508.79999999999995</v>
      </c>
      <c r="Q64" s="374">
        <v>0</v>
      </c>
      <c r="R64" s="374">
        <v>0</v>
      </c>
      <c r="S64" s="374">
        <v>0</v>
      </c>
      <c r="T64" s="374">
        <f>U64+V64+W64+X64</f>
        <v>503</v>
      </c>
      <c r="U64" s="374">
        <v>503</v>
      </c>
      <c r="V64" s="374">
        <v>0</v>
      </c>
      <c r="W64" s="374">
        <v>0</v>
      </c>
      <c r="X64" s="374">
        <v>0</v>
      </c>
      <c r="Y64" s="374">
        <f>Z64+AA64+AB64+AC64</f>
        <v>0</v>
      </c>
      <c r="Z64" s="374">
        <v>0</v>
      </c>
      <c r="AA64" s="374">
        <v>0</v>
      </c>
      <c r="AB64" s="374">
        <v>0</v>
      </c>
      <c r="AC64" s="374">
        <v>0</v>
      </c>
      <c r="AD64" s="374">
        <f>E64+J64+O64+T64+Y64</f>
        <v>2405.8000000000002</v>
      </c>
      <c r="AF64" s="453" t="s">
        <v>131</v>
      </c>
    </row>
    <row r="65" spans="1:30">
      <c r="A65" s="696" t="s">
        <v>317</v>
      </c>
      <c r="B65" s="697"/>
      <c r="C65" s="698"/>
      <c r="D65" s="466"/>
      <c r="E65" s="378">
        <f t="shared" ref="E65:AD65" si="22">SUM(E64:E64)</f>
        <v>766</v>
      </c>
      <c r="F65" s="378">
        <f>SUM(F64)</f>
        <v>766</v>
      </c>
      <c r="G65" s="378">
        <f t="shared" si="22"/>
        <v>0</v>
      </c>
      <c r="H65" s="378">
        <f t="shared" si="22"/>
        <v>0</v>
      </c>
      <c r="I65" s="378">
        <f t="shared" si="22"/>
        <v>0</v>
      </c>
      <c r="J65" s="378">
        <f>J64</f>
        <v>628</v>
      </c>
      <c r="K65" s="378">
        <f t="shared" si="22"/>
        <v>628</v>
      </c>
      <c r="L65" s="378">
        <f t="shared" si="22"/>
        <v>0</v>
      </c>
      <c r="M65" s="378">
        <f t="shared" si="22"/>
        <v>0</v>
      </c>
      <c r="N65" s="378">
        <f t="shared" si="22"/>
        <v>0</v>
      </c>
      <c r="O65" s="378">
        <f t="shared" si="22"/>
        <v>508.79999999999995</v>
      </c>
      <c r="P65" s="378">
        <f t="shared" si="22"/>
        <v>508.79999999999995</v>
      </c>
      <c r="Q65" s="378">
        <f t="shared" si="22"/>
        <v>0</v>
      </c>
      <c r="R65" s="378">
        <f t="shared" si="22"/>
        <v>0</v>
      </c>
      <c r="S65" s="378">
        <f t="shared" si="22"/>
        <v>0</v>
      </c>
      <c r="T65" s="378">
        <f t="shared" si="22"/>
        <v>503</v>
      </c>
      <c r="U65" s="378">
        <f t="shared" si="22"/>
        <v>503</v>
      </c>
      <c r="V65" s="378">
        <f t="shared" si="22"/>
        <v>0</v>
      </c>
      <c r="W65" s="378">
        <f t="shared" si="22"/>
        <v>0</v>
      </c>
      <c r="X65" s="378">
        <f t="shared" si="22"/>
        <v>0</v>
      </c>
      <c r="Y65" s="378">
        <f t="shared" si="22"/>
        <v>0</v>
      </c>
      <c r="Z65" s="378">
        <f t="shared" si="22"/>
        <v>0</v>
      </c>
      <c r="AA65" s="378">
        <f t="shared" si="22"/>
        <v>0</v>
      </c>
      <c r="AB65" s="378">
        <f t="shared" si="22"/>
        <v>0</v>
      </c>
      <c r="AC65" s="378">
        <f t="shared" si="22"/>
        <v>0</v>
      </c>
      <c r="AD65" s="378">
        <f t="shared" si="22"/>
        <v>2405.8000000000002</v>
      </c>
    </row>
    <row r="66" spans="1:30" ht="23.25">
      <c r="A66" s="466" t="s">
        <v>252</v>
      </c>
      <c r="B66" s="690" t="s">
        <v>253</v>
      </c>
      <c r="C66" s="691"/>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2"/>
    </row>
    <row r="67" spans="1:30" ht="93.75">
      <c r="A67" s="466" t="s">
        <v>50</v>
      </c>
      <c r="B67" s="370" t="s">
        <v>115</v>
      </c>
      <c r="C67" s="384" t="s">
        <v>106</v>
      </c>
      <c r="D67" s="384" t="s">
        <v>93</v>
      </c>
      <c r="E67" s="374">
        <f>F67+G67+H67+I67</f>
        <v>25286</v>
      </c>
      <c r="F67" s="374">
        <f>27786-2500</f>
        <v>25286</v>
      </c>
      <c r="G67" s="374">
        <v>0</v>
      </c>
      <c r="H67" s="374">
        <v>0</v>
      </c>
      <c r="I67" s="374">
        <v>0</v>
      </c>
      <c r="J67" s="374">
        <f>K67+L67+M67+N67</f>
        <v>29781</v>
      </c>
      <c r="K67" s="374">
        <f>40120-110-10229</f>
        <v>29781</v>
      </c>
      <c r="L67" s="374">
        <v>0</v>
      </c>
      <c r="M67" s="374">
        <v>0</v>
      </c>
      <c r="N67" s="374">
        <v>0</v>
      </c>
      <c r="O67" s="334">
        <f>P67+Q67+R67+S67</f>
        <v>26886.400000000001</v>
      </c>
      <c r="P67" s="334">
        <f>29104-2217.6</f>
        <v>26886.400000000001</v>
      </c>
      <c r="Q67" s="374">
        <v>0</v>
      </c>
      <c r="R67" s="374">
        <v>0</v>
      </c>
      <c r="S67" s="374">
        <v>0</v>
      </c>
      <c r="T67" s="374">
        <f>U67+V67+W67+X67</f>
        <v>28982</v>
      </c>
      <c r="U67" s="374">
        <v>28982</v>
      </c>
      <c r="V67" s="374">
        <v>0</v>
      </c>
      <c r="W67" s="374">
        <v>0</v>
      </c>
      <c r="X67" s="374">
        <v>0</v>
      </c>
      <c r="Y67" s="374">
        <f>Z67+AA67+AB67+AC67</f>
        <v>0</v>
      </c>
      <c r="Z67" s="374">
        <v>0</v>
      </c>
      <c r="AA67" s="374">
        <v>0</v>
      </c>
      <c r="AB67" s="374">
        <v>0</v>
      </c>
      <c r="AC67" s="374">
        <v>0</v>
      </c>
      <c r="AD67" s="374">
        <f>E67+J67+O67+T67+Y67</f>
        <v>110935.4</v>
      </c>
    </row>
    <row r="68" spans="1:30" ht="23.25">
      <c r="A68" s="687" t="s">
        <v>318</v>
      </c>
      <c r="B68" s="688"/>
      <c r="C68" s="689"/>
      <c r="D68" s="466"/>
      <c r="E68" s="378">
        <f t="shared" ref="E68:AD68" si="23">SUM(E67:E67)</f>
        <v>25286</v>
      </c>
      <c r="F68" s="378">
        <f>SUM(F67)</f>
        <v>25286</v>
      </c>
      <c r="G68" s="378">
        <f t="shared" si="23"/>
        <v>0</v>
      </c>
      <c r="H68" s="378">
        <f t="shared" si="23"/>
        <v>0</v>
      </c>
      <c r="I68" s="378">
        <f t="shared" si="23"/>
        <v>0</v>
      </c>
      <c r="J68" s="378">
        <f>J67</f>
        <v>29781</v>
      </c>
      <c r="K68" s="378">
        <f t="shared" si="23"/>
        <v>29781</v>
      </c>
      <c r="L68" s="378">
        <f t="shared" si="23"/>
        <v>0</v>
      </c>
      <c r="M68" s="378">
        <f t="shared" si="23"/>
        <v>0</v>
      </c>
      <c r="N68" s="378">
        <f t="shared" si="23"/>
        <v>0</v>
      </c>
      <c r="O68" s="378">
        <f t="shared" si="23"/>
        <v>26886.400000000001</v>
      </c>
      <c r="P68" s="378">
        <f t="shared" si="23"/>
        <v>26886.400000000001</v>
      </c>
      <c r="Q68" s="378">
        <f t="shared" si="23"/>
        <v>0</v>
      </c>
      <c r="R68" s="378">
        <f t="shared" si="23"/>
        <v>0</v>
      </c>
      <c r="S68" s="378">
        <f t="shared" si="23"/>
        <v>0</v>
      </c>
      <c r="T68" s="378">
        <f t="shared" si="23"/>
        <v>28982</v>
      </c>
      <c r="U68" s="378">
        <f t="shared" si="23"/>
        <v>28982</v>
      </c>
      <c r="V68" s="378">
        <f t="shared" si="23"/>
        <v>0</v>
      </c>
      <c r="W68" s="378">
        <f t="shared" si="23"/>
        <v>0</v>
      </c>
      <c r="X68" s="378">
        <f t="shared" si="23"/>
        <v>0</v>
      </c>
      <c r="Y68" s="378">
        <f t="shared" si="23"/>
        <v>0</v>
      </c>
      <c r="Z68" s="378">
        <f t="shared" si="23"/>
        <v>0</v>
      </c>
      <c r="AA68" s="378">
        <f t="shared" si="23"/>
        <v>0</v>
      </c>
      <c r="AB68" s="378">
        <f t="shared" si="23"/>
        <v>0</v>
      </c>
      <c r="AC68" s="378">
        <f t="shared" si="23"/>
        <v>0</v>
      </c>
      <c r="AD68" s="378">
        <f t="shared" si="23"/>
        <v>110935.4</v>
      </c>
    </row>
    <row r="69" spans="1:30" ht="23.25">
      <c r="A69" s="466" t="s">
        <v>254</v>
      </c>
      <c r="B69" s="690" t="s">
        <v>255</v>
      </c>
      <c r="C69" s="691"/>
      <c r="D69" s="691"/>
      <c r="E69" s="691"/>
      <c r="F69" s="691"/>
      <c r="G69" s="691"/>
      <c r="H69" s="691"/>
      <c r="I69" s="691"/>
      <c r="J69" s="691"/>
      <c r="K69" s="691"/>
      <c r="L69" s="691"/>
      <c r="M69" s="691"/>
      <c r="N69" s="691"/>
      <c r="O69" s="691"/>
      <c r="P69" s="691"/>
      <c r="Q69" s="691"/>
      <c r="R69" s="691"/>
      <c r="S69" s="691"/>
      <c r="T69" s="691"/>
      <c r="U69" s="691"/>
      <c r="V69" s="691"/>
      <c r="W69" s="691"/>
      <c r="X69" s="691"/>
      <c r="Y69" s="691"/>
      <c r="Z69" s="691"/>
      <c r="AA69" s="691"/>
      <c r="AB69" s="691"/>
      <c r="AC69" s="691"/>
      <c r="AD69" s="692"/>
    </row>
    <row r="70" spans="1:30" ht="37.5">
      <c r="A70" s="466" t="s">
        <v>55</v>
      </c>
      <c r="B70" s="462" t="s">
        <v>96</v>
      </c>
      <c r="C70" s="384" t="s">
        <v>94</v>
      </c>
      <c r="D70" s="384" t="s">
        <v>93</v>
      </c>
      <c r="E70" s="374">
        <f>F70+G70+H70+I70</f>
        <v>7420</v>
      </c>
      <c r="F70" s="374">
        <f>6486+934</f>
        <v>7420</v>
      </c>
      <c r="G70" s="374">
        <v>0</v>
      </c>
      <c r="H70" s="374">
        <v>0</v>
      </c>
      <c r="I70" s="374">
        <v>0</v>
      </c>
      <c r="J70" s="374">
        <f>K70+L70+M70+N70</f>
        <v>6270</v>
      </c>
      <c r="K70" s="374">
        <f>7350-300-780</f>
        <v>6270</v>
      </c>
      <c r="L70" s="374">
        <v>0</v>
      </c>
      <c r="M70" s="374">
        <v>0</v>
      </c>
      <c r="N70" s="374">
        <v>0</v>
      </c>
      <c r="O70" s="334">
        <f>P70+Q70+R70+S70</f>
        <v>5850</v>
      </c>
      <c r="P70" s="334">
        <f>7050-390-810</f>
        <v>5850</v>
      </c>
      <c r="Q70" s="374">
        <v>0</v>
      </c>
      <c r="R70" s="374">
        <v>0</v>
      </c>
      <c r="S70" s="374">
        <v>0</v>
      </c>
      <c r="T70" s="374">
        <f>U70+V70+W70+X70</f>
        <v>6660</v>
      </c>
      <c r="U70" s="374">
        <v>6660</v>
      </c>
      <c r="V70" s="374">
        <v>0</v>
      </c>
      <c r="W70" s="374">
        <v>0</v>
      </c>
      <c r="X70" s="374">
        <v>0</v>
      </c>
      <c r="Y70" s="374">
        <f>Z70+AA70+AB70+AC70</f>
        <v>0</v>
      </c>
      <c r="Z70" s="374">
        <v>0</v>
      </c>
      <c r="AA70" s="374">
        <v>0</v>
      </c>
      <c r="AB70" s="374">
        <v>0</v>
      </c>
      <c r="AC70" s="374">
        <v>0</v>
      </c>
      <c r="AD70" s="374">
        <f>E70+J70+O70+T70+Y70</f>
        <v>26200</v>
      </c>
    </row>
    <row r="71" spans="1:30" ht="46.5">
      <c r="A71" s="466" t="s">
        <v>256</v>
      </c>
      <c r="B71" s="370" t="s">
        <v>209</v>
      </c>
      <c r="C71" s="384" t="s">
        <v>94</v>
      </c>
      <c r="D71" s="384" t="s">
        <v>93</v>
      </c>
      <c r="E71" s="374">
        <f>SUM(F71:I71)</f>
        <v>681</v>
      </c>
      <c r="F71" s="374">
        <v>681</v>
      </c>
      <c r="G71" s="374">
        <v>0</v>
      </c>
      <c r="H71" s="374">
        <v>0</v>
      </c>
      <c r="I71" s="374">
        <v>0</v>
      </c>
      <c r="J71" s="374">
        <f>K71+L71+M71+N71</f>
        <v>558</v>
      </c>
      <c r="K71" s="374">
        <f>684-126</f>
        <v>558</v>
      </c>
      <c r="L71" s="374">
        <v>0</v>
      </c>
      <c r="M71" s="374">
        <v>0</v>
      </c>
      <c r="N71" s="374">
        <v>0</v>
      </c>
      <c r="O71" s="334">
        <f>P71+Q71+R71+S71</f>
        <v>498</v>
      </c>
      <c r="P71" s="334">
        <f>612-54-60</f>
        <v>498</v>
      </c>
      <c r="Q71" s="374">
        <v>0</v>
      </c>
      <c r="R71" s="374">
        <v>0</v>
      </c>
      <c r="S71" s="374">
        <v>0</v>
      </c>
      <c r="T71" s="374">
        <f>U71+V71+W71+X71</f>
        <v>540</v>
      </c>
      <c r="U71" s="374">
        <v>540</v>
      </c>
      <c r="V71" s="374">
        <v>0</v>
      </c>
      <c r="W71" s="374">
        <v>0</v>
      </c>
      <c r="X71" s="374">
        <v>0</v>
      </c>
      <c r="Y71" s="374">
        <f>Z71+AA71+AB71+AC71</f>
        <v>0</v>
      </c>
      <c r="Z71" s="374">
        <v>0</v>
      </c>
      <c r="AA71" s="374">
        <v>0</v>
      </c>
      <c r="AB71" s="374">
        <v>0</v>
      </c>
      <c r="AC71" s="374">
        <v>0</v>
      </c>
      <c r="AD71" s="374">
        <f>E71+J71+O71+T71+Y71</f>
        <v>2277</v>
      </c>
    </row>
    <row r="72" spans="1:30" ht="116.25">
      <c r="A72" s="466" t="s">
        <v>257</v>
      </c>
      <c r="B72" s="370" t="s">
        <v>271</v>
      </c>
      <c r="C72" s="384" t="s">
        <v>266</v>
      </c>
      <c r="D72" s="384">
        <v>2020</v>
      </c>
      <c r="E72" s="374">
        <f>F72+G72+H72+I72</f>
        <v>774</v>
      </c>
      <c r="F72" s="374">
        <v>774</v>
      </c>
      <c r="G72" s="374">
        <v>0</v>
      </c>
      <c r="H72" s="374">
        <v>0</v>
      </c>
      <c r="I72" s="374">
        <v>0</v>
      </c>
      <c r="J72" s="374">
        <f>K72+L72+M72+N72</f>
        <v>350</v>
      </c>
      <c r="K72" s="374">
        <v>350</v>
      </c>
      <c r="L72" s="374">
        <v>0</v>
      </c>
      <c r="M72" s="374">
        <v>0</v>
      </c>
      <c r="N72" s="374">
        <v>0</v>
      </c>
      <c r="O72" s="374">
        <f>P72+Q72+R72+S72</f>
        <v>360</v>
      </c>
      <c r="P72" s="374">
        <v>360</v>
      </c>
      <c r="Q72" s="374">
        <v>0</v>
      </c>
      <c r="R72" s="374">
        <v>0</v>
      </c>
      <c r="S72" s="374">
        <v>0</v>
      </c>
      <c r="T72" s="374">
        <f>U72+V72+W72+X72</f>
        <v>360</v>
      </c>
      <c r="U72" s="374">
        <v>360</v>
      </c>
      <c r="V72" s="374">
        <v>0</v>
      </c>
      <c r="W72" s="374">
        <v>0</v>
      </c>
      <c r="X72" s="374">
        <v>0</v>
      </c>
      <c r="Y72" s="374">
        <f>Z72+AA72+AB72+AC72</f>
        <v>0</v>
      </c>
      <c r="Z72" s="374">
        <v>0</v>
      </c>
      <c r="AA72" s="374">
        <v>0</v>
      </c>
      <c r="AB72" s="374">
        <v>0</v>
      </c>
      <c r="AC72" s="374">
        <v>0</v>
      </c>
      <c r="AD72" s="374">
        <f>E72+J72+O72+T72+Y72</f>
        <v>1844</v>
      </c>
    </row>
    <row r="73" spans="1:30" ht="23.25">
      <c r="A73" s="687" t="s">
        <v>322</v>
      </c>
      <c r="B73" s="688"/>
      <c r="C73" s="689"/>
      <c r="D73" s="466"/>
      <c r="E73" s="378">
        <f>E70+E71+E72</f>
        <v>8875</v>
      </c>
      <c r="F73" s="378">
        <f>F70+F71+F72</f>
        <v>8875</v>
      </c>
      <c r="G73" s="378">
        <f>SUM(G70:G70)</f>
        <v>0</v>
      </c>
      <c r="H73" s="378">
        <f>SUM(H70:H70)</f>
        <v>0</v>
      </c>
      <c r="I73" s="378">
        <f>SUM(I70:I70)</f>
        <v>0</v>
      </c>
      <c r="J73" s="378">
        <f>J70+J71+J72</f>
        <v>7178</v>
      </c>
      <c r="K73" s="378">
        <f>K70+K71+K72</f>
        <v>7178</v>
      </c>
      <c r="L73" s="378">
        <f>SUM(L70:L70)</f>
        <v>0</v>
      </c>
      <c r="M73" s="378">
        <f>SUM(M70:M70)</f>
        <v>0</v>
      </c>
      <c r="N73" s="378">
        <f>SUM(N70:N70)</f>
        <v>0</v>
      </c>
      <c r="O73" s="378">
        <f>O70+O71+O72</f>
        <v>6708</v>
      </c>
      <c r="P73" s="378">
        <f>P70+P71+P72</f>
        <v>6708</v>
      </c>
      <c r="Q73" s="378">
        <f>SUM(Q70:Q70)</f>
        <v>0</v>
      </c>
      <c r="R73" s="378">
        <f>SUM(R70:R70)</f>
        <v>0</v>
      </c>
      <c r="S73" s="378">
        <f>SUM(S70:S70)</f>
        <v>0</v>
      </c>
      <c r="T73" s="378">
        <f>T70+T71+T72</f>
        <v>7560</v>
      </c>
      <c r="U73" s="378">
        <f>U70+U71+U72</f>
        <v>7560</v>
      </c>
      <c r="V73" s="378">
        <f>SUM(V70:V70)</f>
        <v>0</v>
      </c>
      <c r="W73" s="378">
        <f>SUM(W70:W70)</f>
        <v>0</v>
      </c>
      <c r="X73" s="378">
        <f>SUM(X70:X70)</f>
        <v>0</v>
      </c>
      <c r="Y73" s="378">
        <f>Y70+Y71+Y72</f>
        <v>0</v>
      </c>
      <c r="Z73" s="378">
        <f>Z70+Z71+Z72</f>
        <v>0</v>
      </c>
      <c r="AA73" s="378">
        <f>SUM(AA70:AA70)</f>
        <v>0</v>
      </c>
      <c r="AB73" s="378">
        <f>SUM(AB70:AB70)</f>
        <v>0</v>
      </c>
      <c r="AC73" s="378">
        <f>SUM(AC70:AC70)</f>
        <v>0</v>
      </c>
      <c r="AD73" s="378">
        <f>SUM(AD70:AD72)</f>
        <v>30321</v>
      </c>
    </row>
    <row r="74" spans="1:30" ht="23.25">
      <c r="A74" s="379" t="s">
        <v>135</v>
      </c>
      <c r="B74" s="379"/>
      <c r="C74" s="494"/>
      <c r="D74" s="497"/>
      <c r="E74" s="472">
        <f>E70+E71+E72</f>
        <v>8875</v>
      </c>
      <c r="F74" s="472">
        <f>F70+F71+F72</f>
        <v>8875</v>
      </c>
      <c r="G74" s="472">
        <v>0</v>
      </c>
      <c r="H74" s="472">
        <v>0</v>
      </c>
      <c r="I74" s="472">
        <v>0</v>
      </c>
      <c r="J74" s="472">
        <f>J70+J71+J72</f>
        <v>7178</v>
      </c>
      <c r="K74" s="472">
        <f>K70+K71+K72</f>
        <v>7178</v>
      </c>
      <c r="L74" s="472">
        <v>0</v>
      </c>
      <c r="M74" s="472">
        <v>0</v>
      </c>
      <c r="N74" s="472">
        <v>0</v>
      </c>
      <c r="O74" s="472">
        <f>O73</f>
        <v>6708</v>
      </c>
      <c r="P74" s="472">
        <f>P70+P71+P72</f>
        <v>6708</v>
      </c>
      <c r="Q74" s="472">
        <v>0</v>
      </c>
      <c r="R74" s="472">
        <v>0</v>
      </c>
      <c r="S74" s="472">
        <v>0</v>
      </c>
      <c r="T74" s="472">
        <f>T70+T71+T72</f>
        <v>7560</v>
      </c>
      <c r="U74" s="472">
        <f>U70+U71+U72</f>
        <v>7560</v>
      </c>
      <c r="V74" s="472">
        <v>0</v>
      </c>
      <c r="W74" s="472">
        <v>0</v>
      </c>
      <c r="X74" s="472">
        <v>0</v>
      </c>
      <c r="Y74" s="472">
        <f>Y70+Y71+Y72</f>
        <v>0</v>
      </c>
      <c r="Z74" s="472">
        <f>Z70+Z71+Z72</f>
        <v>0</v>
      </c>
      <c r="AA74" s="472">
        <v>0</v>
      </c>
      <c r="AB74" s="472">
        <v>0</v>
      </c>
      <c r="AC74" s="472">
        <v>0</v>
      </c>
      <c r="AD74" s="473">
        <f>AD73</f>
        <v>30321</v>
      </c>
    </row>
    <row r="75" spans="1:30" ht="23.25">
      <c r="A75" s="466" t="s">
        <v>97</v>
      </c>
      <c r="B75" s="690" t="s">
        <v>258</v>
      </c>
      <c r="C75" s="691"/>
      <c r="D75" s="691"/>
      <c r="E75" s="691"/>
      <c r="F75" s="691"/>
      <c r="G75" s="691"/>
      <c r="H75" s="691"/>
      <c r="I75" s="691"/>
      <c r="J75" s="691"/>
      <c r="K75" s="691"/>
      <c r="L75" s="691"/>
      <c r="M75" s="691"/>
      <c r="N75" s="691"/>
      <c r="O75" s="691"/>
      <c r="P75" s="691"/>
      <c r="Q75" s="691"/>
      <c r="R75" s="691"/>
      <c r="S75" s="691"/>
      <c r="T75" s="691"/>
      <c r="U75" s="691"/>
      <c r="V75" s="691"/>
      <c r="W75" s="691"/>
      <c r="X75" s="691"/>
      <c r="Y75" s="691"/>
      <c r="Z75" s="691"/>
      <c r="AA75" s="691"/>
      <c r="AB75" s="691"/>
      <c r="AC75" s="691"/>
      <c r="AD75" s="692"/>
    </row>
    <row r="76" spans="1:30" ht="116.25">
      <c r="A76" s="478" t="s">
        <v>57</v>
      </c>
      <c r="B76" s="462" t="s">
        <v>290</v>
      </c>
      <c r="C76" s="384" t="s">
        <v>73</v>
      </c>
      <c r="D76" s="384" t="s">
        <v>93</v>
      </c>
      <c r="E76" s="374">
        <f xml:space="preserve"> SUM(F76:I76)</f>
        <v>136.19999999999999</v>
      </c>
      <c r="F76" s="374">
        <f>74.6+61.6</f>
        <v>136.19999999999999</v>
      </c>
      <c r="G76" s="374">
        <v>0</v>
      </c>
      <c r="H76" s="374">
        <v>0</v>
      </c>
      <c r="I76" s="374">
        <v>0</v>
      </c>
      <c r="J76" s="374">
        <f xml:space="preserve"> SUM(K76:N76)</f>
        <v>137.5</v>
      </c>
      <c r="K76" s="374">
        <f>142-4.5</f>
        <v>137.5</v>
      </c>
      <c r="L76" s="374">
        <v>0</v>
      </c>
      <c r="M76" s="374">
        <v>0</v>
      </c>
      <c r="N76" s="374">
        <v>0</v>
      </c>
      <c r="O76" s="334">
        <f xml:space="preserve"> SUM(P76:S76)</f>
        <v>139</v>
      </c>
      <c r="P76" s="334">
        <f>142-3</f>
        <v>139</v>
      </c>
      <c r="Q76" s="374">
        <v>0</v>
      </c>
      <c r="R76" s="374">
        <v>0</v>
      </c>
      <c r="S76" s="374">
        <v>0</v>
      </c>
      <c r="T76" s="374">
        <f xml:space="preserve"> SUM(U76:X76)</f>
        <v>142</v>
      </c>
      <c r="U76" s="374">
        <v>142</v>
      </c>
      <c r="V76" s="374">
        <v>0</v>
      </c>
      <c r="W76" s="374">
        <v>0</v>
      </c>
      <c r="X76" s="374">
        <v>0</v>
      </c>
      <c r="Y76" s="374">
        <f xml:space="preserve"> SUM(Z76:AC76)</f>
        <v>142</v>
      </c>
      <c r="Z76" s="374">
        <v>142</v>
      </c>
      <c r="AA76" s="374">
        <v>0</v>
      </c>
      <c r="AB76" s="374">
        <v>0</v>
      </c>
      <c r="AC76" s="374">
        <v>0</v>
      </c>
      <c r="AD76" s="374">
        <f>E76+J76+O76+T76+Y76</f>
        <v>696.7</v>
      </c>
    </row>
    <row r="77" spans="1:30" ht="23.25">
      <c r="A77" s="687" t="s">
        <v>321</v>
      </c>
      <c r="B77" s="688"/>
      <c r="C77" s="689"/>
      <c r="D77" s="466"/>
      <c r="E77" s="378">
        <f>E76</f>
        <v>136.19999999999999</v>
      </c>
      <c r="F77" s="378">
        <f>F76</f>
        <v>136.19999999999999</v>
      </c>
      <c r="G77" s="378">
        <v>0</v>
      </c>
      <c r="H77" s="378">
        <v>0</v>
      </c>
      <c r="I77" s="378">
        <v>0</v>
      </c>
      <c r="J77" s="378">
        <f t="shared" ref="J77:AC77" si="24">J76</f>
        <v>137.5</v>
      </c>
      <c r="K77" s="378">
        <f t="shared" si="24"/>
        <v>137.5</v>
      </c>
      <c r="L77" s="378">
        <f t="shared" si="24"/>
        <v>0</v>
      </c>
      <c r="M77" s="378">
        <f t="shared" si="24"/>
        <v>0</v>
      </c>
      <c r="N77" s="378">
        <f t="shared" si="24"/>
        <v>0</v>
      </c>
      <c r="O77" s="378">
        <f t="shared" si="24"/>
        <v>139</v>
      </c>
      <c r="P77" s="378">
        <f t="shared" si="24"/>
        <v>139</v>
      </c>
      <c r="Q77" s="378">
        <f t="shared" si="24"/>
        <v>0</v>
      </c>
      <c r="R77" s="378">
        <f t="shared" si="24"/>
        <v>0</v>
      </c>
      <c r="S77" s="378">
        <f t="shared" si="24"/>
        <v>0</v>
      </c>
      <c r="T77" s="378">
        <f t="shared" si="24"/>
        <v>142</v>
      </c>
      <c r="U77" s="378">
        <f t="shared" si="24"/>
        <v>142</v>
      </c>
      <c r="V77" s="378">
        <f t="shared" si="24"/>
        <v>0</v>
      </c>
      <c r="W77" s="378">
        <f t="shared" si="24"/>
        <v>0</v>
      </c>
      <c r="X77" s="378">
        <f t="shared" si="24"/>
        <v>0</v>
      </c>
      <c r="Y77" s="378">
        <f t="shared" si="24"/>
        <v>142</v>
      </c>
      <c r="Z77" s="378">
        <f t="shared" si="24"/>
        <v>142</v>
      </c>
      <c r="AA77" s="378">
        <f t="shared" si="24"/>
        <v>0</v>
      </c>
      <c r="AB77" s="378">
        <f t="shared" si="24"/>
        <v>0</v>
      </c>
      <c r="AC77" s="378">
        <f t="shared" si="24"/>
        <v>0</v>
      </c>
      <c r="AD77" s="378">
        <f>E77+J77+O77+T77+Y77</f>
        <v>696.7</v>
      </c>
    </row>
    <row r="78" spans="1:30" ht="23.25">
      <c r="A78" s="496">
        <v>10</v>
      </c>
      <c r="B78" s="699" t="s">
        <v>259</v>
      </c>
      <c r="C78" s="700"/>
      <c r="D78" s="700"/>
      <c r="E78" s="700"/>
      <c r="F78" s="700"/>
      <c r="G78" s="700"/>
      <c r="H78" s="700"/>
      <c r="I78" s="700"/>
      <c r="J78" s="700"/>
      <c r="K78" s="700"/>
      <c r="L78" s="700"/>
      <c r="M78" s="700"/>
      <c r="N78" s="700"/>
      <c r="O78" s="700"/>
      <c r="P78" s="700"/>
      <c r="Q78" s="700"/>
      <c r="R78" s="700"/>
      <c r="S78" s="700"/>
      <c r="T78" s="700"/>
      <c r="U78" s="700"/>
      <c r="V78" s="700"/>
      <c r="W78" s="700"/>
      <c r="X78" s="700"/>
      <c r="Y78" s="700"/>
      <c r="Z78" s="700"/>
      <c r="AA78" s="700"/>
      <c r="AB78" s="700"/>
      <c r="AC78" s="700"/>
      <c r="AD78" s="701"/>
    </row>
    <row r="79" spans="1:30" ht="93">
      <c r="A79" s="479" t="s">
        <v>59</v>
      </c>
      <c r="B79" s="462" t="s">
        <v>186</v>
      </c>
      <c r="C79" s="502" t="s">
        <v>107</v>
      </c>
      <c r="D79" s="384" t="s">
        <v>93</v>
      </c>
      <c r="E79" s="481">
        <v>500</v>
      </c>
      <c r="F79" s="481">
        <v>500</v>
      </c>
      <c r="G79" s="481">
        <v>0</v>
      </c>
      <c r="H79" s="481">
        <v>0</v>
      </c>
      <c r="I79" s="481">
        <v>0</v>
      </c>
      <c r="J79" s="481">
        <f>K79+L79+M79+N79</f>
        <v>12</v>
      </c>
      <c r="K79" s="481">
        <f>24-12</f>
        <v>12</v>
      </c>
      <c r="L79" s="481">
        <v>0</v>
      </c>
      <c r="M79" s="481">
        <v>0</v>
      </c>
      <c r="N79" s="481">
        <v>0</v>
      </c>
      <c r="O79" s="481">
        <v>0</v>
      </c>
      <c r="P79" s="481">
        <v>0</v>
      </c>
      <c r="Q79" s="481">
        <v>0</v>
      </c>
      <c r="R79" s="481">
        <v>0</v>
      </c>
      <c r="S79" s="481">
        <v>0</v>
      </c>
      <c r="T79" s="481">
        <f t="shared" ref="T79:T81" si="25">U79+V79+W79+X79</f>
        <v>0</v>
      </c>
      <c r="U79" s="481">
        <v>0</v>
      </c>
      <c r="V79" s="481">
        <v>0</v>
      </c>
      <c r="W79" s="481">
        <v>0</v>
      </c>
      <c r="X79" s="481">
        <v>0</v>
      </c>
      <c r="Y79" s="481">
        <f>Z79+AA79+AB79+AC79</f>
        <v>0</v>
      </c>
      <c r="Z79" s="481">
        <v>0</v>
      </c>
      <c r="AA79" s="481">
        <v>0</v>
      </c>
      <c r="AB79" s="481">
        <v>0</v>
      </c>
      <c r="AC79" s="481">
        <v>0</v>
      </c>
      <c r="AD79" s="481">
        <f>E79+J79+O79+T79+Y79</f>
        <v>512</v>
      </c>
    </row>
    <row r="80" spans="1:30" ht="75">
      <c r="A80" s="479" t="s">
        <v>98</v>
      </c>
      <c r="B80" s="370" t="s">
        <v>159</v>
      </c>
      <c r="C80" s="482" t="s">
        <v>107</v>
      </c>
      <c r="D80" s="384" t="s">
        <v>93</v>
      </c>
      <c r="E80" s="481">
        <v>2880</v>
      </c>
      <c r="F80" s="481">
        <v>2880</v>
      </c>
      <c r="G80" s="481">
        <v>0</v>
      </c>
      <c r="H80" s="481">
        <v>0</v>
      </c>
      <c r="I80" s="481">
        <v>0</v>
      </c>
      <c r="J80" s="481">
        <f>K80+L80+M80+N80</f>
        <v>2730</v>
      </c>
      <c r="K80" s="481">
        <f>2880-150</f>
        <v>2730</v>
      </c>
      <c r="L80" s="481">
        <v>0</v>
      </c>
      <c r="M80" s="481">
        <v>0</v>
      </c>
      <c r="N80" s="481">
        <v>0</v>
      </c>
      <c r="O80" s="481">
        <v>0</v>
      </c>
      <c r="P80" s="481">
        <v>0</v>
      </c>
      <c r="Q80" s="481">
        <v>0</v>
      </c>
      <c r="R80" s="481">
        <v>0</v>
      </c>
      <c r="S80" s="481">
        <v>0</v>
      </c>
      <c r="T80" s="481">
        <f t="shared" si="25"/>
        <v>0</v>
      </c>
      <c r="U80" s="481">
        <v>0</v>
      </c>
      <c r="V80" s="481">
        <v>0</v>
      </c>
      <c r="W80" s="481">
        <v>0</v>
      </c>
      <c r="X80" s="481">
        <v>0</v>
      </c>
      <c r="Y80" s="481">
        <f>Z80+AA80+AB80+AC80</f>
        <v>0</v>
      </c>
      <c r="Z80" s="481">
        <v>0</v>
      </c>
      <c r="AA80" s="481">
        <v>0</v>
      </c>
      <c r="AB80" s="481">
        <v>0</v>
      </c>
      <c r="AC80" s="481">
        <v>0</v>
      </c>
      <c r="AD80" s="481">
        <f>E80+J80+O80+T80+Y80</f>
        <v>5610</v>
      </c>
    </row>
    <row r="81" spans="1:31" ht="23.25">
      <c r="A81" s="687" t="s">
        <v>320</v>
      </c>
      <c r="B81" s="688"/>
      <c r="C81" s="689"/>
      <c r="D81" s="479"/>
      <c r="E81" s="483">
        <f>E79+E80</f>
        <v>3380</v>
      </c>
      <c r="F81" s="483">
        <f>SUM(F79:F80)</f>
        <v>3380</v>
      </c>
      <c r="G81" s="483">
        <f>G79</f>
        <v>0</v>
      </c>
      <c r="H81" s="483">
        <f>I79</f>
        <v>0</v>
      </c>
      <c r="I81" s="483">
        <f t="shared" ref="I81:V81" si="26">I79</f>
        <v>0</v>
      </c>
      <c r="J81" s="483">
        <f>K81+L81+M81+N81</f>
        <v>2742</v>
      </c>
      <c r="K81" s="483">
        <f>K79+K80</f>
        <v>2742</v>
      </c>
      <c r="L81" s="483">
        <f t="shared" si="26"/>
        <v>0</v>
      </c>
      <c r="M81" s="483">
        <f t="shared" si="26"/>
        <v>0</v>
      </c>
      <c r="N81" s="483">
        <f t="shared" si="26"/>
        <v>0</v>
      </c>
      <c r="O81" s="483">
        <f t="shared" ref="O81" si="27">P81+Q81+R81+S81</f>
        <v>0</v>
      </c>
      <c r="P81" s="483">
        <f>P79+P80</f>
        <v>0</v>
      </c>
      <c r="Q81" s="483">
        <f t="shared" si="26"/>
        <v>0</v>
      </c>
      <c r="R81" s="483">
        <f t="shared" si="26"/>
        <v>0</v>
      </c>
      <c r="S81" s="483">
        <f t="shared" si="26"/>
        <v>0</v>
      </c>
      <c r="T81" s="483">
        <f t="shared" si="25"/>
        <v>0</v>
      </c>
      <c r="U81" s="483">
        <f>T79+T80</f>
        <v>0</v>
      </c>
      <c r="V81" s="483">
        <f t="shared" si="26"/>
        <v>0</v>
      </c>
      <c r="W81" s="483">
        <f>V79</f>
        <v>0</v>
      </c>
      <c r="X81" s="483">
        <f t="shared" ref="X81:AC81" si="28">X79</f>
        <v>0</v>
      </c>
      <c r="Y81" s="483">
        <f>Z81+AA81+AB81+AC81</f>
        <v>0</v>
      </c>
      <c r="Z81" s="483">
        <f>Z79+Z80</f>
        <v>0</v>
      </c>
      <c r="AA81" s="483">
        <f t="shared" si="28"/>
        <v>0</v>
      </c>
      <c r="AB81" s="483">
        <f t="shared" si="28"/>
        <v>0</v>
      </c>
      <c r="AC81" s="483">
        <f t="shared" si="28"/>
        <v>0</v>
      </c>
      <c r="AD81" s="483">
        <f>E81+J81+O81+T81+Y81</f>
        <v>6122</v>
      </c>
    </row>
    <row r="82" spans="1:31" ht="23.25">
      <c r="A82" s="493">
        <v>11</v>
      </c>
      <c r="B82" s="494" t="s">
        <v>311</v>
      </c>
      <c r="C82" s="495"/>
      <c r="D82" s="479"/>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row>
    <row r="83" spans="1:31" ht="46.5">
      <c r="A83" s="484" t="s">
        <v>62</v>
      </c>
      <c r="B83" s="485" t="s">
        <v>312</v>
      </c>
      <c r="C83" s="495"/>
      <c r="D83" s="479">
        <v>2022</v>
      </c>
      <c r="E83" s="483">
        <v>0</v>
      </c>
      <c r="F83" s="483">
        <v>0</v>
      </c>
      <c r="G83" s="483">
        <v>0</v>
      </c>
      <c r="H83" s="483">
        <v>0</v>
      </c>
      <c r="I83" s="483">
        <v>0</v>
      </c>
      <c r="J83" s="483">
        <v>0</v>
      </c>
      <c r="K83" s="483">
        <v>0</v>
      </c>
      <c r="L83" s="483">
        <v>0</v>
      </c>
      <c r="M83" s="483">
        <v>0</v>
      </c>
      <c r="N83" s="483">
        <v>0</v>
      </c>
      <c r="O83" s="483">
        <f>P83+Q83+R83+S83</f>
        <v>4256</v>
      </c>
      <c r="P83" s="483">
        <v>4256</v>
      </c>
      <c r="Q83" s="483">
        <v>0</v>
      </c>
      <c r="R83" s="483">
        <v>0</v>
      </c>
      <c r="S83" s="483">
        <v>0</v>
      </c>
      <c r="T83" s="483">
        <v>0</v>
      </c>
      <c r="U83" s="483">
        <v>0</v>
      </c>
      <c r="V83" s="483">
        <v>0</v>
      </c>
      <c r="W83" s="483">
        <v>0</v>
      </c>
      <c r="X83" s="483">
        <v>0</v>
      </c>
      <c r="Y83" s="483">
        <v>0</v>
      </c>
      <c r="Z83" s="483">
        <v>0</v>
      </c>
      <c r="AA83" s="483">
        <v>0</v>
      </c>
      <c r="AB83" s="483">
        <v>0</v>
      </c>
      <c r="AC83" s="483">
        <v>0</v>
      </c>
      <c r="AD83" s="483">
        <f>E83+J83+O83+T83+Y83</f>
        <v>4256</v>
      </c>
    </row>
    <row r="84" spans="1:31" ht="23.25">
      <c r="A84" s="687" t="s">
        <v>319</v>
      </c>
      <c r="B84" s="688"/>
      <c r="C84" s="689"/>
      <c r="D84" s="479"/>
      <c r="E84" s="483">
        <v>0</v>
      </c>
      <c r="F84" s="483">
        <v>0</v>
      </c>
      <c r="G84" s="483">
        <v>0</v>
      </c>
      <c r="H84" s="483">
        <v>0</v>
      </c>
      <c r="I84" s="483">
        <v>0</v>
      </c>
      <c r="J84" s="483">
        <v>0</v>
      </c>
      <c r="K84" s="483">
        <v>0</v>
      </c>
      <c r="L84" s="483">
        <v>0</v>
      </c>
      <c r="M84" s="483">
        <v>0</v>
      </c>
      <c r="N84" s="483">
        <v>0</v>
      </c>
      <c r="O84" s="483">
        <f>O83</f>
        <v>4256</v>
      </c>
      <c r="P84" s="483">
        <f>P83</f>
        <v>4256</v>
      </c>
      <c r="Q84" s="483">
        <v>0</v>
      </c>
      <c r="R84" s="483">
        <v>0</v>
      </c>
      <c r="S84" s="483">
        <v>0</v>
      </c>
      <c r="T84" s="483">
        <v>0</v>
      </c>
      <c r="U84" s="483">
        <v>0</v>
      </c>
      <c r="V84" s="483">
        <v>0</v>
      </c>
      <c r="W84" s="483">
        <v>0</v>
      </c>
      <c r="X84" s="483">
        <v>0</v>
      </c>
      <c r="Y84" s="483">
        <v>0</v>
      </c>
      <c r="Z84" s="483">
        <v>0</v>
      </c>
      <c r="AA84" s="483">
        <v>0</v>
      </c>
      <c r="AB84" s="483">
        <v>0</v>
      </c>
      <c r="AC84" s="483">
        <v>0</v>
      </c>
      <c r="AD84" s="483">
        <f>AD83</f>
        <v>4256</v>
      </c>
      <c r="AE84" s="453">
        <v>0</v>
      </c>
    </row>
    <row r="85" spans="1:31" ht="23.25">
      <c r="A85" s="693" t="s">
        <v>304</v>
      </c>
      <c r="B85" s="694"/>
      <c r="C85" s="695"/>
      <c r="D85" s="479"/>
      <c r="E85" s="483">
        <f>F85+G85+H85+I85</f>
        <v>157092.37000000002</v>
      </c>
      <c r="F85" s="483">
        <f>F27+F33+F50+F55+F62+F65+F68+F73+F77+F81</f>
        <v>108956.7</v>
      </c>
      <c r="G85" s="483">
        <f>G27+G33+G50+G55+G62+G65+G68+G73+G77+G81</f>
        <v>45966</v>
      </c>
      <c r="H85" s="483">
        <f>H27+H33+H50+H55+H62+H65+H68+H73+H77+H81</f>
        <v>0</v>
      </c>
      <c r="I85" s="483">
        <f>I27+I33+I50+I55+I62+I65+I68+I73+I77+I81</f>
        <v>2169.67</v>
      </c>
      <c r="J85" s="483">
        <f>K85+L85+M85+N85</f>
        <v>121069.1</v>
      </c>
      <c r="K85" s="483">
        <f>K27+K33+K50+K55+K62+K65+K68+K73+K77+K81</f>
        <v>94437.1</v>
      </c>
      <c r="L85" s="483">
        <f>L27+L33+L50+L55+L62+L65+L68+L73+L77+L81</f>
        <v>26632</v>
      </c>
      <c r="M85" s="483">
        <f>M27+M33+M50+M55+M62+M65+M68+M73+M77+M81</f>
        <v>0</v>
      </c>
      <c r="N85" s="483">
        <f>N27+N33+N50+N55+N62+N65+N68+N73+N77+N81</f>
        <v>0</v>
      </c>
      <c r="O85" s="483">
        <f>P85+Q85+R85+S85</f>
        <v>118235.92</v>
      </c>
      <c r="P85" s="483">
        <f>P27+P33+P50+P55+P62+P65+P68+P73+P77+P81+P83</f>
        <v>90760.4</v>
      </c>
      <c r="Q85" s="483">
        <f>Q27+Q33+Q50+Q55+Q62+Q65+Q68+Q73+Q77+Q81</f>
        <v>27475.52</v>
      </c>
      <c r="R85" s="483">
        <f>R27+R33+R50+R55+R62+R65+R68+R73+R77+R81</f>
        <v>0</v>
      </c>
      <c r="S85" s="483">
        <f>S27+S33+S50+S55+S62+S65+S68+S73+S77+S81</f>
        <v>0</v>
      </c>
      <c r="T85" s="483">
        <f>U85+V85</f>
        <v>127256</v>
      </c>
      <c r="U85" s="483">
        <f>U27+U33+U50+U55+U62+U65+U68+U73+U77+U81+U84</f>
        <v>99162</v>
      </c>
      <c r="V85" s="483">
        <f>V27+V33+V50+V55+V62+V65+V68+V73+V77+V81</f>
        <v>28094</v>
      </c>
      <c r="W85" s="483">
        <f>W27+W33+W50+W55+W62+W65+W68+W73+W77+W81</f>
        <v>0</v>
      </c>
      <c r="X85" s="483">
        <f>X27+X33+X50+X55+X62+X65+X68+X73+X77+X81</f>
        <v>0</v>
      </c>
      <c r="Y85" s="483">
        <f>Z85+AA85+AB85+AC85</f>
        <v>29690</v>
      </c>
      <c r="Z85" s="483">
        <f>Z27+Z33+Z50+Z55+Z62+Z65+Z68+Z73+Z77+Z81</f>
        <v>2310</v>
      </c>
      <c r="AA85" s="483">
        <f>AA27+AA33+AA50+AA55+AA62+AA65+AA68+AA73+AA77+AA81</f>
        <v>27380</v>
      </c>
      <c r="AB85" s="483">
        <f>AB27+AB33+AB50+AB55+AB62+AB65+AB68+AB73+AB77+AB81</f>
        <v>0</v>
      </c>
      <c r="AC85" s="483">
        <f>AC27+AC33+AC50+AC55+AC62+AC65+AC68+AC73+AC77+AC81</f>
        <v>0</v>
      </c>
      <c r="AD85" s="483">
        <f>E85+J85+O85+T85+Y85</f>
        <v>553343.39</v>
      </c>
    </row>
    <row r="86" spans="1:31">
      <c r="C86" s="452">
        <v>2020</v>
      </c>
      <c r="E86" s="486"/>
    </row>
    <row r="87" spans="1:31" ht="225">
      <c r="A87" s="487" t="s">
        <v>201</v>
      </c>
      <c r="B87" s="488"/>
      <c r="C87" s="486"/>
      <c r="F87" s="486"/>
      <c r="J87" s="486"/>
      <c r="N87" s="452" t="s">
        <v>137</v>
      </c>
      <c r="O87" s="486">
        <f>O24+O25+O51+O62+O77</f>
        <v>29124.720000000001</v>
      </c>
      <c r="T87" s="486"/>
      <c r="Y87" s="486"/>
      <c r="AC87" s="486"/>
    </row>
    <row r="88" spans="1:31">
      <c r="B88" s="488"/>
      <c r="C88" s="486"/>
      <c r="J88" s="486"/>
      <c r="N88" s="452" t="s">
        <v>327</v>
      </c>
      <c r="O88" s="486">
        <f>O28</f>
        <v>27273</v>
      </c>
      <c r="T88" s="486"/>
      <c r="Y88" s="486"/>
      <c r="AC88" s="486"/>
    </row>
    <row r="89" spans="1:31">
      <c r="B89" s="488"/>
      <c r="C89" s="486"/>
      <c r="J89" s="486"/>
      <c r="N89" s="452" t="s">
        <v>328</v>
      </c>
      <c r="O89" s="486">
        <f>O29+O33+O52+O55+O65+O68+O74+O84</f>
        <v>61838.2</v>
      </c>
      <c r="T89" s="486"/>
      <c r="Y89" s="486"/>
      <c r="AC89" s="486"/>
    </row>
    <row r="90" spans="1:31">
      <c r="C90" s="486"/>
      <c r="J90" s="486"/>
      <c r="O90" s="486">
        <f>O87+O88+O89</f>
        <v>118235.92</v>
      </c>
      <c r="T90" s="486"/>
      <c r="Y90" s="486"/>
      <c r="AC90" s="486"/>
    </row>
    <row r="91" spans="1:31">
      <c r="B91" s="488"/>
      <c r="C91" s="486"/>
      <c r="J91" s="486"/>
      <c r="K91" s="486"/>
      <c r="O91" s="486"/>
      <c r="T91" s="486"/>
      <c r="Y91" s="486"/>
      <c r="AC91" s="486"/>
    </row>
    <row r="92" spans="1:31">
      <c r="J92" s="486"/>
      <c r="O92" s="486"/>
      <c r="T92" s="486"/>
      <c r="Y92" s="486"/>
      <c r="AC92" s="486"/>
    </row>
    <row r="93" spans="1:31">
      <c r="C93" s="486"/>
      <c r="J93" s="486"/>
      <c r="O93" s="486"/>
      <c r="T93" s="486"/>
      <c r="Y93" s="486"/>
    </row>
    <row r="95" spans="1:31">
      <c r="B95" s="488"/>
      <c r="C95" s="486"/>
    </row>
    <row r="96" spans="1:31">
      <c r="B96" s="489"/>
      <c r="C96" s="486"/>
      <c r="E96" s="486"/>
      <c r="H96" s="486"/>
      <c r="T96" s="486"/>
    </row>
    <row r="97" spans="2:29">
      <c r="B97" s="489"/>
      <c r="C97" s="486"/>
    </row>
    <row r="98" spans="2:29">
      <c r="C98" s="486"/>
      <c r="AC98" s="486"/>
    </row>
    <row r="99" spans="2:29">
      <c r="C99" s="486"/>
    </row>
    <row r="100" spans="2:29">
      <c r="B100" s="486"/>
    </row>
    <row r="102" spans="2:29">
      <c r="Y102" s="490"/>
    </row>
    <row r="105" spans="2:29">
      <c r="D105" s="490"/>
      <c r="E105" s="490"/>
    </row>
    <row r="106" spans="2:29">
      <c r="D106" s="490"/>
      <c r="E106" s="490"/>
    </row>
    <row r="111" spans="2:29">
      <c r="D111" s="486"/>
    </row>
  </sheetData>
  <mergeCells count="41">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A57:A58"/>
    <mergeCell ref="B57:B58"/>
    <mergeCell ref="C13:C14"/>
    <mergeCell ref="A27:C27"/>
    <mergeCell ref="B31:AD31"/>
    <mergeCell ref="A33:C33"/>
    <mergeCell ref="B34:AD34"/>
    <mergeCell ref="C38:C39"/>
    <mergeCell ref="C41:C45"/>
    <mergeCell ref="A50:C50"/>
    <mergeCell ref="B53:AD53"/>
    <mergeCell ref="A55:C55"/>
    <mergeCell ref="B56:AD56"/>
    <mergeCell ref="A85:C85"/>
    <mergeCell ref="B63:AD63"/>
    <mergeCell ref="A65:C65"/>
    <mergeCell ref="B66:AD66"/>
    <mergeCell ref="A68:C68"/>
    <mergeCell ref="B69:AD69"/>
    <mergeCell ref="A73:C73"/>
    <mergeCell ref="B75:AD75"/>
    <mergeCell ref="A77:C77"/>
    <mergeCell ref="B78:AD78"/>
    <mergeCell ref="A81:C81"/>
    <mergeCell ref="A84:C84"/>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dimension ref="A1:AF111"/>
  <sheetViews>
    <sheetView tabSelected="1" view="pageBreakPreview" zoomScale="60" zoomScaleNormal="50" workbookViewId="0">
      <pane xSplit="2" ySplit="14" topLeftCell="C15" activePane="bottomRight" state="frozen"/>
      <selection pane="topRight" activeCell="C1" sqref="C1"/>
      <selection pane="bottomLeft" activeCell="A15" sqref="A15"/>
      <selection pane="bottomRight" activeCell="U60" sqref="U60"/>
    </sheetView>
  </sheetViews>
  <sheetFormatPr defaultRowHeight="18.75"/>
  <cols>
    <col min="1" max="1" width="6.140625" style="515" customWidth="1"/>
    <col min="2" max="2" width="205.7109375" style="452" customWidth="1"/>
    <col min="3" max="3" width="42.42578125" style="452" customWidth="1"/>
    <col min="4" max="4" width="23.5703125" style="452" customWidth="1"/>
    <col min="5" max="5" width="21.28515625" style="452" customWidth="1"/>
    <col min="6" max="6" width="22.42578125" style="452" customWidth="1"/>
    <col min="7" max="7" width="16.140625" style="452" customWidth="1"/>
    <col min="8" max="9" width="16.85546875" style="452" customWidth="1"/>
    <col min="10" max="10" width="21.140625" style="452" customWidth="1"/>
    <col min="11" max="11" width="18.140625" style="452" customWidth="1"/>
    <col min="12" max="12" width="15" style="452" customWidth="1"/>
    <col min="13" max="13" width="14.7109375" style="452" customWidth="1"/>
    <col min="14" max="14" width="14.28515625" style="452" customWidth="1"/>
    <col min="15" max="15" width="17.140625" style="452" customWidth="1"/>
    <col min="16" max="16" width="18.7109375" style="452" customWidth="1"/>
    <col min="17" max="17" width="17.28515625" style="452" customWidth="1"/>
    <col min="18" max="18" width="19" style="452" customWidth="1"/>
    <col min="19" max="19" width="13" style="452" customWidth="1"/>
    <col min="20" max="20" width="16.42578125" style="452" customWidth="1"/>
    <col min="21" max="21" width="12.7109375" style="452" customWidth="1"/>
    <col min="22" max="22" width="11.85546875" style="452" customWidth="1"/>
    <col min="23" max="23" width="11.7109375" style="452" customWidth="1"/>
    <col min="24" max="24" width="10.28515625" style="452" customWidth="1"/>
    <col min="25" max="25" width="18" style="452" customWidth="1"/>
    <col min="26" max="26" width="14.5703125" style="452" customWidth="1"/>
    <col min="27" max="27" width="13" style="452" customWidth="1"/>
    <col min="28" max="28" width="12.7109375" style="452" customWidth="1"/>
    <col min="29" max="29" width="14.28515625" style="452" customWidth="1"/>
    <col min="30" max="30" width="17.7109375" style="452" customWidth="1"/>
    <col min="31" max="16384" width="9.140625" style="453"/>
  </cols>
  <sheetData>
    <row r="1" spans="1:30">
      <c r="Z1" s="452" t="s">
        <v>260</v>
      </c>
    </row>
    <row r="2" spans="1:30">
      <c r="Z2" s="452" t="s">
        <v>261</v>
      </c>
    </row>
    <row r="3" spans="1:30">
      <c r="L3" s="513"/>
      <c r="M3" s="513"/>
      <c r="N3" s="513"/>
      <c r="O3" s="513"/>
      <c r="P3" s="513"/>
      <c r="Q3" s="513"/>
      <c r="R3" s="513"/>
      <c r="S3" s="513"/>
      <c r="T3" s="513"/>
      <c r="U3" s="513"/>
      <c r="V3" s="513"/>
      <c r="W3" s="513"/>
      <c r="X3" s="513"/>
      <c r="Y3" s="513"/>
      <c r="Z3" s="720" t="s">
        <v>262</v>
      </c>
      <c r="AA3" s="720"/>
      <c r="AB3" s="720"/>
      <c r="AC3" s="720"/>
      <c r="AD3" s="720"/>
    </row>
    <row r="4" spans="1:30">
      <c r="V4" s="721" t="s">
        <v>272</v>
      </c>
      <c r="W4" s="721"/>
      <c r="X4" s="721"/>
      <c r="Y4" s="721"/>
      <c r="Z4" s="721"/>
      <c r="AA4" s="721"/>
      <c r="AB4" s="721"/>
      <c r="AC4" s="721"/>
      <c r="AD4" s="721"/>
    </row>
    <row r="5" spans="1:30">
      <c r="A5" s="722" t="s">
        <v>0</v>
      </c>
      <c r="B5" s="722"/>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7" spans="1:30" ht="19.5">
      <c r="A7" s="723" t="s">
        <v>1</v>
      </c>
      <c r="B7" s="723" t="s">
        <v>219</v>
      </c>
      <c r="C7" s="723" t="s">
        <v>2</v>
      </c>
      <c r="D7" s="723" t="s">
        <v>3</v>
      </c>
      <c r="E7" s="726" t="s">
        <v>220</v>
      </c>
      <c r="F7" s="727"/>
      <c r="G7" s="727"/>
      <c r="H7" s="727"/>
      <c r="I7" s="727"/>
      <c r="J7" s="727"/>
      <c r="K7" s="727"/>
      <c r="L7" s="727"/>
      <c r="M7" s="727"/>
      <c r="N7" s="727"/>
      <c r="O7" s="727"/>
      <c r="P7" s="727"/>
      <c r="Q7" s="727"/>
      <c r="R7" s="727"/>
      <c r="S7" s="727"/>
      <c r="T7" s="727"/>
      <c r="U7" s="727"/>
      <c r="V7" s="727"/>
      <c r="W7" s="727"/>
      <c r="X7" s="727"/>
      <c r="Y7" s="727"/>
      <c r="Z7" s="727"/>
      <c r="AA7" s="727"/>
      <c r="AB7" s="727"/>
      <c r="AC7" s="727"/>
      <c r="AD7" s="728"/>
    </row>
    <row r="8" spans="1:30">
      <c r="A8" s="724"/>
      <c r="B8" s="724"/>
      <c r="C8" s="724"/>
      <c r="D8" s="724"/>
      <c r="E8" s="729" t="s">
        <v>88</v>
      </c>
      <c r="F8" s="730"/>
      <c r="G8" s="730"/>
      <c r="H8" s="730"/>
      <c r="I8" s="731"/>
      <c r="J8" s="729" t="s">
        <v>89</v>
      </c>
      <c r="K8" s="730"/>
      <c r="L8" s="730"/>
      <c r="M8" s="730"/>
      <c r="N8" s="731"/>
      <c r="O8" s="729" t="s">
        <v>90</v>
      </c>
      <c r="P8" s="730"/>
      <c r="Q8" s="730"/>
      <c r="R8" s="730"/>
      <c r="S8" s="731"/>
      <c r="T8" s="729" t="s">
        <v>91</v>
      </c>
      <c r="U8" s="730"/>
      <c r="V8" s="730"/>
      <c r="W8" s="730"/>
      <c r="X8" s="731"/>
      <c r="Y8" s="729" t="s">
        <v>92</v>
      </c>
      <c r="Z8" s="730"/>
      <c r="AA8" s="730"/>
      <c r="AB8" s="730"/>
      <c r="AC8" s="731"/>
      <c r="AD8" s="723" t="s">
        <v>5</v>
      </c>
    </row>
    <row r="9" spans="1:30" ht="87.75">
      <c r="A9" s="725"/>
      <c r="B9" s="725"/>
      <c r="C9" s="725"/>
      <c r="D9" s="725"/>
      <c r="E9" s="516" t="s">
        <v>6</v>
      </c>
      <c r="F9" s="456" t="s">
        <v>7</v>
      </c>
      <c r="G9" s="456" t="s">
        <v>8</v>
      </c>
      <c r="H9" s="456" t="s">
        <v>9</v>
      </c>
      <c r="I9" s="457" t="s">
        <v>10</v>
      </c>
      <c r="J9" s="516" t="s">
        <v>6</v>
      </c>
      <c r="K9" s="456" t="s">
        <v>7</v>
      </c>
      <c r="L9" s="456" t="s">
        <v>8</v>
      </c>
      <c r="M9" s="456" t="s">
        <v>9</v>
      </c>
      <c r="N9" s="457" t="s">
        <v>10</v>
      </c>
      <c r="O9" s="516" t="s">
        <v>6</v>
      </c>
      <c r="P9" s="456" t="s">
        <v>7</v>
      </c>
      <c r="Q9" s="456" t="s">
        <v>8</v>
      </c>
      <c r="R9" s="456" t="s">
        <v>9</v>
      </c>
      <c r="S9" s="457" t="s">
        <v>10</v>
      </c>
      <c r="T9" s="516" t="s">
        <v>6</v>
      </c>
      <c r="U9" s="456" t="s">
        <v>7</v>
      </c>
      <c r="V9" s="456" t="s">
        <v>8</v>
      </c>
      <c r="W9" s="456" t="s">
        <v>9</v>
      </c>
      <c r="X9" s="457" t="s">
        <v>10</v>
      </c>
      <c r="Y9" s="516" t="s">
        <v>6</v>
      </c>
      <c r="Z9" s="456" t="s">
        <v>7</v>
      </c>
      <c r="AA9" s="456" t="s">
        <v>8</v>
      </c>
      <c r="AB9" s="456" t="s">
        <v>9</v>
      </c>
      <c r="AC9" s="457" t="s">
        <v>10</v>
      </c>
      <c r="AD9" s="725"/>
    </row>
    <row r="10" spans="1:30">
      <c r="A10" s="458">
        <v>1</v>
      </c>
      <c r="B10" s="458">
        <v>2</v>
      </c>
      <c r="C10" s="458">
        <v>3</v>
      </c>
      <c r="D10" s="458">
        <v>4</v>
      </c>
      <c r="E10" s="458">
        <v>5</v>
      </c>
      <c r="F10" s="458">
        <v>6</v>
      </c>
      <c r="G10" s="458">
        <v>7</v>
      </c>
      <c r="H10" s="458">
        <v>8</v>
      </c>
      <c r="I10" s="458">
        <v>9</v>
      </c>
      <c r="J10" s="458">
        <v>10</v>
      </c>
      <c r="K10" s="458">
        <v>11</v>
      </c>
      <c r="L10" s="458">
        <v>12</v>
      </c>
      <c r="M10" s="458">
        <v>13</v>
      </c>
      <c r="N10" s="458">
        <v>14</v>
      </c>
      <c r="O10" s="458">
        <v>15</v>
      </c>
      <c r="P10" s="458">
        <v>16</v>
      </c>
      <c r="Q10" s="458">
        <v>17</v>
      </c>
      <c r="R10" s="458">
        <v>18</v>
      </c>
      <c r="S10" s="458">
        <v>19</v>
      </c>
      <c r="T10" s="458">
        <v>20</v>
      </c>
      <c r="U10" s="458">
        <v>21</v>
      </c>
      <c r="V10" s="458">
        <v>22</v>
      </c>
      <c r="W10" s="458">
        <v>23</v>
      </c>
      <c r="X10" s="458">
        <v>24</v>
      </c>
      <c r="Y10" s="458">
        <v>25</v>
      </c>
      <c r="Z10" s="458">
        <v>26</v>
      </c>
      <c r="AA10" s="458">
        <v>27</v>
      </c>
      <c r="AB10" s="458">
        <v>28</v>
      </c>
      <c r="AC10" s="458">
        <v>29</v>
      </c>
      <c r="AD10" s="458">
        <v>30</v>
      </c>
    </row>
    <row r="11" spans="1:30">
      <c r="A11" s="732" t="s">
        <v>86</v>
      </c>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pans="1:30" ht="23.25">
      <c r="A12" s="384" t="s">
        <v>221</v>
      </c>
      <c r="B12" s="717" t="s">
        <v>323</v>
      </c>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9"/>
    </row>
    <row r="13" spans="1:30" ht="93">
      <c r="A13" s="369" t="s">
        <v>12</v>
      </c>
      <c r="B13" s="459" t="s">
        <v>81</v>
      </c>
      <c r="C13" s="706" t="s">
        <v>14</v>
      </c>
      <c r="D13" s="460" t="s">
        <v>93</v>
      </c>
      <c r="E13" s="373">
        <f>SUM(F13:I13)</f>
        <v>28350</v>
      </c>
      <c r="F13" s="373">
        <f>43350-15000</f>
        <v>28350</v>
      </c>
      <c r="G13" s="373">
        <v>0</v>
      </c>
      <c r="H13" s="373">
        <v>0</v>
      </c>
      <c r="I13" s="373">
        <v>0</v>
      </c>
      <c r="J13" s="373">
        <f>K13+L13+M13+N13</f>
        <v>26292</v>
      </c>
      <c r="K13" s="373">
        <f>19722+15778-9208</f>
        <v>26292</v>
      </c>
      <c r="L13" s="373">
        <v>0</v>
      </c>
      <c r="M13" s="374">
        <v>0</v>
      </c>
      <c r="N13" s="374">
        <v>0</v>
      </c>
      <c r="O13" s="334">
        <f>P13+Q13+R13+S13</f>
        <v>27273</v>
      </c>
      <c r="P13" s="334">
        <f>42513-15240</f>
        <v>27273</v>
      </c>
      <c r="Q13" s="374">
        <v>0</v>
      </c>
      <c r="R13" s="374">
        <v>0</v>
      </c>
      <c r="S13" s="374">
        <v>0</v>
      </c>
      <c r="T13" s="374">
        <f>U13+V13+W13+X13</f>
        <v>36216</v>
      </c>
      <c r="U13" s="374">
        <v>36216</v>
      </c>
      <c r="V13" s="374">
        <v>0</v>
      </c>
      <c r="W13" s="374">
        <v>0</v>
      </c>
      <c r="X13" s="374">
        <v>0</v>
      </c>
      <c r="Y13" s="374">
        <f>Z13+AA13+AB13+AC13</f>
        <v>0</v>
      </c>
      <c r="Z13" s="374">
        <v>0</v>
      </c>
      <c r="AA13" s="374">
        <v>0</v>
      </c>
      <c r="AB13" s="374">
        <v>0</v>
      </c>
      <c r="AC13" s="374">
        <v>0</v>
      </c>
      <c r="AD13" s="378">
        <f t="shared" ref="AD13:AD18" si="0">E13+J13+O13+T13+Y13</f>
        <v>118131</v>
      </c>
    </row>
    <row r="14" spans="1:30" ht="93">
      <c r="A14" s="369" t="s">
        <v>13</v>
      </c>
      <c r="B14" s="461" t="s">
        <v>268</v>
      </c>
      <c r="C14" s="707"/>
      <c r="D14" s="460" t="s">
        <v>93</v>
      </c>
      <c r="E14" s="373">
        <f>SUM(F14:I14)</f>
        <v>7359</v>
      </c>
      <c r="F14" s="373">
        <f>12748-5387-2060</f>
        <v>5301</v>
      </c>
      <c r="G14" s="373">
        <v>0</v>
      </c>
      <c r="H14" s="373">
        <v>0</v>
      </c>
      <c r="I14" s="373">
        <f>4602-2544</f>
        <v>2058</v>
      </c>
      <c r="J14" s="373">
        <v>0</v>
      </c>
      <c r="K14" s="373">
        <v>0</v>
      </c>
      <c r="L14" s="373">
        <v>0</v>
      </c>
      <c r="M14" s="374">
        <v>0</v>
      </c>
      <c r="N14" s="374">
        <v>0</v>
      </c>
      <c r="O14" s="374">
        <v>0</v>
      </c>
      <c r="P14" s="374">
        <v>0</v>
      </c>
      <c r="Q14" s="374">
        <v>0</v>
      </c>
      <c r="R14" s="374">
        <v>0</v>
      </c>
      <c r="S14" s="374">
        <v>0</v>
      </c>
      <c r="T14" s="374">
        <f>U14+V14+W14+X14</f>
        <v>0</v>
      </c>
      <c r="U14" s="374">
        <v>0</v>
      </c>
      <c r="V14" s="374">
        <v>0</v>
      </c>
      <c r="W14" s="374">
        <v>0</v>
      </c>
      <c r="X14" s="374">
        <v>0</v>
      </c>
      <c r="Y14" s="374">
        <f>Z14+AA14+AB14+AC14</f>
        <v>0</v>
      </c>
      <c r="Z14" s="374">
        <v>0</v>
      </c>
      <c r="AA14" s="374">
        <v>0</v>
      </c>
      <c r="AB14" s="374">
        <v>0</v>
      </c>
      <c r="AC14" s="374">
        <v>0</v>
      </c>
      <c r="AD14" s="378">
        <f t="shared" si="0"/>
        <v>7359</v>
      </c>
    </row>
    <row r="15" spans="1:30" ht="93">
      <c r="A15" s="369" t="s">
        <v>15</v>
      </c>
      <c r="B15" s="462" t="s">
        <v>117</v>
      </c>
      <c r="C15" s="511" t="s">
        <v>218</v>
      </c>
      <c r="D15" s="384" t="s">
        <v>93</v>
      </c>
      <c r="E15" s="373">
        <f>F15+G15+H15+I15</f>
        <v>8260</v>
      </c>
      <c r="F15" s="373">
        <f>8260</f>
        <v>8260</v>
      </c>
      <c r="G15" s="373">
        <v>0</v>
      </c>
      <c r="H15" s="373">
        <v>0</v>
      </c>
      <c r="I15" s="373">
        <v>0</v>
      </c>
      <c r="J15" s="373">
        <f>K15+L15+M15+N15</f>
        <v>11513</v>
      </c>
      <c r="K15" s="373">
        <v>11513</v>
      </c>
      <c r="L15" s="373">
        <v>0</v>
      </c>
      <c r="M15" s="374">
        <v>0</v>
      </c>
      <c r="N15" s="374">
        <v>0</v>
      </c>
      <c r="O15" s="374">
        <f>P15+Q15+R15+S15</f>
        <v>10547</v>
      </c>
      <c r="P15" s="374">
        <v>10547</v>
      </c>
      <c r="Q15" s="374">
        <v>0</v>
      </c>
      <c r="R15" s="374">
        <v>0</v>
      </c>
      <c r="S15" s="374">
        <v>0</v>
      </c>
      <c r="T15" s="374">
        <f>U15+V15+W15+X15</f>
        <v>11663</v>
      </c>
      <c r="U15" s="374">
        <v>11663</v>
      </c>
      <c r="V15" s="374">
        <v>0</v>
      </c>
      <c r="W15" s="374">
        <v>0</v>
      </c>
      <c r="X15" s="374">
        <v>0</v>
      </c>
      <c r="Y15" s="374">
        <f>Z15+AA15+AB15+AC15</f>
        <v>0</v>
      </c>
      <c r="Z15" s="374">
        <v>0</v>
      </c>
      <c r="AA15" s="374">
        <v>0</v>
      </c>
      <c r="AB15" s="374">
        <v>0</v>
      </c>
      <c r="AC15" s="374">
        <v>0</v>
      </c>
      <c r="AD15" s="378">
        <f t="shared" si="0"/>
        <v>41983</v>
      </c>
    </row>
    <row r="16" spans="1:30" ht="69.75">
      <c r="A16" s="369" t="s">
        <v>16</v>
      </c>
      <c r="B16" s="376" t="s">
        <v>270</v>
      </c>
      <c r="C16" s="463" t="s">
        <v>14</v>
      </c>
      <c r="D16" s="384" t="s">
        <v>93</v>
      </c>
      <c r="E16" s="373">
        <f>F16+G16+H16+I16</f>
        <v>586.36999999999978</v>
      </c>
      <c r="F16" s="373">
        <f>3300-2825.3</f>
        <v>474.69999999999982</v>
      </c>
      <c r="G16" s="373">
        <v>0</v>
      </c>
      <c r="H16" s="373">
        <v>0</v>
      </c>
      <c r="I16" s="373">
        <f>775-663.33</f>
        <v>111.66999999999996</v>
      </c>
      <c r="J16" s="373">
        <v>0</v>
      </c>
      <c r="K16" s="373">
        <v>0</v>
      </c>
      <c r="L16" s="373">
        <v>0</v>
      </c>
      <c r="M16" s="374">
        <v>0</v>
      </c>
      <c r="N16" s="374">
        <v>0</v>
      </c>
      <c r="O16" s="374">
        <v>0</v>
      </c>
      <c r="P16" s="374">
        <v>0</v>
      </c>
      <c r="Q16" s="374">
        <v>0</v>
      </c>
      <c r="R16" s="374">
        <v>0</v>
      </c>
      <c r="S16" s="374">
        <v>0</v>
      </c>
      <c r="T16" s="374">
        <v>0</v>
      </c>
      <c r="U16" s="374">
        <v>0</v>
      </c>
      <c r="V16" s="374">
        <v>0</v>
      </c>
      <c r="W16" s="374">
        <v>0</v>
      </c>
      <c r="X16" s="374">
        <v>0</v>
      </c>
      <c r="Y16" s="374">
        <v>0</v>
      </c>
      <c r="Z16" s="374">
        <v>0</v>
      </c>
      <c r="AA16" s="374">
        <v>0</v>
      </c>
      <c r="AB16" s="374">
        <v>0</v>
      </c>
      <c r="AC16" s="374">
        <v>0</v>
      </c>
      <c r="AD16" s="378">
        <f t="shared" si="0"/>
        <v>586.36999999999978</v>
      </c>
    </row>
    <row r="17" spans="1:31" ht="37.5">
      <c r="A17" s="369" t="s">
        <v>17</v>
      </c>
      <c r="B17" s="376" t="s">
        <v>210</v>
      </c>
      <c r="C17" s="511" t="s">
        <v>94</v>
      </c>
      <c r="D17" s="372">
        <v>2020</v>
      </c>
      <c r="E17" s="373">
        <f t="shared" ref="E17:E22" si="1">F17+G17+H17+I17</f>
        <v>1192</v>
      </c>
      <c r="F17" s="373">
        <v>1192</v>
      </c>
      <c r="G17" s="373">
        <v>0</v>
      </c>
      <c r="H17" s="373">
        <v>0</v>
      </c>
      <c r="I17" s="373">
        <v>0</v>
      </c>
      <c r="J17" s="373">
        <f t="shared" ref="J17:J22" si="2">K17+L17+M17+N17</f>
        <v>0</v>
      </c>
      <c r="K17" s="373">
        <v>0</v>
      </c>
      <c r="L17" s="373">
        <v>0</v>
      </c>
      <c r="M17" s="374">
        <v>0</v>
      </c>
      <c r="N17" s="374">
        <v>0</v>
      </c>
      <c r="O17" s="374">
        <f>P17+Q17+R17+S17</f>
        <v>0</v>
      </c>
      <c r="P17" s="374">
        <v>0</v>
      </c>
      <c r="Q17" s="374">
        <v>0</v>
      </c>
      <c r="R17" s="374">
        <v>0</v>
      </c>
      <c r="S17" s="374">
        <v>0</v>
      </c>
      <c r="T17" s="374">
        <f>U17+V17+W17+X17</f>
        <v>0</v>
      </c>
      <c r="U17" s="374">
        <v>0</v>
      </c>
      <c r="V17" s="374">
        <v>0</v>
      </c>
      <c r="W17" s="374">
        <v>0</v>
      </c>
      <c r="X17" s="374">
        <v>0</v>
      </c>
      <c r="Y17" s="374">
        <f>Z17+AA17+AB17+AC17</f>
        <v>0</v>
      </c>
      <c r="Z17" s="374">
        <v>0</v>
      </c>
      <c r="AA17" s="374">
        <v>0</v>
      </c>
      <c r="AB17" s="374">
        <v>0</v>
      </c>
      <c r="AC17" s="374">
        <v>0</v>
      </c>
      <c r="AD17" s="374">
        <f t="shared" si="0"/>
        <v>1192</v>
      </c>
    </row>
    <row r="18" spans="1:31" ht="46.5">
      <c r="A18" s="369" t="s">
        <v>163</v>
      </c>
      <c r="B18" s="376" t="s">
        <v>121</v>
      </c>
      <c r="C18" s="511" t="s">
        <v>94</v>
      </c>
      <c r="D18" s="372" t="s">
        <v>164</v>
      </c>
      <c r="E18" s="373">
        <f t="shared" si="1"/>
        <v>6060</v>
      </c>
      <c r="F18" s="373">
        <f>6183-123</f>
        <v>6060</v>
      </c>
      <c r="G18" s="373">
        <v>0</v>
      </c>
      <c r="H18" s="373">
        <v>0</v>
      </c>
      <c r="I18" s="373">
        <v>0</v>
      </c>
      <c r="J18" s="373">
        <f t="shared" si="2"/>
        <v>5586</v>
      </c>
      <c r="K18" s="373">
        <f>5832-126-120</f>
        <v>5586</v>
      </c>
      <c r="L18" s="373">
        <v>0</v>
      </c>
      <c r="M18" s="374">
        <v>0</v>
      </c>
      <c r="N18" s="374">
        <v>0</v>
      </c>
      <c r="O18" s="136">
        <f>P18+Q18+R18+S18</f>
        <v>5310</v>
      </c>
      <c r="P18" s="136">
        <f>5760-60-390</f>
        <v>5310</v>
      </c>
      <c r="Q18" s="137">
        <v>0</v>
      </c>
      <c r="R18" s="137">
        <v>0</v>
      </c>
      <c r="S18" s="137">
        <v>0</v>
      </c>
      <c r="T18" s="374">
        <f>U18+V18+W18+X18</f>
        <v>5004</v>
      </c>
      <c r="U18" s="374">
        <v>5004</v>
      </c>
      <c r="V18" s="374">
        <v>0</v>
      </c>
      <c r="W18" s="374">
        <v>0</v>
      </c>
      <c r="X18" s="374">
        <v>0</v>
      </c>
      <c r="Y18" s="374">
        <f>Z18+AA18+AB18+AC18</f>
        <v>0</v>
      </c>
      <c r="Z18" s="374">
        <v>0</v>
      </c>
      <c r="AA18" s="374">
        <v>0</v>
      </c>
      <c r="AB18" s="374">
        <v>0</v>
      </c>
      <c r="AC18" s="374">
        <v>0</v>
      </c>
      <c r="AD18" s="374">
        <f t="shared" si="0"/>
        <v>21960</v>
      </c>
    </row>
    <row r="19" spans="1:31" ht="37.5">
      <c r="A19" s="369" t="s">
        <v>182</v>
      </c>
      <c r="B19" s="370" t="s">
        <v>124</v>
      </c>
      <c r="C19" s="511" t="s">
        <v>94</v>
      </c>
      <c r="D19" s="372" t="s">
        <v>282</v>
      </c>
      <c r="E19" s="373">
        <f t="shared" si="1"/>
        <v>785</v>
      </c>
      <c r="F19" s="373">
        <v>785</v>
      </c>
      <c r="G19" s="373">
        <v>0</v>
      </c>
      <c r="H19" s="373">
        <v>0</v>
      </c>
      <c r="I19" s="373">
        <v>0</v>
      </c>
      <c r="J19" s="373">
        <f t="shared" si="2"/>
        <v>90</v>
      </c>
      <c r="K19" s="373">
        <v>90</v>
      </c>
      <c r="L19" s="373">
        <v>0</v>
      </c>
      <c r="M19" s="374">
        <v>0</v>
      </c>
      <c r="N19" s="374">
        <v>0</v>
      </c>
      <c r="O19" s="374">
        <v>0</v>
      </c>
      <c r="P19" s="374">
        <v>0</v>
      </c>
      <c r="Q19" s="374">
        <v>0</v>
      </c>
      <c r="R19" s="374">
        <v>0</v>
      </c>
      <c r="S19" s="374">
        <v>0</v>
      </c>
      <c r="T19" s="374">
        <v>0</v>
      </c>
      <c r="U19" s="374">
        <v>0</v>
      </c>
      <c r="V19" s="374">
        <v>0</v>
      </c>
      <c r="W19" s="374">
        <v>0</v>
      </c>
      <c r="X19" s="374">
        <v>0</v>
      </c>
      <c r="Y19" s="374">
        <v>0</v>
      </c>
      <c r="Z19" s="374">
        <v>0</v>
      </c>
      <c r="AA19" s="374">
        <v>0</v>
      </c>
      <c r="AB19" s="374">
        <v>0</v>
      </c>
      <c r="AC19" s="374">
        <v>0</v>
      </c>
      <c r="AD19" s="374">
        <f>E19+J19+O19+T19+Y19</f>
        <v>875</v>
      </c>
    </row>
    <row r="20" spans="1:31" ht="46.5">
      <c r="A20" s="369" t="s">
        <v>208</v>
      </c>
      <c r="B20" s="370" t="s">
        <v>126</v>
      </c>
      <c r="C20" s="511" t="s">
        <v>94</v>
      </c>
      <c r="D20" s="372">
        <v>2020</v>
      </c>
      <c r="E20" s="373">
        <f t="shared" si="1"/>
        <v>110</v>
      </c>
      <c r="F20" s="373">
        <v>110</v>
      </c>
      <c r="G20" s="373">
        <v>0</v>
      </c>
      <c r="H20" s="373">
        <v>0</v>
      </c>
      <c r="I20" s="373">
        <v>0</v>
      </c>
      <c r="J20" s="373">
        <f t="shared" si="2"/>
        <v>0</v>
      </c>
      <c r="K20" s="373">
        <v>0</v>
      </c>
      <c r="L20" s="373">
        <v>0</v>
      </c>
      <c r="M20" s="374">
        <v>0</v>
      </c>
      <c r="N20" s="374">
        <v>0</v>
      </c>
      <c r="O20" s="374">
        <f t="shared" ref="O20:O26" si="3">P20+Q20+R20+S20</f>
        <v>0</v>
      </c>
      <c r="P20" s="374">
        <v>0</v>
      </c>
      <c r="Q20" s="374">
        <v>0</v>
      </c>
      <c r="R20" s="374">
        <v>0</v>
      </c>
      <c r="S20" s="374">
        <v>0</v>
      </c>
      <c r="T20" s="374">
        <f t="shared" ref="T20:T26" si="4">U20+V20+W20+X20</f>
        <v>0</v>
      </c>
      <c r="U20" s="374">
        <v>0</v>
      </c>
      <c r="V20" s="374">
        <v>0</v>
      </c>
      <c r="W20" s="374">
        <v>0</v>
      </c>
      <c r="X20" s="374">
        <v>0</v>
      </c>
      <c r="Y20" s="374">
        <f>Z20+AA20+AB20+AC20</f>
        <v>0</v>
      </c>
      <c r="Z20" s="374">
        <v>0</v>
      </c>
      <c r="AA20" s="374">
        <v>0</v>
      </c>
      <c r="AB20" s="374">
        <v>0</v>
      </c>
      <c r="AC20" s="374">
        <v>0</v>
      </c>
      <c r="AD20" s="374">
        <f t="shared" ref="AD20:AD26" si="5">E20+J20+O20+T20+Y20</f>
        <v>110</v>
      </c>
    </row>
    <row r="21" spans="1:31" ht="46.5">
      <c r="A21" s="369" t="s">
        <v>211</v>
      </c>
      <c r="B21" s="370" t="s">
        <v>122</v>
      </c>
      <c r="C21" s="511" t="s">
        <v>94</v>
      </c>
      <c r="D21" s="372">
        <v>2020</v>
      </c>
      <c r="E21" s="373">
        <f t="shared" si="1"/>
        <v>53</v>
      </c>
      <c r="F21" s="373">
        <v>53</v>
      </c>
      <c r="G21" s="373">
        <v>0</v>
      </c>
      <c r="H21" s="373">
        <v>0</v>
      </c>
      <c r="I21" s="373">
        <v>0</v>
      </c>
      <c r="J21" s="373">
        <f t="shared" si="2"/>
        <v>0</v>
      </c>
      <c r="K21" s="373">
        <v>0</v>
      </c>
      <c r="L21" s="373">
        <v>0</v>
      </c>
      <c r="M21" s="374">
        <v>0</v>
      </c>
      <c r="N21" s="374">
        <v>0</v>
      </c>
      <c r="O21" s="374">
        <f t="shared" si="3"/>
        <v>0</v>
      </c>
      <c r="P21" s="374">
        <v>0</v>
      </c>
      <c r="Q21" s="374">
        <v>0</v>
      </c>
      <c r="R21" s="374">
        <v>0</v>
      </c>
      <c r="S21" s="374">
        <v>0</v>
      </c>
      <c r="T21" s="374">
        <f t="shared" si="4"/>
        <v>0</v>
      </c>
      <c r="U21" s="374">
        <v>0</v>
      </c>
      <c r="V21" s="374">
        <v>0</v>
      </c>
      <c r="W21" s="374">
        <v>0</v>
      </c>
      <c r="X21" s="374">
        <v>0</v>
      </c>
      <c r="Y21" s="374">
        <f>Z21+AA21+AB21+AC21</f>
        <v>0</v>
      </c>
      <c r="Z21" s="374">
        <v>0</v>
      </c>
      <c r="AA21" s="374">
        <v>0</v>
      </c>
      <c r="AB21" s="374">
        <v>0</v>
      </c>
      <c r="AC21" s="374">
        <v>0</v>
      </c>
      <c r="AD21" s="374">
        <f t="shared" si="5"/>
        <v>53</v>
      </c>
    </row>
    <row r="22" spans="1:31" ht="46.5">
      <c r="A22" s="369" t="s">
        <v>212</v>
      </c>
      <c r="B22" s="370" t="s">
        <v>123</v>
      </c>
      <c r="C22" s="511" t="s">
        <v>94</v>
      </c>
      <c r="D22" s="372">
        <v>2020</v>
      </c>
      <c r="E22" s="373">
        <f t="shared" si="1"/>
        <v>130</v>
      </c>
      <c r="F22" s="373">
        <f>112+18</f>
        <v>130</v>
      </c>
      <c r="G22" s="373">
        <v>0</v>
      </c>
      <c r="H22" s="373">
        <v>0</v>
      </c>
      <c r="I22" s="373">
        <v>0</v>
      </c>
      <c r="J22" s="373">
        <f t="shared" si="2"/>
        <v>0</v>
      </c>
      <c r="K22" s="373">
        <v>0</v>
      </c>
      <c r="L22" s="373">
        <v>0</v>
      </c>
      <c r="M22" s="374">
        <v>0</v>
      </c>
      <c r="N22" s="374">
        <v>0</v>
      </c>
      <c r="O22" s="374">
        <f t="shared" si="3"/>
        <v>0</v>
      </c>
      <c r="P22" s="374">
        <v>0</v>
      </c>
      <c r="Q22" s="374">
        <v>0</v>
      </c>
      <c r="R22" s="374">
        <v>0</v>
      </c>
      <c r="S22" s="374">
        <v>0</v>
      </c>
      <c r="T22" s="374">
        <f t="shared" si="4"/>
        <v>0</v>
      </c>
      <c r="U22" s="374">
        <v>0</v>
      </c>
      <c r="V22" s="374">
        <v>0</v>
      </c>
      <c r="W22" s="374">
        <v>0</v>
      </c>
      <c r="X22" s="374">
        <v>0</v>
      </c>
      <c r="Y22" s="374">
        <f>Z22+AA22+AB22+AC22</f>
        <v>0</v>
      </c>
      <c r="Z22" s="374">
        <v>0</v>
      </c>
      <c r="AA22" s="374">
        <v>0</v>
      </c>
      <c r="AB22" s="374">
        <v>0</v>
      </c>
      <c r="AC22" s="374">
        <v>0</v>
      </c>
      <c r="AD22" s="374">
        <f t="shared" si="5"/>
        <v>130</v>
      </c>
    </row>
    <row r="23" spans="1:31" ht="46.5">
      <c r="A23" s="369" t="s">
        <v>213</v>
      </c>
      <c r="B23" s="370" t="s">
        <v>125</v>
      </c>
      <c r="C23" s="511" t="s">
        <v>94</v>
      </c>
      <c r="D23" s="372" t="s">
        <v>164</v>
      </c>
      <c r="E23" s="373">
        <v>120</v>
      </c>
      <c r="F23" s="373">
        <v>120</v>
      </c>
      <c r="G23" s="373">
        <v>0</v>
      </c>
      <c r="H23" s="373">
        <v>0</v>
      </c>
      <c r="I23" s="373">
        <v>0</v>
      </c>
      <c r="J23" s="373">
        <f>K23+L23+M23+N23</f>
        <v>0</v>
      </c>
      <c r="K23" s="373">
        <f>60-60</f>
        <v>0</v>
      </c>
      <c r="L23" s="373">
        <v>0</v>
      </c>
      <c r="M23" s="374">
        <v>0</v>
      </c>
      <c r="N23" s="374">
        <v>0</v>
      </c>
      <c r="O23" s="374">
        <f t="shared" si="3"/>
        <v>120</v>
      </c>
      <c r="P23" s="374">
        <f>60+60</f>
        <v>120</v>
      </c>
      <c r="Q23" s="374">
        <v>0</v>
      </c>
      <c r="R23" s="374">
        <v>0</v>
      </c>
      <c r="S23" s="374">
        <v>0</v>
      </c>
      <c r="T23" s="334">
        <f>U23+V23+W23+X23</f>
        <v>60</v>
      </c>
      <c r="U23" s="334">
        <f>30+30</f>
        <v>60</v>
      </c>
      <c r="V23" s="334">
        <v>0</v>
      </c>
      <c r="W23" s="334">
        <v>0</v>
      </c>
      <c r="X23" s="334">
        <v>0</v>
      </c>
      <c r="Y23" s="374">
        <v>0</v>
      </c>
      <c r="Z23" s="374">
        <v>0</v>
      </c>
      <c r="AA23" s="374">
        <v>1428</v>
      </c>
      <c r="AB23" s="374">
        <v>0</v>
      </c>
      <c r="AC23" s="374">
        <v>0</v>
      </c>
      <c r="AD23" s="374">
        <f t="shared" si="5"/>
        <v>300</v>
      </c>
    </row>
    <row r="24" spans="1:31" ht="37.5">
      <c r="A24" s="369" t="s">
        <v>214</v>
      </c>
      <c r="B24" s="370" t="s">
        <v>205</v>
      </c>
      <c r="C24" s="511" t="s">
        <v>52</v>
      </c>
      <c r="D24" s="372" t="s">
        <v>287</v>
      </c>
      <c r="E24" s="373">
        <v>23068</v>
      </c>
      <c r="F24" s="373">
        <v>0</v>
      </c>
      <c r="G24" s="373">
        <v>23068</v>
      </c>
      <c r="H24" s="373">
        <v>0</v>
      </c>
      <c r="I24" s="373">
        <v>0</v>
      </c>
      <c r="J24" s="373">
        <f>K24+L24+M24+N24</f>
        <v>22592</v>
      </c>
      <c r="K24" s="373">
        <v>0</v>
      </c>
      <c r="L24" s="373">
        <f>23742-1150</f>
        <v>22592</v>
      </c>
      <c r="M24" s="374">
        <v>0</v>
      </c>
      <c r="N24" s="374">
        <v>0</v>
      </c>
      <c r="O24" s="374">
        <f t="shared" si="3"/>
        <v>25095.52</v>
      </c>
      <c r="P24" s="374">
        <v>0</v>
      </c>
      <c r="Q24" s="374">
        <f>24077+1018.52</f>
        <v>25095.52</v>
      </c>
      <c r="R24" s="374">
        <v>0</v>
      </c>
      <c r="S24" s="374">
        <v>0</v>
      </c>
      <c r="T24" s="374">
        <f t="shared" si="4"/>
        <v>25952</v>
      </c>
      <c r="U24" s="374">
        <v>0</v>
      </c>
      <c r="V24" s="374">
        <v>25952</v>
      </c>
      <c r="W24" s="374">
        <v>0</v>
      </c>
      <c r="X24" s="374">
        <v>0</v>
      </c>
      <c r="Y24" s="374">
        <f>Z24+AA24+AB24+AC24</f>
        <v>25952</v>
      </c>
      <c r="Z24" s="374">
        <v>0</v>
      </c>
      <c r="AA24" s="374">
        <v>25952</v>
      </c>
      <c r="AB24" s="374">
        <v>0</v>
      </c>
      <c r="AC24" s="374">
        <v>0</v>
      </c>
      <c r="AD24" s="374">
        <f>E24+J24+O24+T24+Y24</f>
        <v>122659.52</v>
      </c>
    </row>
    <row r="25" spans="1:31" ht="46.5">
      <c r="A25" s="369" t="s">
        <v>215</v>
      </c>
      <c r="B25" s="370" t="s">
        <v>198</v>
      </c>
      <c r="C25" s="511" t="s">
        <v>52</v>
      </c>
      <c r="D25" s="372" t="s">
        <v>309</v>
      </c>
      <c r="E25" s="373">
        <v>238</v>
      </c>
      <c r="F25" s="375">
        <v>0</v>
      </c>
      <c r="G25" s="373">
        <v>238</v>
      </c>
      <c r="H25" s="373">
        <v>0</v>
      </c>
      <c r="I25" s="373">
        <v>0</v>
      </c>
      <c r="J25" s="373">
        <f>K25+L25+M25+N25</f>
        <v>476</v>
      </c>
      <c r="K25" s="373">
        <v>0</v>
      </c>
      <c r="L25" s="373">
        <v>476</v>
      </c>
      <c r="M25" s="374">
        <v>0</v>
      </c>
      <c r="N25" s="374">
        <v>0</v>
      </c>
      <c r="O25" s="374">
        <f t="shared" si="3"/>
        <v>2380</v>
      </c>
      <c r="P25" s="374">
        <v>0</v>
      </c>
      <c r="Q25" s="334">
        <f>476+1428+476</f>
        <v>2380</v>
      </c>
      <c r="R25" s="374">
        <v>0</v>
      </c>
      <c r="S25" s="374">
        <v>0</v>
      </c>
      <c r="T25" s="374">
        <f>V25</f>
        <v>2142</v>
      </c>
      <c r="U25" s="374">
        <v>0</v>
      </c>
      <c r="V25" s="374">
        <v>2142</v>
      </c>
      <c r="W25" s="374">
        <v>0</v>
      </c>
      <c r="X25" s="374">
        <v>0</v>
      </c>
      <c r="Y25" s="374">
        <v>1428</v>
      </c>
      <c r="Z25" s="374">
        <v>0</v>
      </c>
      <c r="AA25" s="374">
        <v>0</v>
      </c>
      <c r="AB25" s="374">
        <v>0</v>
      </c>
      <c r="AC25" s="374">
        <v>0</v>
      </c>
      <c r="AD25" s="374">
        <f>E25+J25+O25+T25+Y25</f>
        <v>6664</v>
      </c>
    </row>
    <row r="26" spans="1:31" ht="46.5">
      <c r="A26" s="369" t="s">
        <v>216</v>
      </c>
      <c r="B26" s="376" t="s">
        <v>217</v>
      </c>
      <c r="C26" s="511" t="s">
        <v>94</v>
      </c>
      <c r="D26" s="372">
        <v>2020</v>
      </c>
      <c r="E26" s="373">
        <f>F26+G26+H26+I26</f>
        <v>120</v>
      </c>
      <c r="F26" s="373">
        <f>300-180</f>
        <v>120</v>
      </c>
      <c r="G26" s="373">
        <v>0</v>
      </c>
      <c r="H26" s="373">
        <v>0</v>
      </c>
      <c r="I26" s="373">
        <v>0</v>
      </c>
      <c r="J26" s="373">
        <f>K26+L26+M26+N26</f>
        <v>0</v>
      </c>
      <c r="K26" s="373">
        <v>0</v>
      </c>
      <c r="L26" s="373">
        <v>0</v>
      </c>
      <c r="M26" s="374">
        <v>0</v>
      </c>
      <c r="N26" s="374">
        <v>0</v>
      </c>
      <c r="O26" s="374">
        <f t="shared" si="3"/>
        <v>0</v>
      </c>
      <c r="P26" s="374">
        <v>0</v>
      </c>
      <c r="Q26" s="374">
        <v>0</v>
      </c>
      <c r="R26" s="374">
        <v>0</v>
      </c>
      <c r="S26" s="374">
        <v>0</v>
      </c>
      <c r="T26" s="374">
        <f t="shared" si="4"/>
        <v>0</v>
      </c>
      <c r="U26" s="374">
        <v>0</v>
      </c>
      <c r="V26" s="374">
        <v>0</v>
      </c>
      <c r="W26" s="374">
        <v>0</v>
      </c>
      <c r="X26" s="374">
        <v>0</v>
      </c>
      <c r="Y26" s="374">
        <f>Z26+AA26+AB26+AC26</f>
        <v>0</v>
      </c>
      <c r="Z26" s="374">
        <v>0</v>
      </c>
      <c r="AA26" s="374">
        <v>0</v>
      </c>
      <c r="AB26" s="374">
        <v>0</v>
      </c>
      <c r="AC26" s="374">
        <v>0</v>
      </c>
      <c r="AD26" s="374">
        <f t="shared" si="5"/>
        <v>120</v>
      </c>
    </row>
    <row r="27" spans="1:31" ht="23.25">
      <c r="A27" s="687" t="s">
        <v>313</v>
      </c>
      <c r="B27" s="688"/>
      <c r="C27" s="689"/>
      <c r="D27" s="508"/>
      <c r="E27" s="378">
        <f>E28+E29+E30</f>
        <v>76431.37</v>
      </c>
      <c r="F27" s="378">
        <f>SUM(F13:F26)</f>
        <v>50955.7</v>
      </c>
      <c r="G27" s="378">
        <f>G28+G29+G30</f>
        <v>23306</v>
      </c>
      <c r="H27" s="378">
        <f>SUM(H13:H17)</f>
        <v>0</v>
      </c>
      <c r="I27" s="378">
        <f>SUM(I13:I17)</f>
        <v>2169.67</v>
      </c>
      <c r="J27" s="378">
        <f>J28+J29+J30</f>
        <v>66549</v>
      </c>
      <c r="K27" s="378">
        <f>K28+K29</f>
        <v>43481</v>
      </c>
      <c r="L27" s="378">
        <f>L13+L14+L15+L16+L17+L18+L19+L20+L21+L22+L23+L24+L25+L26</f>
        <v>23068</v>
      </c>
      <c r="M27" s="378">
        <f>SUM(M13:M17)</f>
        <v>0</v>
      </c>
      <c r="N27" s="378">
        <f>SUM(N13:N17)</f>
        <v>0</v>
      </c>
      <c r="O27" s="378">
        <f>P27+Q27+R27+S27</f>
        <v>70725.52</v>
      </c>
      <c r="P27" s="378">
        <f>P28+P29</f>
        <v>43250</v>
      </c>
      <c r="Q27" s="378">
        <f>Q28+Q29+Q30</f>
        <v>27475.52</v>
      </c>
      <c r="R27" s="378">
        <f>SUM(R13:R17)</f>
        <v>0</v>
      </c>
      <c r="S27" s="378">
        <f>SUM(S13:S17)</f>
        <v>0</v>
      </c>
      <c r="T27" s="378">
        <f>SUM(T13:T26)</f>
        <v>81037</v>
      </c>
      <c r="U27" s="378">
        <f>SUM(U13:U26)</f>
        <v>52943</v>
      </c>
      <c r="V27" s="378">
        <f>V28+V29+V30</f>
        <v>28094</v>
      </c>
      <c r="W27" s="378">
        <f>SUM(W13:W16)</f>
        <v>0</v>
      </c>
      <c r="X27" s="378">
        <f>SUM(X13:X16)</f>
        <v>0</v>
      </c>
      <c r="Y27" s="378">
        <f>Y28+Y29+Y30</f>
        <v>27380</v>
      </c>
      <c r="Z27" s="378">
        <f>Z28+Z29+Z30</f>
        <v>0</v>
      </c>
      <c r="AA27" s="378">
        <f>AA28+AA29+AA30</f>
        <v>27380</v>
      </c>
      <c r="AB27" s="378">
        <f>SUM(AB13:AB17)</f>
        <v>0</v>
      </c>
      <c r="AC27" s="378">
        <f>SUM(AC13:AC17)</f>
        <v>0</v>
      </c>
      <c r="AD27" s="378">
        <f>AD28+AD29+AD30</f>
        <v>322122.89</v>
      </c>
    </row>
    <row r="28" spans="1:31" ht="23.25">
      <c r="A28" s="379" t="s">
        <v>14</v>
      </c>
      <c r="B28" s="505"/>
      <c r="C28" s="506"/>
      <c r="D28" s="509"/>
      <c r="E28" s="374">
        <f>F28+G28+H28+I28</f>
        <v>36295.369999999995</v>
      </c>
      <c r="F28" s="374">
        <f>F13+F14+F16</f>
        <v>34125.699999999997</v>
      </c>
      <c r="G28" s="374">
        <f>G13+G14+G16</f>
        <v>0</v>
      </c>
      <c r="H28" s="374">
        <f>G13+G14+G16</f>
        <v>0</v>
      </c>
      <c r="I28" s="374">
        <f>I14+I16</f>
        <v>2169.67</v>
      </c>
      <c r="J28" s="374">
        <f t="shared" ref="J28:V28" si="6">J13+J14+J16</f>
        <v>26292</v>
      </c>
      <c r="K28" s="374">
        <f t="shared" si="6"/>
        <v>26292</v>
      </c>
      <c r="L28" s="374">
        <f t="shared" si="6"/>
        <v>0</v>
      </c>
      <c r="M28" s="374">
        <f t="shared" si="6"/>
        <v>0</v>
      </c>
      <c r="N28" s="374">
        <f t="shared" si="6"/>
        <v>0</v>
      </c>
      <c r="O28" s="374">
        <f t="shared" si="6"/>
        <v>27273</v>
      </c>
      <c r="P28" s="374">
        <f t="shared" si="6"/>
        <v>27273</v>
      </c>
      <c r="Q28" s="374">
        <f t="shared" si="6"/>
        <v>0</v>
      </c>
      <c r="R28" s="374">
        <f t="shared" si="6"/>
        <v>0</v>
      </c>
      <c r="S28" s="374">
        <f t="shared" si="6"/>
        <v>0</v>
      </c>
      <c r="T28" s="374">
        <f t="shared" si="6"/>
        <v>36216</v>
      </c>
      <c r="U28" s="374">
        <f t="shared" si="6"/>
        <v>36216</v>
      </c>
      <c r="V28" s="374">
        <f t="shared" si="6"/>
        <v>0</v>
      </c>
      <c r="W28" s="374">
        <f>W13+W14+W16</f>
        <v>0</v>
      </c>
      <c r="X28" s="374">
        <f t="shared" ref="X28:AC28" si="7">X13+X14+X16</f>
        <v>0</v>
      </c>
      <c r="Y28" s="374">
        <f t="shared" si="7"/>
        <v>0</v>
      </c>
      <c r="Z28" s="374">
        <f>Z13+Z14+Z16</f>
        <v>0</v>
      </c>
      <c r="AA28" s="374">
        <f t="shared" si="7"/>
        <v>0</v>
      </c>
      <c r="AB28" s="374">
        <f t="shared" si="7"/>
        <v>0</v>
      </c>
      <c r="AC28" s="374">
        <f t="shared" si="7"/>
        <v>0</v>
      </c>
      <c r="AD28" s="374">
        <f>E28+J28+O28+T28+Y28</f>
        <v>126076.37</v>
      </c>
    </row>
    <row r="29" spans="1:31" ht="23.25">
      <c r="A29" s="379" t="s">
        <v>135</v>
      </c>
      <c r="B29" s="381"/>
      <c r="C29" s="382"/>
      <c r="D29" s="509"/>
      <c r="E29" s="374">
        <f>E15+E17+E18+E19+E20+E21+E22+E23+E26</f>
        <v>16830</v>
      </c>
      <c r="F29" s="374">
        <f>F15+F17+F18+F19+F20+F21+F22+F23+F26</f>
        <v>16830</v>
      </c>
      <c r="G29" s="374">
        <f>G15+G16</f>
        <v>0</v>
      </c>
      <c r="H29" s="374">
        <f>H15+H17+H18+H19+H20+H21+H22+H23+H26</f>
        <v>0</v>
      </c>
      <c r="I29" s="374">
        <f>I15+I17+I17+I18+I19+I20+I21+I22+I23+I26</f>
        <v>0</v>
      </c>
      <c r="J29" s="374">
        <f>J15+J17+J18+J19+J20+J21+J22+J23+J26</f>
        <v>17189</v>
      </c>
      <c r="K29" s="374">
        <f>K15+K17+K18+K19+K20+K21+K22+K23+K26</f>
        <v>17189</v>
      </c>
      <c r="L29" s="374">
        <f>L15+L17+L18+L19+L20+L21+L22+L23+L26</f>
        <v>0</v>
      </c>
      <c r="M29" s="374">
        <f>M24+M25</f>
        <v>0</v>
      </c>
      <c r="N29" s="374">
        <f>N24+N25</f>
        <v>0</v>
      </c>
      <c r="O29" s="374">
        <f>O15+O17+O18+O19+O20+O21+O22+O23+O26</f>
        <v>15977</v>
      </c>
      <c r="P29" s="374">
        <f>P15+P17+P18+P19+P20+P21+P22+P23+P26</f>
        <v>15977</v>
      </c>
      <c r="Q29" s="374">
        <f t="shared" ref="Q29:AC29" si="8">Q15+Q17+Q18+Q19+Q20+Q21+Q22+Q23+Q26</f>
        <v>0</v>
      </c>
      <c r="R29" s="374">
        <f t="shared" si="8"/>
        <v>0</v>
      </c>
      <c r="S29" s="374">
        <f t="shared" si="8"/>
        <v>0</v>
      </c>
      <c r="T29" s="374">
        <f>T15+T17+T19+T18+T20+T21+T22+T23+T26</f>
        <v>16727</v>
      </c>
      <c r="U29" s="374">
        <f>U15+U17+U18+U19+U20+U21+U22+U23</f>
        <v>16727</v>
      </c>
      <c r="V29" s="374">
        <f>V15+V17+V18+V19+V20+V21+V22</f>
        <v>0</v>
      </c>
      <c r="W29" s="374">
        <f t="shared" si="8"/>
        <v>0</v>
      </c>
      <c r="X29" s="374">
        <f t="shared" si="8"/>
        <v>0</v>
      </c>
      <c r="Y29" s="374">
        <f>Y15+Y17+Y18+Y19+Y20+Y21+Y22</f>
        <v>0</v>
      </c>
      <c r="Z29" s="374">
        <f>Z15+Z17+Z18+Z19+Z20+Z21+Z22+Z23+Z26</f>
        <v>0</v>
      </c>
      <c r="AA29" s="374">
        <f t="shared" si="8"/>
        <v>1428</v>
      </c>
      <c r="AB29" s="374">
        <f t="shared" si="8"/>
        <v>0</v>
      </c>
      <c r="AC29" s="374">
        <f t="shared" si="8"/>
        <v>0</v>
      </c>
      <c r="AD29" s="374">
        <f>E29+J29+O29+T29+Y29</f>
        <v>66723</v>
      </c>
      <c r="AE29" s="464"/>
    </row>
    <row r="30" spans="1:31" ht="23.25">
      <c r="A30" s="505" t="s">
        <v>73</v>
      </c>
      <c r="B30" s="506"/>
      <c r="C30" s="506"/>
      <c r="D30" s="510"/>
      <c r="E30" s="374">
        <f t="shared" ref="E30:S30" si="9">E24+E25</f>
        <v>23306</v>
      </c>
      <c r="F30" s="374">
        <f t="shared" si="9"/>
        <v>0</v>
      </c>
      <c r="G30" s="374">
        <f t="shared" si="9"/>
        <v>23306</v>
      </c>
      <c r="H30" s="374">
        <f t="shared" si="9"/>
        <v>0</v>
      </c>
      <c r="I30" s="374">
        <f t="shared" si="9"/>
        <v>0</v>
      </c>
      <c r="J30" s="374">
        <f t="shared" si="9"/>
        <v>23068</v>
      </c>
      <c r="K30" s="374">
        <f t="shared" si="9"/>
        <v>0</v>
      </c>
      <c r="L30" s="374">
        <f t="shared" si="9"/>
        <v>23068</v>
      </c>
      <c r="M30" s="374">
        <f t="shared" si="9"/>
        <v>0</v>
      </c>
      <c r="N30" s="374">
        <f t="shared" si="9"/>
        <v>0</v>
      </c>
      <c r="O30" s="374">
        <f t="shared" si="9"/>
        <v>27475.52</v>
      </c>
      <c r="P30" s="374">
        <f t="shared" si="9"/>
        <v>0</v>
      </c>
      <c r="Q30" s="374">
        <f>Q24+Q25</f>
        <v>27475.52</v>
      </c>
      <c r="R30" s="374">
        <f t="shared" si="9"/>
        <v>0</v>
      </c>
      <c r="S30" s="374">
        <f t="shared" si="9"/>
        <v>0</v>
      </c>
      <c r="T30" s="374">
        <f>T24+T25</f>
        <v>28094</v>
      </c>
      <c r="U30" s="374">
        <f>U25+U24</f>
        <v>0</v>
      </c>
      <c r="V30" s="374">
        <f>V25+V24</f>
        <v>28094</v>
      </c>
      <c r="W30" s="374">
        <f t="shared" ref="W30:AC30" si="10">W24+W25</f>
        <v>0</v>
      </c>
      <c r="X30" s="374">
        <f t="shared" si="10"/>
        <v>0</v>
      </c>
      <c r="Y30" s="374">
        <f>Y24+Y25</f>
        <v>27380</v>
      </c>
      <c r="Z30" s="374">
        <f t="shared" si="10"/>
        <v>0</v>
      </c>
      <c r="AA30" s="374">
        <f>AA24+AA25</f>
        <v>25952</v>
      </c>
      <c r="AB30" s="374">
        <f t="shared" si="10"/>
        <v>0</v>
      </c>
      <c r="AC30" s="374">
        <f t="shared" si="10"/>
        <v>0</v>
      </c>
      <c r="AD30" s="374">
        <f>E30+J30+O30+T30+Y30</f>
        <v>129323.52</v>
      </c>
      <c r="AE30" s="464"/>
    </row>
    <row r="31" spans="1:31" ht="23.25">
      <c r="A31" s="384" t="s">
        <v>222</v>
      </c>
      <c r="B31" s="690" t="s">
        <v>308</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2"/>
    </row>
    <row r="32" spans="1:31" ht="93">
      <c r="A32" s="369" t="s">
        <v>21</v>
      </c>
      <c r="B32" s="465" t="s">
        <v>192</v>
      </c>
      <c r="C32" s="384" t="s">
        <v>94</v>
      </c>
      <c r="D32" s="384" t="s">
        <v>93</v>
      </c>
      <c r="E32" s="374">
        <f>F32+G32+H32+I32</f>
        <v>1892</v>
      </c>
      <c r="F32" s="374">
        <f>2664-772</f>
        <v>1892</v>
      </c>
      <c r="G32" s="374">
        <v>0</v>
      </c>
      <c r="H32" s="374">
        <v>0</v>
      </c>
      <c r="I32" s="374">
        <v>0</v>
      </c>
      <c r="J32" s="374">
        <f>K32+L32+M32+N32</f>
        <v>1072</v>
      </c>
      <c r="K32" s="374">
        <f>1892-286-534</f>
        <v>1072</v>
      </c>
      <c r="L32" s="374">
        <v>0</v>
      </c>
      <c r="M32" s="374">
        <v>0</v>
      </c>
      <c r="N32" s="374">
        <v>0</v>
      </c>
      <c r="O32" s="334">
        <f>P32+Q32+R32+S32</f>
        <v>319</v>
      </c>
      <c r="P32" s="334">
        <f>1633-465-849</f>
        <v>319</v>
      </c>
      <c r="Q32" s="374">
        <v>0</v>
      </c>
      <c r="R32" s="374">
        <v>0</v>
      </c>
      <c r="S32" s="374">
        <v>0</v>
      </c>
      <c r="T32" s="374">
        <f>U32+V32+W32+X32</f>
        <v>0</v>
      </c>
      <c r="U32" s="374">
        <v>0</v>
      </c>
      <c r="V32" s="374">
        <v>0</v>
      </c>
      <c r="W32" s="374">
        <v>0</v>
      </c>
      <c r="X32" s="374">
        <v>0</v>
      </c>
      <c r="Y32" s="374">
        <f>Z32+AA32+AB32+AC32</f>
        <v>0</v>
      </c>
      <c r="Z32" s="374">
        <v>0</v>
      </c>
      <c r="AA32" s="374">
        <v>0</v>
      </c>
      <c r="AB32" s="374">
        <v>0</v>
      </c>
      <c r="AC32" s="374">
        <v>0</v>
      </c>
      <c r="AD32" s="374">
        <f>E32+J32+O32+T32+Y32</f>
        <v>3283</v>
      </c>
    </row>
    <row r="33" spans="1:31" ht="20.25">
      <c r="A33" s="708" t="s">
        <v>314</v>
      </c>
      <c r="B33" s="709"/>
      <c r="C33" s="710"/>
      <c r="D33" s="466"/>
      <c r="E33" s="378">
        <f>E32</f>
        <v>1892</v>
      </c>
      <c r="F33" s="378">
        <f>SUM(F32)</f>
        <v>1892</v>
      </c>
      <c r="G33" s="378">
        <f t="shared" ref="G33:AD33" si="11">SUM(G32:G32)</f>
        <v>0</v>
      </c>
      <c r="H33" s="378">
        <f t="shared" si="11"/>
        <v>0</v>
      </c>
      <c r="I33" s="378">
        <f t="shared" si="11"/>
        <v>0</v>
      </c>
      <c r="J33" s="378">
        <f>J32</f>
        <v>1072</v>
      </c>
      <c r="K33" s="378">
        <f t="shared" si="11"/>
        <v>1072</v>
      </c>
      <c r="L33" s="378">
        <f t="shared" si="11"/>
        <v>0</v>
      </c>
      <c r="M33" s="378">
        <f t="shared" si="11"/>
        <v>0</v>
      </c>
      <c r="N33" s="378">
        <f t="shared" si="11"/>
        <v>0</v>
      </c>
      <c r="O33" s="378">
        <f t="shared" si="11"/>
        <v>319</v>
      </c>
      <c r="P33" s="378">
        <f t="shared" si="11"/>
        <v>319</v>
      </c>
      <c r="Q33" s="378">
        <f t="shared" si="11"/>
        <v>0</v>
      </c>
      <c r="R33" s="378">
        <f t="shared" si="11"/>
        <v>0</v>
      </c>
      <c r="S33" s="378">
        <f t="shared" si="11"/>
        <v>0</v>
      </c>
      <c r="T33" s="378">
        <f t="shared" si="11"/>
        <v>0</v>
      </c>
      <c r="U33" s="378">
        <f t="shared" si="11"/>
        <v>0</v>
      </c>
      <c r="V33" s="378">
        <f t="shared" si="11"/>
        <v>0</v>
      </c>
      <c r="W33" s="378">
        <f t="shared" si="11"/>
        <v>0</v>
      </c>
      <c r="X33" s="378">
        <f t="shared" si="11"/>
        <v>0</v>
      </c>
      <c r="Y33" s="378">
        <f t="shared" si="11"/>
        <v>0</v>
      </c>
      <c r="Z33" s="378">
        <f t="shared" si="11"/>
        <v>0</v>
      </c>
      <c r="AA33" s="378">
        <f t="shared" si="11"/>
        <v>0</v>
      </c>
      <c r="AB33" s="378">
        <f t="shared" si="11"/>
        <v>0</v>
      </c>
      <c r="AC33" s="378">
        <f t="shared" si="11"/>
        <v>0</v>
      </c>
      <c r="AD33" s="378">
        <f t="shared" si="11"/>
        <v>3283</v>
      </c>
    </row>
    <row r="34" spans="1:31" ht="20.25">
      <c r="A34" s="384" t="s">
        <v>229</v>
      </c>
      <c r="B34" s="711" t="s">
        <v>230</v>
      </c>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3"/>
    </row>
    <row r="35" spans="1:31" ht="46.5">
      <c r="A35" s="369" t="s">
        <v>24</v>
      </c>
      <c r="B35" s="465" t="s">
        <v>288</v>
      </c>
      <c r="C35" s="463" t="s">
        <v>94</v>
      </c>
      <c r="D35" s="384" t="s">
        <v>93</v>
      </c>
      <c r="E35" s="374">
        <f>F35+G35+H35+I35</f>
        <v>2949</v>
      </c>
      <c r="F35" s="374">
        <v>2949</v>
      </c>
      <c r="G35" s="374">
        <v>0</v>
      </c>
      <c r="H35" s="374">
        <v>0</v>
      </c>
      <c r="I35" s="374">
        <v>0</v>
      </c>
      <c r="J35" s="374">
        <f>K35+L35+M35+N35</f>
        <v>2313</v>
      </c>
      <c r="K35" s="374">
        <f>1775+587-49</f>
        <v>2313</v>
      </c>
      <c r="L35" s="374">
        <v>0</v>
      </c>
      <c r="M35" s="374">
        <v>0</v>
      </c>
      <c r="N35" s="374">
        <v>0</v>
      </c>
      <c r="O35" s="334">
        <f xml:space="preserve"> SUM(P35:S35)</f>
        <v>1912</v>
      </c>
      <c r="P35" s="334">
        <f>2362-240-210</f>
        <v>1912</v>
      </c>
      <c r="Q35" s="374">
        <f>SUM(Q36,Q37,Q38,Q39)</f>
        <v>0</v>
      </c>
      <c r="R35" s="374">
        <f>SUM(R36,R37,R38,R39)</f>
        <v>0</v>
      </c>
      <c r="S35" s="374">
        <f>SUM(S36,S37,S38,S39)</f>
        <v>0</v>
      </c>
      <c r="T35" s="334">
        <f xml:space="preserve"> SUM(U35:X35)</f>
        <v>2000</v>
      </c>
      <c r="U35" s="334">
        <f>2022-22</f>
        <v>2000</v>
      </c>
      <c r="V35" s="374">
        <f>SUM(V36,V37,V38,V39)</f>
        <v>0</v>
      </c>
      <c r="W35" s="374">
        <f>SUM(W36,W37,W38,W39)</f>
        <v>0</v>
      </c>
      <c r="X35" s="374">
        <f>SUM(X36,X37,X38,X39)</f>
        <v>0</v>
      </c>
      <c r="Y35" s="374">
        <f xml:space="preserve"> SUM(Z35:AC35)</f>
        <v>0</v>
      </c>
      <c r="Z35" s="374">
        <v>0</v>
      </c>
      <c r="AA35" s="374">
        <f>SUM(AA36,AA37,AA38,AA39)</f>
        <v>0</v>
      </c>
      <c r="AB35" s="374">
        <f>SUM(AB36,AB37,AB38,AB39)</f>
        <v>0</v>
      </c>
      <c r="AC35" s="374">
        <f>SUM(AC36,AC37,AC38,AC39)</f>
        <v>0</v>
      </c>
      <c r="AD35" s="374">
        <f>E35+J35+O35+T35+Y35</f>
        <v>9174</v>
      </c>
    </row>
    <row r="36" spans="1:31" ht="139.5">
      <c r="A36" s="369" t="s">
        <v>151</v>
      </c>
      <c r="B36" s="376" t="s">
        <v>76</v>
      </c>
      <c r="C36" s="463" t="s">
        <v>94</v>
      </c>
      <c r="D36" s="384" t="s">
        <v>310</v>
      </c>
      <c r="E36" s="374">
        <f t="shared" ref="E36:E46" si="12">F36+G36+H36+I36</f>
        <v>9</v>
      </c>
      <c r="F36" s="374">
        <v>9</v>
      </c>
      <c r="G36" s="374">
        <v>0</v>
      </c>
      <c r="H36" s="374">
        <v>0</v>
      </c>
      <c r="I36" s="374">
        <v>0</v>
      </c>
      <c r="J36" s="374">
        <f t="shared" ref="J36:J46" si="13">K36+L36+M36+N36</f>
        <v>9</v>
      </c>
      <c r="K36" s="374">
        <v>9</v>
      </c>
      <c r="L36" s="374">
        <v>0</v>
      </c>
      <c r="M36" s="374">
        <v>0</v>
      </c>
      <c r="N36" s="374">
        <v>0</v>
      </c>
      <c r="O36" s="374">
        <f t="shared" ref="O36:O46" si="14">P36+Q36+R36+S36</f>
        <v>9</v>
      </c>
      <c r="P36" s="374">
        <v>9</v>
      </c>
      <c r="Q36" s="374">
        <v>0</v>
      </c>
      <c r="R36" s="374">
        <v>0</v>
      </c>
      <c r="S36" s="374">
        <v>0</v>
      </c>
      <c r="T36" s="374">
        <f t="shared" ref="T36:T46" si="15">U36+V36+W36+X36</f>
        <v>0</v>
      </c>
      <c r="U36" s="374">
        <v>0</v>
      </c>
      <c r="V36" s="374">
        <v>0</v>
      </c>
      <c r="W36" s="374">
        <v>0</v>
      </c>
      <c r="X36" s="374">
        <v>0</v>
      </c>
      <c r="Y36" s="374">
        <f t="shared" ref="Y36:Y46" si="16">Z36+AA36+AB36+AC36</f>
        <v>0</v>
      </c>
      <c r="Z36" s="374">
        <v>0</v>
      </c>
      <c r="AA36" s="374">
        <v>0</v>
      </c>
      <c r="AB36" s="374">
        <v>0</v>
      </c>
      <c r="AC36" s="374">
        <v>0</v>
      </c>
      <c r="AD36" s="374">
        <f t="shared" ref="AD36:AD52" si="17">E36+J36+O36+T36+Y36</f>
        <v>27</v>
      </c>
    </row>
    <row r="37" spans="1:31" ht="37.5">
      <c r="A37" s="369" t="s">
        <v>235</v>
      </c>
      <c r="B37" s="376" t="s">
        <v>71</v>
      </c>
      <c r="C37" s="384" t="s">
        <v>94</v>
      </c>
      <c r="D37" s="384" t="s">
        <v>168</v>
      </c>
      <c r="E37" s="374">
        <f t="shared" si="12"/>
        <v>426</v>
      </c>
      <c r="F37" s="374">
        <v>426</v>
      </c>
      <c r="G37" s="374">
        <v>0</v>
      </c>
      <c r="H37" s="374">
        <v>0</v>
      </c>
      <c r="I37" s="374">
        <v>0</v>
      </c>
      <c r="J37" s="374">
        <f t="shared" si="13"/>
        <v>0</v>
      </c>
      <c r="K37" s="374">
        <v>0</v>
      </c>
      <c r="L37" s="374">
        <v>0</v>
      </c>
      <c r="M37" s="374">
        <v>0</v>
      </c>
      <c r="N37" s="374">
        <v>0</v>
      </c>
      <c r="O37" s="374">
        <f t="shared" si="14"/>
        <v>0</v>
      </c>
      <c r="P37" s="374">
        <v>0</v>
      </c>
      <c r="Q37" s="374">
        <v>0</v>
      </c>
      <c r="R37" s="374">
        <v>0</v>
      </c>
      <c r="S37" s="374">
        <v>0</v>
      </c>
      <c r="T37" s="374">
        <f t="shared" si="15"/>
        <v>0</v>
      </c>
      <c r="U37" s="374">
        <v>0</v>
      </c>
      <c r="V37" s="374">
        <v>0</v>
      </c>
      <c r="W37" s="374">
        <v>0</v>
      </c>
      <c r="X37" s="374">
        <v>0</v>
      </c>
      <c r="Y37" s="374">
        <f t="shared" si="16"/>
        <v>0</v>
      </c>
      <c r="Z37" s="374">
        <v>0</v>
      </c>
      <c r="AA37" s="374">
        <v>0</v>
      </c>
      <c r="AB37" s="374">
        <v>0</v>
      </c>
      <c r="AC37" s="374">
        <v>0</v>
      </c>
      <c r="AD37" s="374">
        <f>E37+J37+O37+T37+Y37</f>
        <v>426</v>
      </c>
    </row>
    <row r="38" spans="1:31" ht="23.25">
      <c r="A38" s="369" t="s">
        <v>236</v>
      </c>
      <c r="B38" s="376" t="s">
        <v>110</v>
      </c>
      <c r="C38" s="714" t="s">
        <v>105</v>
      </c>
      <c r="D38" s="384" t="s">
        <v>93</v>
      </c>
      <c r="E38" s="374">
        <f t="shared" si="12"/>
        <v>3304</v>
      </c>
      <c r="F38" s="374">
        <v>3304</v>
      </c>
      <c r="G38" s="374">
        <v>0</v>
      </c>
      <c r="H38" s="374">
        <v>0</v>
      </c>
      <c r="I38" s="374">
        <v>0</v>
      </c>
      <c r="J38" s="374">
        <f t="shared" si="13"/>
        <v>3080</v>
      </c>
      <c r="K38" s="374">
        <f>3304-224</f>
        <v>3080</v>
      </c>
      <c r="L38" s="374">
        <v>0</v>
      </c>
      <c r="M38" s="374">
        <v>0</v>
      </c>
      <c r="N38" s="374">
        <v>0</v>
      </c>
      <c r="O38" s="334">
        <f t="shared" si="14"/>
        <v>2842</v>
      </c>
      <c r="P38" s="334">
        <f>2968-126</f>
        <v>2842</v>
      </c>
      <c r="Q38" s="374">
        <v>0</v>
      </c>
      <c r="R38" s="374">
        <v>0</v>
      </c>
      <c r="S38" s="374">
        <v>0</v>
      </c>
      <c r="T38" s="374">
        <f t="shared" si="15"/>
        <v>3136</v>
      </c>
      <c r="U38" s="374">
        <v>3136</v>
      </c>
      <c r="V38" s="374">
        <v>0</v>
      </c>
      <c r="W38" s="374">
        <v>0</v>
      </c>
      <c r="X38" s="374">
        <v>0</v>
      </c>
      <c r="Y38" s="374">
        <f t="shared" si="16"/>
        <v>0</v>
      </c>
      <c r="Z38" s="374">
        <v>0</v>
      </c>
      <c r="AA38" s="374">
        <v>0</v>
      </c>
      <c r="AB38" s="374">
        <v>0</v>
      </c>
      <c r="AC38" s="374">
        <v>0</v>
      </c>
      <c r="AD38" s="374">
        <f>E38+J38+O38+T38+Y38</f>
        <v>12362</v>
      </c>
    </row>
    <row r="39" spans="1:31" ht="93">
      <c r="A39" s="369" t="s">
        <v>237</v>
      </c>
      <c r="B39" s="376" t="s">
        <v>191</v>
      </c>
      <c r="C39" s="715"/>
      <c r="D39" s="384" t="s">
        <v>283</v>
      </c>
      <c r="E39" s="374">
        <f t="shared" si="12"/>
        <v>378</v>
      </c>
      <c r="F39" s="374">
        <v>378</v>
      </c>
      <c r="G39" s="374">
        <v>0</v>
      </c>
      <c r="H39" s="374">
        <v>0</v>
      </c>
      <c r="I39" s="374">
        <v>0</v>
      </c>
      <c r="J39" s="374">
        <f t="shared" si="13"/>
        <v>419</v>
      </c>
      <c r="K39" s="374">
        <f>324+95</f>
        <v>419</v>
      </c>
      <c r="L39" s="374">
        <v>0</v>
      </c>
      <c r="M39" s="374">
        <v>0</v>
      </c>
      <c r="N39" s="374">
        <v>0</v>
      </c>
      <c r="O39" s="334">
        <f t="shared" si="14"/>
        <v>468</v>
      </c>
      <c r="P39" s="334">
        <f>495-27</f>
        <v>468</v>
      </c>
      <c r="Q39" s="374">
        <v>0</v>
      </c>
      <c r="R39" s="374">
        <v>0</v>
      </c>
      <c r="S39" s="374">
        <v>0</v>
      </c>
      <c r="T39" s="374">
        <f>U39+V39+W39+X39</f>
        <v>432</v>
      </c>
      <c r="U39" s="374">
        <v>432</v>
      </c>
      <c r="V39" s="374">
        <v>0</v>
      </c>
      <c r="W39" s="374">
        <v>0</v>
      </c>
      <c r="X39" s="374">
        <v>0</v>
      </c>
      <c r="Y39" s="374">
        <f t="shared" si="16"/>
        <v>0</v>
      </c>
      <c r="Z39" s="374">
        <v>0</v>
      </c>
      <c r="AA39" s="374">
        <v>0</v>
      </c>
      <c r="AB39" s="374">
        <v>0</v>
      </c>
      <c r="AC39" s="374">
        <v>0</v>
      </c>
      <c r="AD39" s="374">
        <f>E39+J39+O39+T39+Y39</f>
        <v>1697</v>
      </c>
    </row>
    <row r="40" spans="1:31" ht="69.75">
      <c r="A40" s="369" t="s">
        <v>238</v>
      </c>
      <c r="B40" s="376" t="s">
        <v>77</v>
      </c>
      <c r="C40" s="463" t="s">
        <v>94</v>
      </c>
      <c r="D40" s="384" t="s">
        <v>310</v>
      </c>
      <c r="E40" s="374">
        <f t="shared" si="12"/>
        <v>12</v>
      </c>
      <c r="F40" s="374">
        <v>12</v>
      </c>
      <c r="G40" s="374">
        <v>0</v>
      </c>
      <c r="H40" s="374">
        <v>0</v>
      </c>
      <c r="I40" s="374">
        <v>0</v>
      </c>
      <c r="J40" s="374">
        <f t="shared" si="13"/>
        <v>12</v>
      </c>
      <c r="K40" s="374">
        <v>12</v>
      </c>
      <c r="L40" s="374">
        <v>0</v>
      </c>
      <c r="M40" s="374">
        <v>0</v>
      </c>
      <c r="N40" s="374">
        <v>0</v>
      </c>
      <c r="O40" s="374">
        <f t="shared" si="14"/>
        <v>12</v>
      </c>
      <c r="P40" s="374">
        <v>12</v>
      </c>
      <c r="Q40" s="374">
        <v>0</v>
      </c>
      <c r="R40" s="374">
        <v>0</v>
      </c>
      <c r="S40" s="374">
        <v>0</v>
      </c>
      <c r="T40" s="374">
        <f t="shared" si="15"/>
        <v>0</v>
      </c>
      <c r="U40" s="374">
        <v>0</v>
      </c>
      <c r="V40" s="374">
        <v>0</v>
      </c>
      <c r="W40" s="374">
        <v>0</v>
      </c>
      <c r="X40" s="374">
        <v>0</v>
      </c>
      <c r="Y40" s="374">
        <f t="shared" si="16"/>
        <v>0</v>
      </c>
      <c r="Z40" s="374">
        <v>0</v>
      </c>
      <c r="AA40" s="374">
        <v>0</v>
      </c>
      <c r="AB40" s="374">
        <v>0</v>
      </c>
      <c r="AC40" s="374">
        <v>0</v>
      </c>
      <c r="AD40" s="374">
        <f t="shared" si="17"/>
        <v>36</v>
      </c>
    </row>
    <row r="41" spans="1:31" ht="69.75">
      <c r="A41" s="369" t="s">
        <v>239</v>
      </c>
      <c r="B41" s="376" t="s">
        <v>265</v>
      </c>
      <c r="C41" s="706" t="s">
        <v>105</v>
      </c>
      <c r="D41" s="384" t="s">
        <v>168</v>
      </c>
      <c r="E41" s="374">
        <f t="shared" si="12"/>
        <v>50</v>
      </c>
      <c r="F41" s="374">
        <v>50</v>
      </c>
      <c r="G41" s="374">
        <v>0</v>
      </c>
      <c r="H41" s="374">
        <v>0</v>
      </c>
      <c r="I41" s="374">
        <v>0</v>
      </c>
      <c r="J41" s="374">
        <f t="shared" si="13"/>
        <v>0</v>
      </c>
      <c r="K41" s="374">
        <v>0</v>
      </c>
      <c r="L41" s="374">
        <v>0</v>
      </c>
      <c r="M41" s="374">
        <v>0</v>
      </c>
      <c r="N41" s="374">
        <v>0</v>
      </c>
      <c r="O41" s="374">
        <f t="shared" si="14"/>
        <v>0</v>
      </c>
      <c r="P41" s="374">
        <v>0</v>
      </c>
      <c r="Q41" s="374">
        <v>0</v>
      </c>
      <c r="R41" s="374">
        <v>0</v>
      </c>
      <c r="S41" s="374">
        <v>0</v>
      </c>
      <c r="T41" s="374">
        <f t="shared" si="15"/>
        <v>0</v>
      </c>
      <c r="U41" s="374">
        <v>0</v>
      </c>
      <c r="V41" s="374">
        <v>0</v>
      </c>
      <c r="W41" s="374">
        <v>0</v>
      </c>
      <c r="X41" s="374">
        <v>0</v>
      </c>
      <c r="Y41" s="374">
        <f t="shared" si="16"/>
        <v>0</v>
      </c>
      <c r="Z41" s="374">
        <v>0</v>
      </c>
      <c r="AA41" s="374">
        <v>0</v>
      </c>
      <c r="AB41" s="374">
        <v>0</v>
      </c>
      <c r="AC41" s="374">
        <v>0</v>
      </c>
      <c r="AD41" s="374">
        <f t="shared" si="17"/>
        <v>50</v>
      </c>
    </row>
    <row r="42" spans="1:31" ht="69.75">
      <c r="A42" s="369" t="s">
        <v>240</v>
      </c>
      <c r="B42" s="376" t="s">
        <v>111</v>
      </c>
      <c r="C42" s="716"/>
      <c r="D42" s="384" t="s">
        <v>168</v>
      </c>
      <c r="E42" s="374">
        <f t="shared" si="12"/>
        <v>50</v>
      </c>
      <c r="F42" s="374">
        <v>50</v>
      </c>
      <c r="G42" s="374">
        <v>0</v>
      </c>
      <c r="H42" s="374">
        <v>0</v>
      </c>
      <c r="I42" s="374">
        <v>0</v>
      </c>
      <c r="J42" s="374">
        <f t="shared" si="13"/>
        <v>50</v>
      </c>
      <c r="K42" s="374">
        <v>50</v>
      </c>
      <c r="L42" s="374">
        <v>0</v>
      </c>
      <c r="M42" s="374">
        <v>0</v>
      </c>
      <c r="N42" s="374">
        <v>0</v>
      </c>
      <c r="O42" s="334">
        <f t="shared" si="14"/>
        <v>100</v>
      </c>
      <c r="P42" s="334">
        <f>50+50</f>
        <v>100</v>
      </c>
      <c r="Q42" s="374">
        <v>0</v>
      </c>
      <c r="R42" s="374">
        <v>0</v>
      </c>
      <c r="S42" s="374">
        <v>0</v>
      </c>
      <c r="T42" s="374">
        <f t="shared" si="15"/>
        <v>50</v>
      </c>
      <c r="U42" s="374">
        <v>50</v>
      </c>
      <c r="V42" s="374">
        <v>0</v>
      </c>
      <c r="W42" s="374">
        <v>0</v>
      </c>
      <c r="X42" s="374">
        <v>0</v>
      </c>
      <c r="Y42" s="374">
        <f t="shared" si="16"/>
        <v>0</v>
      </c>
      <c r="Z42" s="374">
        <v>0</v>
      </c>
      <c r="AA42" s="374">
        <v>0</v>
      </c>
      <c r="AB42" s="374">
        <v>0</v>
      </c>
      <c r="AC42" s="374">
        <v>0</v>
      </c>
      <c r="AD42" s="374">
        <f t="shared" si="17"/>
        <v>250</v>
      </c>
    </row>
    <row r="43" spans="1:31" ht="93">
      <c r="A43" s="369" t="s">
        <v>241</v>
      </c>
      <c r="B43" s="376" t="s">
        <v>112</v>
      </c>
      <c r="C43" s="716"/>
      <c r="D43" s="384" t="s">
        <v>93</v>
      </c>
      <c r="E43" s="374">
        <f t="shared" si="12"/>
        <v>810</v>
      </c>
      <c r="F43" s="374">
        <f>480+330</f>
        <v>810</v>
      </c>
      <c r="G43" s="374">
        <v>0</v>
      </c>
      <c r="H43" s="374">
        <v>0</v>
      </c>
      <c r="I43" s="374">
        <v>0</v>
      </c>
      <c r="J43" s="374">
        <f>K43+L43+M43+N43</f>
        <v>770</v>
      </c>
      <c r="K43" s="374">
        <f>720+50</f>
        <v>770</v>
      </c>
      <c r="L43" s="374">
        <v>0</v>
      </c>
      <c r="M43" s="374">
        <v>0</v>
      </c>
      <c r="N43" s="374">
        <v>0</v>
      </c>
      <c r="O43" s="334">
        <f t="shared" si="14"/>
        <v>590</v>
      </c>
      <c r="P43" s="334">
        <f>720-130</f>
        <v>590</v>
      </c>
      <c r="Q43" s="374">
        <v>0</v>
      </c>
      <c r="R43" s="374">
        <v>0</v>
      </c>
      <c r="S43" s="374">
        <v>0</v>
      </c>
      <c r="T43" s="374">
        <f t="shared" si="15"/>
        <v>600</v>
      </c>
      <c r="U43" s="374">
        <v>600</v>
      </c>
      <c r="V43" s="374">
        <v>0</v>
      </c>
      <c r="W43" s="374">
        <v>0</v>
      </c>
      <c r="X43" s="374">
        <v>0</v>
      </c>
      <c r="Y43" s="374">
        <f t="shared" si="16"/>
        <v>0</v>
      </c>
      <c r="Z43" s="374">
        <v>0</v>
      </c>
      <c r="AA43" s="374">
        <v>0</v>
      </c>
      <c r="AB43" s="374">
        <v>0</v>
      </c>
      <c r="AC43" s="374">
        <v>0</v>
      </c>
      <c r="AD43" s="374">
        <f>E43+J43+O43+T43+Y43</f>
        <v>2770</v>
      </c>
    </row>
    <row r="44" spans="1:31" ht="93">
      <c r="A44" s="467" t="s">
        <v>242</v>
      </c>
      <c r="B44" s="376" t="s">
        <v>113</v>
      </c>
      <c r="C44" s="716"/>
      <c r="D44" s="384" t="s">
        <v>168</v>
      </c>
      <c r="E44" s="374">
        <f t="shared" si="12"/>
        <v>30</v>
      </c>
      <c r="F44" s="374">
        <v>30</v>
      </c>
      <c r="G44" s="374">
        <v>0</v>
      </c>
      <c r="H44" s="374">
        <v>0</v>
      </c>
      <c r="I44" s="374">
        <v>0</v>
      </c>
      <c r="J44" s="374">
        <f t="shared" si="13"/>
        <v>10</v>
      </c>
      <c r="K44" s="374">
        <v>10</v>
      </c>
      <c r="L44" s="374">
        <v>0</v>
      </c>
      <c r="M44" s="374">
        <v>0</v>
      </c>
      <c r="N44" s="374">
        <v>0</v>
      </c>
      <c r="O44" s="374">
        <f t="shared" si="14"/>
        <v>10</v>
      </c>
      <c r="P44" s="374">
        <v>10</v>
      </c>
      <c r="Q44" s="374">
        <v>0</v>
      </c>
      <c r="R44" s="374">
        <v>0</v>
      </c>
      <c r="S44" s="374">
        <v>0</v>
      </c>
      <c r="T44" s="374">
        <f t="shared" si="15"/>
        <v>10</v>
      </c>
      <c r="U44" s="374">
        <v>10</v>
      </c>
      <c r="V44" s="374">
        <v>0</v>
      </c>
      <c r="W44" s="374">
        <v>0</v>
      </c>
      <c r="X44" s="374">
        <v>0</v>
      </c>
      <c r="Y44" s="374">
        <f t="shared" si="16"/>
        <v>0</v>
      </c>
      <c r="Z44" s="374">
        <v>0</v>
      </c>
      <c r="AA44" s="374">
        <v>0</v>
      </c>
      <c r="AB44" s="374">
        <v>0</v>
      </c>
      <c r="AC44" s="374">
        <v>0</v>
      </c>
      <c r="AD44" s="374">
        <f t="shared" si="17"/>
        <v>60</v>
      </c>
    </row>
    <row r="45" spans="1:31" ht="69.75">
      <c r="A45" s="369" t="s">
        <v>243</v>
      </c>
      <c r="B45" s="376" t="s">
        <v>114</v>
      </c>
      <c r="C45" s="707"/>
      <c r="D45" s="384" t="s">
        <v>168</v>
      </c>
      <c r="E45" s="374">
        <f t="shared" si="12"/>
        <v>50</v>
      </c>
      <c r="F45" s="374">
        <v>50</v>
      </c>
      <c r="G45" s="374">
        <v>0</v>
      </c>
      <c r="H45" s="374">
        <v>0</v>
      </c>
      <c r="I45" s="374">
        <v>0</v>
      </c>
      <c r="J45" s="374">
        <f t="shared" si="13"/>
        <v>50</v>
      </c>
      <c r="K45" s="374">
        <v>50</v>
      </c>
      <c r="L45" s="374">
        <v>0</v>
      </c>
      <c r="M45" s="374">
        <v>0</v>
      </c>
      <c r="N45" s="374">
        <v>0</v>
      </c>
      <c r="O45" s="374">
        <f t="shared" si="14"/>
        <v>100</v>
      </c>
      <c r="P45" s="374">
        <v>100</v>
      </c>
      <c r="Q45" s="374">
        <v>0</v>
      </c>
      <c r="R45" s="374">
        <v>0</v>
      </c>
      <c r="S45" s="374">
        <v>0</v>
      </c>
      <c r="T45" s="374">
        <f t="shared" si="15"/>
        <v>50</v>
      </c>
      <c r="U45" s="374">
        <v>50</v>
      </c>
      <c r="V45" s="374">
        <v>0</v>
      </c>
      <c r="W45" s="374">
        <v>0</v>
      </c>
      <c r="X45" s="374">
        <v>0</v>
      </c>
      <c r="Y45" s="374">
        <f t="shared" si="16"/>
        <v>0</v>
      </c>
      <c r="Z45" s="374">
        <v>0</v>
      </c>
      <c r="AA45" s="374">
        <v>0</v>
      </c>
      <c r="AB45" s="374">
        <v>0</v>
      </c>
      <c r="AC45" s="374">
        <v>0</v>
      </c>
      <c r="AD45" s="374">
        <f t="shared" si="17"/>
        <v>250</v>
      </c>
    </row>
    <row r="46" spans="1:31" ht="69.75">
      <c r="A46" s="369" t="s">
        <v>244</v>
      </c>
      <c r="B46" s="376" t="s">
        <v>78</v>
      </c>
      <c r="C46" s="384" t="s">
        <v>18</v>
      </c>
      <c r="D46" s="384" t="s">
        <v>93</v>
      </c>
      <c r="E46" s="374">
        <f t="shared" si="12"/>
        <v>96</v>
      </c>
      <c r="F46" s="374">
        <f>96</f>
        <v>96</v>
      </c>
      <c r="G46" s="374">
        <v>0</v>
      </c>
      <c r="H46" s="374">
        <v>0</v>
      </c>
      <c r="I46" s="374">
        <v>0</v>
      </c>
      <c r="J46" s="374">
        <f t="shared" si="13"/>
        <v>43</v>
      </c>
      <c r="K46" s="374">
        <f>68-25</f>
        <v>43</v>
      </c>
      <c r="L46" s="374">
        <v>0</v>
      </c>
      <c r="M46" s="374">
        <v>0</v>
      </c>
      <c r="N46" s="374">
        <v>0</v>
      </c>
      <c r="O46" s="334">
        <f t="shared" si="14"/>
        <v>36</v>
      </c>
      <c r="P46" s="334">
        <f>53-17</f>
        <v>36</v>
      </c>
      <c r="Q46" s="374">
        <v>0</v>
      </c>
      <c r="R46" s="374">
        <v>0</v>
      </c>
      <c r="S46" s="374">
        <v>0</v>
      </c>
      <c r="T46" s="374">
        <f t="shared" si="15"/>
        <v>39</v>
      </c>
      <c r="U46" s="374">
        <v>39</v>
      </c>
      <c r="V46" s="374">
        <v>0</v>
      </c>
      <c r="W46" s="374">
        <v>0</v>
      </c>
      <c r="X46" s="374">
        <v>0</v>
      </c>
      <c r="Y46" s="374">
        <f t="shared" si="16"/>
        <v>0</v>
      </c>
      <c r="Z46" s="374">
        <v>0</v>
      </c>
      <c r="AA46" s="374">
        <v>0</v>
      </c>
      <c r="AB46" s="374">
        <v>0</v>
      </c>
      <c r="AC46" s="374">
        <v>0</v>
      </c>
      <c r="AD46" s="374">
        <f t="shared" si="17"/>
        <v>214</v>
      </c>
    </row>
    <row r="47" spans="1:31" ht="93">
      <c r="A47" s="369" t="s">
        <v>245</v>
      </c>
      <c r="B47" s="376" t="s">
        <v>145</v>
      </c>
      <c r="C47" s="384" t="s">
        <v>94</v>
      </c>
      <c r="D47" s="384" t="s">
        <v>93</v>
      </c>
      <c r="E47" s="374">
        <f>F47+G47+H47+I47</f>
        <v>28325</v>
      </c>
      <c r="F47" s="374">
        <f>6567-902</f>
        <v>5665</v>
      </c>
      <c r="G47" s="374">
        <f>26268-3608</f>
        <v>22660</v>
      </c>
      <c r="H47" s="374">
        <v>0</v>
      </c>
      <c r="I47" s="374">
        <v>0</v>
      </c>
      <c r="J47" s="374">
        <f>K47+L47+M47+N47</f>
        <v>4455</v>
      </c>
      <c r="K47" s="374">
        <f>550+341</f>
        <v>891</v>
      </c>
      <c r="L47" s="374">
        <v>3564</v>
      </c>
      <c r="M47" s="374">
        <v>0</v>
      </c>
      <c r="N47" s="374">
        <v>0</v>
      </c>
      <c r="O47" s="374">
        <f>P47+Q47+R47+S47</f>
        <v>550</v>
      </c>
      <c r="P47" s="374">
        <v>550</v>
      </c>
      <c r="Q47" s="374">
        <v>0</v>
      </c>
      <c r="R47" s="374">
        <v>0</v>
      </c>
      <c r="S47" s="374">
        <v>0</v>
      </c>
      <c r="T47" s="374">
        <f>U47+V47+W47+X47</f>
        <v>0</v>
      </c>
      <c r="U47" s="374">
        <v>0</v>
      </c>
      <c r="V47" s="374">
        <v>0</v>
      </c>
      <c r="W47" s="374">
        <v>0</v>
      </c>
      <c r="X47" s="374">
        <v>0</v>
      </c>
      <c r="Y47" s="374">
        <f>Z47+AA47+AB47+AC47</f>
        <v>0</v>
      </c>
      <c r="Z47" s="374">
        <v>0</v>
      </c>
      <c r="AA47" s="374">
        <v>0</v>
      </c>
      <c r="AB47" s="374">
        <v>0</v>
      </c>
      <c r="AC47" s="374">
        <v>0</v>
      </c>
      <c r="AD47" s="374">
        <f t="shared" si="17"/>
        <v>33330</v>
      </c>
      <c r="AE47" s="468"/>
    </row>
    <row r="48" spans="1:31" ht="46.5">
      <c r="A48" s="469" t="s">
        <v>246</v>
      </c>
      <c r="B48" s="470" t="s">
        <v>87</v>
      </c>
      <c r="C48" s="512" t="s">
        <v>52</v>
      </c>
      <c r="D48" s="384" t="s">
        <v>310</v>
      </c>
      <c r="E48" s="374">
        <f>F48+G48+H48+I48</f>
        <v>384.8</v>
      </c>
      <c r="F48" s="374">
        <f>387-2.2</f>
        <v>384.8</v>
      </c>
      <c r="G48" s="374">
        <v>0</v>
      </c>
      <c r="H48" s="374">
        <v>0</v>
      </c>
      <c r="I48" s="374">
        <v>0</v>
      </c>
      <c r="J48" s="374">
        <f>K48+L48+M48+N48</f>
        <v>362.1</v>
      </c>
      <c r="K48" s="374">
        <f>387-24.9</f>
        <v>362.1</v>
      </c>
      <c r="L48" s="374">
        <v>0</v>
      </c>
      <c r="M48" s="374">
        <v>0</v>
      </c>
      <c r="N48" s="374">
        <v>0</v>
      </c>
      <c r="O48" s="334">
        <f>P48+Q48+R48+S48</f>
        <v>379</v>
      </c>
      <c r="P48" s="334">
        <f>387-8</f>
        <v>379</v>
      </c>
      <c r="Q48" s="374">
        <v>0</v>
      </c>
      <c r="R48" s="374">
        <v>0</v>
      </c>
      <c r="S48" s="374">
        <v>0</v>
      </c>
      <c r="T48" s="374">
        <f>U48+V48+W48+X48</f>
        <v>0</v>
      </c>
      <c r="U48" s="374">
        <v>0</v>
      </c>
      <c r="V48" s="374">
        <v>0</v>
      </c>
      <c r="W48" s="374">
        <v>0</v>
      </c>
      <c r="X48" s="374">
        <v>0</v>
      </c>
      <c r="Y48" s="374">
        <f>Z48+AA48+AB48+AC48</f>
        <v>0</v>
      </c>
      <c r="Z48" s="374">
        <v>0</v>
      </c>
      <c r="AA48" s="374">
        <v>0</v>
      </c>
      <c r="AB48" s="374">
        <v>0</v>
      </c>
      <c r="AC48" s="374">
        <v>0</v>
      </c>
      <c r="AD48" s="374">
        <f t="shared" si="17"/>
        <v>1125.9000000000001</v>
      </c>
    </row>
    <row r="49" spans="1:32" ht="75">
      <c r="A49" s="469" t="s">
        <v>247</v>
      </c>
      <c r="B49" s="470" t="s">
        <v>132</v>
      </c>
      <c r="C49" s="512" t="s">
        <v>147</v>
      </c>
      <c r="D49" s="460">
        <v>2020</v>
      </c>
      <c r="E49" s="374">
        <f>F49+G49+H49+I49</f>
        <v>1248</v>
      </c>
      <c r="F49" s="374">
        <f>1248</f>
        <v>1248</v>
      </c>
      <c r="G49" s="374">
        <v>0</v>
      </c>
      <c r="H49" s="374">
        <v>0</v>
      </c>
      <c r="I49" s="374">
        <v>0</v>
      </c>
      <c r="J49" s="374">
        <f>K49+L49+M49+N49</f>
        <v>0</v>
      </c>
      <c r="K49" s="374">
        <v>0</v>
      </c>
      <c r="L49" s="374">
        <v>0</v>
      </c>
      <c r="M49" s="374">
        <v>0</v>
      </c>
      <c r="N49" s="374">
        <v>0</v>
      </c>
      <c r="O49" s="374">
        <f>P49+Q49+R49+S49</f>
        <v>0</v>
      </c>
      <c r="P49" s="374">
        <v>0</v>
      </c>
      <c r="Q49" s="374">
        <v>0</v>
      </c>
      <c r="R49" s="374">
        <v>0</v>
      </c>
      <c r="S49" s="374">
        <v>0</v>
      </c>
      <c r="T49" s="374">
        <f>U49+V49+W49+X49</f>
        <v>0</v>
      </c>
      <c r="U49" s="374">
        <v>0</v>
      </c>
      <c r="V49" s="374">
        <v>0</v>
      </c>
      <c r="W49" s="374">
        <v>0</v>
      </c>
      <c r="X49" s="374">
        <v>0</v>
      </c>
      <c r="Y49" s="374">
        <f>Z49+AA49+AB49+AC49</f>
        <v>0</v>
      </c>
      <c r="Z49" s="374">
        <v>0</v>
      </c>
      <c r="AA49" s="374">
        <v>0</v>
      </c>
      <c r="AB49" s="374">
        <v>0</v>
      </c>
      <c r="AC49" s="374">
        <v>0</v>
      </c>
      <c r="AD49" s="374">
        <f t="shared" si="17"/>
        <v>1248</v>
      </c>
    </row>
    <row r="50" spans="1:32" ht="23.25">
      <c r="A50" s="687" t="s">
        <v>315</v>
      </c>
      <c r="B50" s="688"/>
      <c r="C50" s="689"/>
      <c r="D50" s="466"/>
      <c r="E50" s="378">
        <f t="shared" ref="E50:K50" si="18">E51+E52</f>
        <v>38121.800000000003</v>
      </c>
      <c r="F50" s="378">
        <f t="shared" si="18"/>
        <v>15461.8</v>
      </c>
      <c r="G50" s="378">
        <f t="shared" si="18"/>
        <v>22660</v>
      </c>
      <c r="H50" s="378">
        <f t="shared" si="18"/>
        <v>0</v>
      </c>
      <c r="I50" s="378">
        <f t="shared" si="18"/>
        <v>0</v>
      </c>
      <c r="J50" s="378">
        <f>J52+J51</f>
        <v>11573.1</v>
      </c>
      <c r="K50" s="378">
        <f t="shared" si="18"/>
        <v>8009.1</v>
      </c>
      <c r="L50" s="378">
        <f>SUM(L35,L36:L48)</f>
        <v>3564</v>
      </c>
      <c r="M50" s="378">
        <f>SUM(M35,M36:M48)</f>
        <v>0</v>
      </c>
      <c r="N50" s="378">
        <f>SUM(N35,N36:N48)</f>
        <v>0</v>
      </c>
      <c r="O50" s="378">
        <f>O51+O52</f>
        <v>7008</v>
      </c>
      <c r="P50" s="378">
        <f>P51+P52</f>
        <v>7008</v>
      </c>
      <c r="Q50" s="378">
        <f>SUM(Q35,Q36:Q48)</f>
        <v>0</v>
      </c>
      <c r="R50" s="378">
        <f>SUM(R35,R36:R48)</f>
        <v>0</v>
      </c>
      <c r="S50" s="378">
        <f>SUM(S35,S36:S48)</f>
        <v>0</v>
      </c>
      <c r="T50" s="378">
        <f>T51+T52</f>
        <v>6317</v>
      </c>
      <c r="U50" s="378">
        <f>U35+U36+U37+U38+U39+U40+U41+U42+U43+U44+U45+U46+U47+U49</f>
        <v>6317</v>
      </c>
      <c r="V50" s="378">
        <f>SUM(V35,V36:V48)</f>
        <v>0</v>
      </c>
      <c r="W50" s="378">
        <f>SUM(W35,W36:W48)</f>
        <v>0</v>
      </c>
      <c r="X50" s="378">
        <f>SUM(X35,X36:X48)</f>
        <v>0</v>
      </c>
      <c r="Y50" s="378">
        <f>Y51+Y52</f>
        <v>0</v>
      </c>
      <c r="Z50" s="378">
        <f>Z51+Z52</f>
        <v>0</v>
      </c>
      <c r="AA50" s="378">
        <f>SUM(AA35,AA36:AA48)</f>
        <v>0</v>
      </c>
      <c r="AB50" s="378">
        <f>SUM(AB35,AB36:AB48)</f>
        <v>0</v>
      </c>
      <c r="AC50" s="378">
        <f>SUM(AC35,AC36:AC48)</f>
        <v>0</v>
      </c>
      <c r="AD50" s="378">
        <f t="shared" si="17"/>
        <v>63019.9</v>
      </c>
    </row>
    <row r="51" spans="1:32" ht="23.25">
      <c r="A51" s="379" t="s">
        <v>73</v>
      </c>
      <c r="B51" s="379"/>
      <c r="C51" s="506"/>
      <c r="D51" s="509"/>
      <c r="E51" s="472">
        <f t="shared" ref="E51:AC51" si="19">E48</f>
        <v>384.8</v>
      </c>
      <c r="F51" s="472">
        <f t="shared" si="19"/>
        <v>384.8</v>
      </c>
      <c r="G51" s="472">
        <v>0</v>
      </c>
      <c r="H51" s="472">
        <f t="shared" si="19"/>
        <v>0</v>
      </c>
      <c r="I51" s="472">
        <f t="shared" si="19"/>
        <v>0</v>
      </c>
      <c r="J51" s="472">
        <f t="shared" si="19"/>
        <v>362.1</v>
      </c>
      <c r="K51" s="472">
        <f t="shared" si="19"/>
        <v>362.1</v>
      </c>
      <c r="L51" s="472">
        <f t="shared" si="19"/>
        <v>0</v>
      </c>
      <c r="M51" s="472">
        <f t="shared" si="19"/>
        <v>0</v>
      </c>
      <c r="N51" s="472">
        <f t="shared" si="19"/>
        <v>0</v>
      </c>
      <c r="O51" s="472">
        <f t="shared" si="19"/>
        <v>379</v>
      </c>
      <c r="P51" s="472">
        <f t="shared" si="19"/>
        <v>379</v>
      </c>
      <c r="Q51" s="472">
        <f t="shared" si="19"/>
        <v>0</v>
      </c>
      <c r="R51" s="472">
        <f t="shared" si="19"/>
        <v>0</v>
      </c>
      <c r="S51" s="472">
        <f t="shared" si="19"/>
        <v>0</v>
      </c>
      <c r="T51" s="472">
        <f t="shared" si="19"/>
        <v>0</v>
      </c>
      <c r="U51" s="472">
        <f t="shared" si="19"/>
        <v>0</v>
      </c>
      <c r="V51" s="472">
        <f t="shared" si="19"/>
        <v>0</v>
      </c>
      <c r="W51" s="472">
        <f t="shared" si="19"/>
        <v>0</v>
      </c>
      <c r="X51" s="472">
        <f t="shared" si="19"/>
        <v>0</v>
      </c>
      <c r="Y51" s="472">
        <f t="shared" si="19"/>
        <v>0</v>
      </c>
      <c r="Z51" s="472">
        <f t="shared" si="19"/>
        <v>0</v>
      </c>
      <c r="AA51" s="472">
        <f t="shared" si="19"/>
        <v>0</v>
      </c>
      <c r="AB51" s="472">
        <f t="shared" si="19"/>
        <v>0</v>
      </c>
      <c r="AC51" s="472">
        <f t="shared" si="19"/>
        <v>0</v>
      </c>
      <c r="AD51" s="473">
        <f t="shared" si="17"/>
        <v>1125.9000000000001</v>
      </c>
    </row>
    <row r="52" spans="1:32" ht="23.25">
      <c r="A52" s="379" t="s">
        <v>135</v>
      </c>
      <c r="B52" s="379"/>
      <c r="C52" s="506"/>
      <c r="D52" s="509"/>
      <c r="E52" s="374">
        <f>E35+E36+E37+E38+E39+E40+E41+E42+E43+E44+E45+E46+E47+E49</f>
        <v>37737</v>
      </c>
      <c r="F52" s="374">
        <f>F35+F36+F37+F38+F39+F40+F41+F42+F43+F44+F45+F46+F47+F49</f>
        <v>15077</v>
      </c>
      <c r="G52" s="374">
        <v>22660</v>
      </c>
      <c r="H52" s="374">
        <f>0</f>
        <v>0</v>
      </c>
      <c r="I52" s="374">
        <v>0</v>
      </c>
      <c r="J52" s="374">
        <f>J35+J36+J37+J38+J39+J40+J41+J42+J43+J44+J45+J46+J47+J49</f>
        <v>11211</v>
      </c>
      <c r="K52" s="374">
        <f>K35+K36+K37+K38+K39+K40+K41+K42+K43+K44+K45+K46+K47+K49</f>
        <v>7647</v>
      </c>
      <c r="L52" s="374">
        <v>0</v>
      </c>
      <c r="M52" s="374">
        <v>0</v>
      </c>
      <c r="N52" s="374">
        <v>0</v>
      </c>
      <c r="O52" s="374">
        <f>O35+O36+O37+O38+O39+O40+O42+O41+O43+O44+O45+O46+O47+O49</f>
        <v>6629</v>
      </c>
      <c r="P52" s="374">
        <f>P35+P36+P37+P38+P39+P40+P41+P42+P43+P44+P45+P46+P47+P49</f>
        <v>6629</v>
      </c>
      <c r="Q52" s="374">
        <v>0</v>
      </c>
      <c r="R52" s="374">
        <v>0</v>
      </c>
      <c r="S52" s="374">
        <v>0</v>
      </c>
      <c r="T52" s="374">
        <f>T35+T36+T37+T38+T39+T40+T41+T42+T43+T44+T45+T46+T47+T49</f>
        <v>6317</v>
      </c>
      <c r="U52" s="374">
        <f>U35+U36+U37+U38+U39+U40+U41+U42+U43+U44+U45+U46+U47+U49</f>
        <v>6317</v>
      </c>
      <c r="V52" s="374">
        <v>0</v>
      </c>
      <c r="W52" s="374">
        <v>0</v>
      </c>
      <c r="X52" s="374">
        <v>0</v>
      </c>
      <c r="Y52" s="374">
        <f>Y35+Y36+Y37+Y38+Y39+Y40+Y41+Y42+Y43+Y44+Y45+Y46+Y47+Y49</f>
        <v>0</v>
      </c>
      <c r="Z52" s="374">
        <f>Z35+Z36+Z37+Z38+Z39+Z40+Z41+Z42+Z43+Z44+Z45+Z46+Z47+Z49</f>
        <v>0</v>
      </c>
      <c r="AA52" s="374">
        <v>0</v>
      </c>
      <c r="AB52" s="374">
        <v>0</v>
      </c>
      <c r="AC52" s="374">
        <v>0</v>
      </c>
      <c r="AD52" s="374">
        <f t="shared" si="17"/>
        <v>61894</v>
      </c>
    </row>
    <row r="53" spans="1:32" ht="23.25" customHeight="1">
      <c r="A53" s="384" t="s">
        <v>223</v>
      </c>
      <c r="B53" s="690" t="s">
        <v>324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2"/>
    </row>
    <row r="54" spans="1:32" ht="63" customHeight="1">
      <c r="A54" s="369" t="s">
        <v>27</v>
      </c>
      <c r="B54" s="376" t="s">
        <v>120</v>
      </c>
      <c r="C54" s="384" t="s">
        <v>94</v>
      </c>
      <c r="D54" s="384" t="s">
        <v>93</v>
      </c>
      <c r="E54" s="374">
        <f>F54+G54+H54+I54</f>
        <v>700</v>
      </c>
      <c r="F54" s="374">
        <f>700</f>
        <v>700</v>
      </c>
      <c r="G54" s="374">
        <v>0</v>
      </c>
      <c r="H54" s="374">
        <v>0</v>
      </c>
      <c r="I54" s="374">
        <v>0</v>
      </c>
      <c r="J54" s="374">
        <f>K54+L54+M54+N54</f>
        <v>498</v>
      </c>
      <c r="K54" s="374">
        <f>600-102</f>
        <v>498</v>
      </c>
      <c r="L54" s="374">
        <v>0</v>
      </c>
      <c r="M54" s="374">
        <v>0</v>
      </c>
      <c r="N54" s="374">
        <v>0</v>
      </c>
      <c r="O54" s="334">
        <f>P54+Q54+R54+S54</f>
        <v>554</v>
      </c>
      <c r="P54" s="334">
        <f>600-46</f>
        <v>554</v>
      </c>
      <c r="Q54" s="374">
        <v>0</v>
      </c>
      <c r="R54" s="374">
        <v>0</v>
      </c>
      <c r="S54" s="374">
        <v>0</v>
      </c>
      <c r="T54" s="374">
        <f>U54+V54+W54+X54</f>
        <v>555</v>
      </c>
      <c r="U54" s="374">
        <v>555</v>
      </c>
      <c r="V54" s="374">
        <v>0</v>
      </c>
      <c r="W54" s="374">
        <v>0</v>
      </c>
      <c r="X54" s="374">
        <v>0</v>
      </c>
      <c r="Y54" s="374">
        <f>Z54+AA54+AB54+AC54</f>
        <v>0</v>
      </c>
      <c r="Z54" s="374">
        <v>0</v>
      </c>
      <c r="AA54" s="374">
        <v>0</v>
      </c>
      <c r="AB54" s="374">
        <v>0</v>
      </c>
      <c r="AC54" s="374">
        <v>0</v>
      </c>
      <c r="AD54" s="374">
        <f>E54+J54+O54+T54+Y54</f>
        <v>2307</v>
      </c>
    </row>
    <row r="55" spans="1:32" ht="23.25">
      <c r="A55" s="687" t="s">
        <v>316</v>
      </c>
      <c r="B55" s="688"/>
      <c r="C55" s="689"/>
      <c r="D55" s="466"/>
      <c r="E55" s="378">
        <f t="shared" ref="E55:AD55" si="20">SUM(E54:E54)</f>
        <v>700</v>
      </c>
      <c r="F55" s="378">
        <f>SUM(F54)</f>
        <v>700</v>
      </c>
      <c r="G55" s="378">
        <f t="shared" si="20"/>
        <v>0</v>
      </c>
      <c r="H55" s="378">
        <f t="shared" si="20"/>
        <v>0</v>
      </c>
      <c r="I55" s="378">
        <f t="shared" si="20"/>
        <v>0</v>
      </c>
      <c r="J55" s="378">
        <f>J54</f>
        <v>498</v>
      </c>
      <c r="K55" s="378">
        <f t="shared" si="20"/>
        <v>498</v>
      </c>
      <c r="L55" s="378">
        <f t="shared" si="20"/>
        <v>0</v>
      </c>
      <c r="M55" s="378">
        <f t="shared" si="20"/>
        <v>0</v>
      </c>
      <c r="N55" s="378">
        <f t="shared" si="20"/>
        <v>0</v>
      </c>
      <c r="O55" s="378">
        <f t="shared" si="20"/>
        <v>554</v>
      </c>
      <c r="P55" s="378">
        <f t="shared" si="20"/>
        <v>554</v>
      </c>
      <c r="Q55" s="378">
        <f t="shared" si="20"/>
        <v>0</v>
      </c>
      <c r="R55" s="378">
        <f t="shared" si="20"/>
        <v>0</v>
      </c>
      <c r="S55" s="378">
        <f t="shared" si="20"/>
        <v>0</v>
      </c>
      <c r="T55" s="378">
        <f t="shared" si="20"/>
        <v>555</v>
      </c>
      <c r="U55" s="378">
        <f t="shared" si="20"/>
        <v>555</v>
      </c>
      <c r="V55" s="378">
        <f t="shared" si="20"/>
        <v>0</v>
      </c>
      <c r="W55" s="378">
        <f t="shared" si="20"/>
        <v>0</v>
      </c>
      <c r="X55" s="378">
        <f t="shared" si="20"/>
        <v>0</v>
      </c>
      <c r="Y55" s="378">
        <f t="shared" si="20"/>
        <v>0</v>
      </c>
      <c r="Z55" s="378">
        <f t="shared" si="20"/>
        <v>0</v>
      </c>
      <c r="AA55" s="378">
        <f t="shared" si="20"/>
        <v>0</v>
      </c>
      <c r="AB55" s="378">
        <f t="shared" si="20"/>
        <v>0</v>
      </c>
      <c r="AC55" s="378">
        <f t="shared" si="20"/>
        <v>0</v>
      </c>
      <c r="AD55" s="378">
        <f t="shared" si="20"/>
        <v>2307</v>
      </c>
    </row>
    <row r="56" spans="1:32" ht="23.25" customHeight="1">
      <c r="A56" s="384" t="s">
        <v>249</v>
      </c>
      <c r="B56" s="690" t="s">
        <v>325</v>
      </c>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2"/>
    </row>
    <row r="57" spans="1:32" ht="111" customHeight="1">
      <c r="A57" s="702" t="s">
        <v>46</v>
      </c>
      <c r="B57" s="704" t="s">
        <v>291</v>
      </c>
      <c r="C57" s="384" t="s">
        <v>285</v>
      </c>
      <c r="D57" s="474">
        <v>2020</v>
      </c>
      <c r="E57" s="374">
        <f>F57+G57+H57+I57</f>
        <v>1449</v>
      </c>
      <c r="F57" s="374">
        <f>1656-207</f>
        <v>1449</v>
      </c>
      <c r="G57" s="374">
        <v>0</v>
      </c>
      <c r="H57" s="374">
        <v>0</v>
      </c>
      <c r="I57" s="374">
        <v>0</v>
      </c>
      <c r="J57" s="374">
        <f>K57+L57+M57+N57</f>
        <v>0</v>
      </c>
      <c r="K57" s="374">
        <v>0</v>
      </c>
      <c r="L57" s="374">
        <v>0</v>
      </c>
      <c r="M57" s="374">
        <v>0</v>
      </c>
      <c r="N57" s="374">
        <v>0</v>
      </c>
      <c r="O57" s="374">
        <f>P57+Q57+R57+S57</f>
        <v>0</v>
      </c>
      <c r="P57" s="374">
        <v>0</v>
      </c>
      <c r="Q57" s="374">
        <v>0</v>
      </c>
      <c r="R57" s="374">
        <v>0</v>
      </c>
      <c r="S57" s="374">
        <v>0</v>
      </c>
      <c r="T57" s="374">
        <f t="shared" ref="T57:T59" si="21">U57+V57+W57+X57</f>
        <v>0</v>
      </c>
      <c r="U57" s="374">
        <v>0</v>
      </c>
      <c r="V57" s="374">
        <v>0</v>
      </c>
      <c r="W57" s="374">
        <v>0</v>
      </c>
      <c r="X57" s="374">
        <v>0</v>
      </c>
      <c r="Y57" s="374">
        <f>Z57+AA57+AB57+AC57</f>
        <v>0</v>
      </c>
      <c r="Z57" s="374">
        <v>0</v>
      </c>
      <c r="AA57" s="374">
        <v>0</v>
      </c>
      <c r="AB57" s="374">
        <v>0</v>
      </c>
      <c r="AC57" s="374">
        <v>0</v>
      </c>
      <c r="AD57" s="374">
        <f>E57+I57+O57+T57+0</f>
        <v>1449</v>
      </c>
    </row>
    <row r="58" spans="1:32" ht="76.5" customHeight="1">
      <c r="A58" s="703"/>
      <c r="B58" s="705"/>
      <c r="C58" s="384" t="s">
        <v>286</v>
      </c>
      <c r="D58" s="474" t="s">
        <v>284</v>
      </c>
      <c r="E58" s="374">
        <f>F58+G58+H58+I58</f>
        <v>0</v>
      </c>
      <c r="F58" s="374">
        <v>0</v>
      </c>
      <c r="G58" s="374">
        <v>0</v>
      </c>
      <c r="H58" s="374">
        <v>0</v>
      </c>
      <c r="I58" s="374">
        <v>0</v>
      </c>
      <c r="J58" s="374">
        <f>K58+L58+M58+N58</f>
        <v>850</v>
      </c>
      <c r="K58" s="374">
        <f>1437-237-350</f>
        <v>850</v>
      </c>
      <c r="L58" s="374">
        <v>0</v>
      </c>
      <c r="M58" s="374">
        <v>0</v>
      </c>
      <c r="N58" s="374">
        <v>0</v>
      </c>
      <c r="O58" s="334">
        <f>P58+Q58+R58+S58</f>
        <v>997</v>
      </c>
      <c r="P58" s="334">
        <f>1437-175-3-262</f>
        <v>997</v>
      </c>
      <c r="Q58" s="374">
        <v>0</v>
      </c>
      <c r="R58" s="374">
        <v>0</v>
      </c>
      <c r="S58" s="374">
        <v>0</v>
      </c>
      <c r="T58" s="334">
        <f t="shared" si="21"/>
        <v>2022</v>
      </c>
      <c r="U58" s="334">
        <v>2022</v>
      </c>
      <c r="V58" s="374">
        <v>0</v>
      </c>
      <c r="W58" s="374">
        <v>0</v>
      </c>
      <c r="X58" s="374">
        <v>0</v>
      </c>
      <c r="Y58" s="374">
        <f>Z58+AA58+AB58+AC58</f>
        <v>2022</v>
      </c>
      <c r="Z58" s="374">
        <v>2022</v>
      </c>
      <c r="AA58" s="374">
        <v>0</v>
      </c>
      <c r="AB58" s="374">
        <v>0</v>
      </c>
      <c r="AC58" s="374">
        <v>0</v>
      </c>
      <c r="AD58" s="374">
        <f>E58+J58+O58+T58+Y58</f>
        <v>5891</v>
      </c>
    </row>
    <row r="59" spans="1:32" ht="69.75">
      <c r="A59" s="369" t="s">
        <v>251</v>
      </c>
      <c r="B59" s="376" t="s">
        <v>292</v>
      </c>
      <c r="C59" s="384" t="s">
        <v>52</v>
      </c>
      <c r="D59" s="384" t="s">
        <v>93</v>
      </c>
      <c r="E59" s="374">
        <f>F59+G59+H59+I59</f>
        <v>55</v>
      </c>
      <c r="F59" s="374">
        <f>86-31</f>
        <v>55</v>
      </c>
      <c r="G59" s="374">
        <v>0</v>
      </c>
      <c r="H59" s="374">
        <v>0</v>
      </c>
      <c r="I59" s="374">
        <v>0</v>
      </c>
      <c r="J59" s="374">
        <f>K59+L59+M59+N59</f>
        <v>60.5</v>
      </c>
      <c r="K59" s="374">
        <f>70-9.5</f>
        <v>60.5</v>
      </c>
      <c r="L59" s="374">
        <v>0</v>
      </c>
      <c r="M59" s="374">
        <v>0</v>
      </c>
      <c r="N59" s="374">
        <v>0</v>
      </c>
      <c r="O59" s="334">
        <f>P59+Q59+R59+S59</f>
        <v>134.19999999999999</v>
      </c>
      <c r="P59" s="334">
        <f>153-18.8</f>
        <v>134.19999999999999</v>
      </c>
      <c r="Q59" s="374">
        <v>0</v>
      </c>
      <c r="R59" s="374">
        <v>0</v>
      </c>
      <c r="S59" s="374">
        <v>0</v>
      </c>
      <c r="T59" s="334">
        <f t="shared" si="21"/>
        <v>138</v>
      </c>
      <c r="U59" s="334">
        <f>146-8</f>
        <v>138</v>
      </c>
      <c r="V59" s="334">
        <v>0</v>
      </c>
      <c r="W59" s="334">
        <v>0</v>
      </c>
      <c r="X59" s="334">
        <v>0</v>
      </c>
      <c r="Y59" s="374">
        <f>Z59+AA59+AB59+AC59</f>
        <v>146</v>
      </c>
      <c r="Z59" s="374">
        <v>146</v>
      </c>
      <c r="AA59" s="374">
        <v>0</v>
      </c>
      <c r="AB59" s="374">
        <v>0</v>
      </c>
      <c r="AC59" s="374">
        <v>0</v>
      </c>
      <c r="AD59" s="374">
        <f>E59+J59+O59+T59+Y59</f>
        <v>533.70000000000005</v>
      </c>
    </row>
    <row r="60" spans="1:32" ht="23.25">
      <c r="A60" s="379" t="s">
        <v>73</v>
      </c>
      <c r="B60" s="379"/>
      <c r="C60" s="506"/>
      <c r="D60" s="466"/>
      <c r="E60" s="374">
        <f>E59</f>
        <v>55</v>
      </c>
      <c r="F60" s="374">
        <f>F59</f>
        <v>55</v>
      </c>
      <c r="G60" s="374">
        <v>0</v>
      </c>
      <c r="H60" s="374">
        <v>0</v>
      </c>
      <c r="I60" s="374">
        <v>0</v>
      </c>
      <c r="J60" s="374">
        <f>K60+L60+M60+N60</f>
        <v>910.5</v>
      </c>
      <c r="K60" s="374">
        <f>K58+K59</f>
        <v>910.5</v>
      </c>
      <c r="L60" s="374">
        <v>0</v>
      </c>
      <c r="M60" s="374">
        <v>0</v>
      </c>
      <c r="N60" s="374">
        <v>0</v>
      </c>
      <c r="O60" s="374">
        <f>P60+Q60+R60+S60</f>
        <v>1131.2</v>
      </c>
      <c r="P60" s="374">
        <f>P58+P59</f>
        <v>1131.2</v>
      </c>
      <c r="Q60" s="374">
        <v>0</v>
      </c>
      <c r="R60" s="374">
        <v>0</v>
      </c>
      <c r="S60" s="374">
        <v>0</v>
      </c>
      <c r="T60" s="374">
        <f>T58+T59</f>
        <v>2160</v>
      </c>
      <c r="U60" s="374">
        <f>U58+U59</f>
        <v>2160</v>
      </c>
      <c r="V60" s="374">
        <v>0</v>
      </c>
      <c r="W60" s="374">
        <v>0</v>
      </c>
      <c r="X60" s="374">
        <v>0</v>
      </c>
      <c r="Y60" s="374">
        <f>Y58+Y59</f>
        <v>2168</v>
      </c>
      <c r="Z60" s="374">
        <f>Z58+Z59</f>
        <v>2168</v>
      </c>
      <c r="AA60" s="374">
        <v>0</v>
      </c>
      <c r="AB60" s="374">
        <v>0</v>
      </c>
      <c r="AC60" s="374">
        <v>0</v>
      </c>
      <c r="AD60" s="374">
        <f>AD58+AD59</f>
        <v>6424.7</v>
      </c>
    </row>
    <row r="61" spans="1:32" ht="23.25">
      <c r="A61" s="379" t="s">
        <v>135</v>
      </c>
      <c r="B61" s="379"/>
      <c r="C61" s="506"/>
      <c r="D61" s="466"/>
      <c r="E61" s="374">
        <f>F61+G61+H61+I61</f>
        <v>1449</v>
      </c>
      <c r="F61" s="374">
        <f>F57</f>
        <v>1449</v>
      </c>
      <c r="G61" s="374">
        <v>0</v>
      </c>
      <c r="H61" s="374">
        <v>0</v>
      </c>
      <c r="I61" s="374">
        <v>0</v>
      </c>
      <c r="J61" s="374">
        <v>0</v>
      </c>
      <c r="K61" s="374">
        <v>0</v>
      </c>
      <c r="L61" s="374">
        <v>0</v>
      </c>
      <c r="M61" s="374">
        <v>0</v>
      </c>
      <c r="N61" s="374">
        <v>0</v>
      </c>
      <c r="O61" s="374">
        <v>0</v>
      </c>
      <c r="P61" s="374">
        <v>0</v>
      </c>
      <c r="Q61" s="374">
        <v>0</v>
      </c>
      <c r="R61" s="374">
        <v>0</v>
      </c>
      <c r="S61" s="374">
        <v>0</v>
      </c>
      <c r="T61" s="374">
        <v>0</v>
      </c>
      <c r="U61" s="374">
        <v>0</v>
      </c>
      <c r="V61" s="374">
        <v>0</v>
      </c>
      <c r="W61" s="374">
        <v>0</v>
      </c>
      <c r="X61" s="374">
        <v>0</v>
      </c>
      <c r="Y61" s="374">
        <v>0</v>
      </c>
      <c r="Z61" s="374">
        <v>0</v>
      </c>
      <c r="AA61" s="374">
        <v>0</v>
      </c>
      <c r="AB61" s="374">
        <v>0</v>
      </c>
      <c r="AC61" s="374">
        <v>0</v>
      </c>
      <c r="AD61" s="374">
        <f>AD57</f>
        <v>1449</v>
      </c>
    </row>
    <row r="62" spans="1:32" s="468" customFormat="1" ht="22.5">
      <c r="A62" s="475"/>
      <c r="B62" s="475" t="s">
        <v>303</v>
      </c>
      <c r="C62" s="476"/>
      <c r="D62" s="477"/>
      <c r="E62" s="378">
        <f>F62+G62+H62+I62</f>
        <v>1504</v>
      </c>
      <c r="F62" s="378">
        <f>F60+F61</f>
        <v>1504</v>
      </c>
      <c r="G62" s="378">
        <v>0</v>
      </c>
      <c r="H62" s="378">
        <v>0</v>
      </c>
      <c r="I62" s="378">
        <v>0</v>
      </c>
      <c r="J62" s="378">
        <f>K62+L62+M62+N62</f>
        <v>910.5</v>
      </c>
      <c r="K62" s="378">
        <f>K60+K61</f>
        <v>910.5</v>
      </c>
      <c r="L62" s="378">
        <v>0</v>
      </c>
      <c r="M62" s="378">
        <v>0</v>
      </c>
      <c r="N62" s="378">
        <v>0</v>
      </c>
      <c r="O62" s="378">
        <f>P62+Q62+R62+S62</f>
        <v>1131.2</v>
      </c>
      <c r="P62" s="378">
        <f>P60+P61</f>
        <v>1131.2</v>
      </c>
      <c r="Q62" s="378">
        <v>0</v>
      </c>
      <c r="R62" s="378">
        <v>0</v>
      </c>
      <c r="S62" s="378">
        <v>0</v>
      </c>
      <c r="T62" s="378">
        <f>U62+V62+W62+X62</f>
        <v>2160</v>
      </c>
      <c r="U62" s="378">
        <f>U60+U61</f>
        <v>2160</v>
      </c>
      <c r="V62" s="378">
        <v>0</v>
      </c>
      <c r="W62" s="378">
        <v>0</v>
      </c>
      <c r="X62" s="378">
        <v>0</v>
      </c>
      <c r="Y62" s="378">
        <f>Z62+AA62+AB62+AC62</f>
        <v>2168</v>
      </c>
      <c r="Z62" s="378">
        <f>Z60+Z61</f>
        <v>2168</v>
      </c>
      <c r="AA62" s="378">
        <v>0</v>
      </c>
      <c r="AB62" s="378">
        <v>0</v>
      </c>
      <c r="AC62" s="378">
        <v>0</v>
      </c>
      <c r="AD62" s="378">
        <f>E62+J62+O62+T62+Y62</f>
        <v>7873.7</v>
      </c>
    </row>
    <row r="63" spans="1:32" ht="23.25">
      <c r="A63" s="384" t="s">
        <v>224</v>
      </c>
      <c r="B63" s="690" t="s">
        <v>326</v>
      </c>
      <c r="C63" s="691"/>
      <c r="D63" s="691"/>
      <c r="E63" s="691"/>
      <c r="F63" s="691"/>
      <c r="G63" s="691"/>
      <c r="H63" s="691"/>
      <c r="I63" s="691"/>
      <c r="J63" s="691"/>
      <c r="K63" s="691"/>
      <c r="L63" s="691"/>
      <c r="M63" s="691"/>
      <c r="N63" s="691"/>
      <c r="O63" s="691"/>
      <c r="P63" s="691"/>
      <c r="Q63" s="691"/>
      <c r="R63" s="691"/>
      <c r="S63" s="691"/>
      <c r="T63" s="691"/>
      <c r="U63" s="691"/>
      <c r="V63" s="691"/>
      <c r="W63" s="691"/>
      <c r="X63" s="691"/>
      <c r="Y63" s="691"/>
      <c r="Z63" s="691"/>
      <c r="AA63" s="691"/>
      <c r="AB63" s="691"/>
      <c r="AC63" s="691"/>
      <c r="AD63" s="692"/>
    </row>
    <row r="64" spans="1:32" ht="87.75" customHeight="1">
      <c r="A64" s="369" t="s">
        <v>48</v>
      </c>
      <c r="B64" s="370" t="s">
        <v>108</v>
      </c>
      <c r="C64" s="384" t="s">
        <v>94</v>
      </c>
      <c r="D64" s="384" t="s">
        <v>93</v>
      </c>
      <c r="E64" s="374">
        <f>F64+G64+H64+I64</f>
        <v>766</v>
      </c>
      <c r="F64" s="374">
        <f>409+357</f>
        <v>766</v>
      </c>
      <c r="G64" s="374">
        <v>0</v>
      </c>
      <c r="H64" s="374">
        <v>0</v>
      </c>
      <c r="I64" s="374">
        <v>0</v>
      </c>
      <c r="J64" s="374">
        <f>K64+L64+M64+N64</f>
        <v>628</v>
      </c>
      <c r="K64" s="374">
        <f>655-27</f>
        <v>628</v>
      </c>
      <c r="L64" s="374">
        <v>0</v>
      </c>
      <c r="M64" s="374">
        <v>0</v>
      </c>
      <c r="N64" s="374">
        <v>0</v>
      </c>
      <c r="O64" s="334">
        <f>P64+Q64+R64+S64</f>
        <v>508.79999999999995</v>
      </c>
      <c r="P64" s="334">
        <f>533-23.2+34-35</f>
        <v>508.79999999999995</v>
      </c>
      <c r="Q64" s="374">
        <v>0</v>
      </c>
      <c r="R64" s="374">
        <v>0</v>
      </c>
      <c r="S64" s="374">
        <v>0</v>
      </c>
      <c r="T64" s="374">
        <f>U64+V64+W64+X64</f>
        <v>503</v>
      </c>
      <c r="U64" s="374">
        <v>503</v>
      </c>
      <c r="V64" s="374">
        <v>0</v>
      </c>
      <c r="W64" s="374">
        <v>0</v>
      </c>
      <c r="X64" s="374">
        <v>0</v>
      </c>
      <c r="Y64" s="374">
        <f>Z64+AA64+AB64+AC64</f>
        <v>0</v>
      </c>
      <c r="Z64" s="374">
        <v>0</v>
      </c>
      <c r="AA64" s="374">
        <v>0</v>
      </c>
      <c r="AB64" s="374">
        <v>0</v>
      </c>
      <c r="AC64" s="374">
        <v>0</v>
      </c>
      <c r="AD64" s="374">
        <f>E64+J64+O64+T64+Y64</f>
        <v>2405.8000000000002</v>
      </c>
      <c r="AF64" s="453" t="s">
        <v>131</v>
      </c>
    </row>
    <row r="65" spans="1:30">
      <c r="A65" s="696" t="s">
        <v>317</v>
      </c>
      <c r="B65" s="697"/>
      <c r="C65" s="698"/>
      <c r="D65" s="466"/>
      <c r="E65" s="378">
        <f t="shared" ref="E65:AD65" si="22">SUM(E64:E64)</f>
        <v>766</v>
      </c>
      <c r="F65" s="378">
        <f>SUM(F64)</f>
        <v>766</v>
      </c>
      <c r="G65" s="378">
        <f t="shared" si="22"/>
        <v>0</v>
      </c>
      <c r="H65" s="378">
        <f t="shared" si="22"/>
        <v>0</v>
      </c>
      <c r="I65" s="378">
        <f t="shared" si="22"/>
        <v>0</v>
      </c>
      <c r="J65" s="378">
        <f>J64</f>
        <v>628</v>
      </c>
      <c r="K65" s="378">
        <f t="shared" si="22"/>
        <v>628</v>
      </c>
      <c r="L65" s="378">
        <f t="shared" si="22"/>
        <v>0</v>
      </c>
      <c r="M65" s="378">
        <f t="shared" si="22"/>
        <v>0</v>
      </c>
      <c r="N65" s="378">
        <f t="shared" si="22"/>
        <v>0</v>
      </c>
      <c r="O65" s="378">
        <f t="shared" si="22"/>
        <v>508.79999999999995</v>
      </c>
      <c r="P65" s="378">
        <f t="shared" si="22"/>
        <v>508.79999999999995</v>
      </c>
      <c r="Q65" s="378">
        <f t="shared" si="22"/>
        <v>0</v>
      </c>
      <c r="R65" s="378">
        <f t="shared" si="22"/>
        <v>0</v>
      </c>
      <c r="S65" s="378">
        <f t="shared" si="22"/>
        <v>0</v>
      </c>
      <c r="T65" s="378">
        <f t="shared" si="22"/>
        <v>503</v>
      </c>
      <c r="U65" s="378">
        <f t="shared" si="22"/>
        <v>503</v>
      </c>
      <c r="V65" s="378">
        <f t="shared" si="22"/>
        <v>0</v>
      </c>
      <c r="W65" s="378">
        <f t="shared" si="22"/>
        <v>0</v>
      </c>
      <c r="X65" s="378">
        <f t="shared" si="22"/>
        <v>0</v>
      </c>
      <c r="Y65" s="378">
        <f t="shared" si="22"/>
        <v>0</v>
      </c>
      <c r="Z65" s="378">
        <f t="shared" si="22"/>
        <v>0</v>
      </c>
      <c r="AA65" s="378">
        <f t="shared" si="22"/>
        <v>0</v>
      </c>
      <c r="AB65" s="378">
        <f t="shared" si="22"/>
        <v>0</v>
      </c>
      <c r="AC65" s="378">
        <f t="shared" si="22"/>
        <v>0</v>
      </c>
      <c r="AD65" s="378">
        <f t="shared" si="22"/>
        <v>2405.8000000000002</v>
      </c>
    </row>
    <row r="66" spans="1:30" ht="23.25">
      <c r="A66" s="466" t="s">
        <v>252</v>
      </c>
      <c r="B66" s="690" t="s">
        <v>253</v>
      </c>
      <c r="C66" s="691"/>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2"/>
    </row>
    <row r="67" spans="1:30" ht="93.75">
      <c r="A67" s="466" t="s">
        <v>50</v>
      </c>
      <c r="B67" s="370" t="s">
        <v>115</v>
      </c>
      <c r="C67" s="384" t="s">
        <v>106</v>
      </c>
      <c r="D67" s="384" t="s">
        <v>93</v>
      </c>
      <c r="E67" s="374">
        <f>F67+G67+H67+I67</f>
        <v>25286</v>
      </c>
      <c r="F67" s="374">
        <f>27786-2500</f>
        <v>25286</v>
      </c>
      <c r="G67" s="374">
        <v>0</v>
      </c>
      <c r="H67" s="374">
        <v>0</v>
      </c>
      <c r="I67" s="374">
        <v>0</v>
      </c>
      <c r="J67" s="374">
        <f>K67+L67+M67+N67</f>
        <v>29781</v>
      </c>
      <c r="K67" s="374">
        <f>40120-110-10229</f>
        <v>29781</v>
      </c>
      <c r="L67" s="374">
        <v>0</v>
      </c>
      <c r="M67" s="374">
        <v>0</v>
      </c>
      <c r="N67" s="374">
        <v>0</v>
      </c>
      <c r="O67" s="334">
        <f>P67+Q67+R67+S67</f>
        <v>26886.400000000001</v>
      </c>
      <c r="P67" s="334">
        <f>29104-2217.6</f>
        <v>26886.400000000001</v>
      </c>
      <c r="Q67" s="374">
        <v>0</v>
      </c>
      <c r="R67" s="374">
        <v>0</v>
      </c>
      <c r="S67" s="374">
        <v>0</v>
      </c>
      <c r="T67" s="374">
        <f>U67+V67+W67+X67</f>
        <v>28982</v>
      </c>
      <c r="U67" s="374">
        <v>28982</v>
      </c>
      <c r="V67" s="374">
        <v>0</v>
      </c>
      <c r="W67" s="374">
        <v>0</v>
      </c>
      <c r="X67" s="374">
        <v>0</v>
      </c>
      <c r="Y67" s="374">
        <f>Z67+AA67+AB67+AC67</f>
        <v>0</v>
      </c>
      <c r="Z67" s="374">
        <v>0</v>
      </c>
      <c r="AA67" s="374">
        <v>0</v>
      </c>
      <c r="AB67" s="374">
        <v>0</v>
      </c>
      <c r="AC67" s="374">
        <v>0</v>
      </c>
      <c r="AD67" s="374">
        <f>E67+J67+O67+T67+Y67</f>
        <v>110935.4</v>
      </c>
    </row>
    <row r="68" spans="1:30" ht="23.25">
      <c r="A68" s="687" t="s">
        <v>318</v>
      </c>
      <c r="B68" s="688"/>
      <c r="C68" s="689"/>
      <c r="D68" s="466"/>
      <c r="E68" s="378">
        <f t="shared" ref="E68:AD68" si="23">SUM(E67:E67)</f>
        <v>25286</v>
      </c>
      <c r="F68" s="378">
        <f>SUM(F67)</f>
        <v>25286</v>
      </c>
      <c r="G68" s="378">
        <f t="shared" si="23"/>
        <v>0</v>
      </c>
      <c r="H68" s="378">
        <f t="shared" si="23"/>
        <v>0</v>
      </c>
      <c r="I68" s="378">
        <f t="shared" si="23"/>
        <v>0</v>
      </c>
      <c r="J68" s="378">
        <f>J67</f>
        <v>29781</v>
      </c>
      <c r="K68" s="378">
        <f t="shared" si="23"/>
        <v>29781</v>
      </c>
      <c r="L68" s="378">
        <f t="shared" si="23"/>
        <v>0</v>
      </c>
      <c r="M68" s="378">
        <f t="shared" si="23"/>
        <v>0</v>
      </c>
      <c r="N68" s="378">
        <f t="shared" si="23"/>
        <v>0</v>
      </c>
      <c r="O68" s="378">
        <f t="shared" si="23"/>
        <v>26886.400000000001</v>
      </c>
      <c r="P68" s="378">
        <f t="shared" si="23"/>
        <v>26886.400000000001</v>
      </c>
      <c r="Q68" s="378">
        <f t="shared" si="23"/>
        <v>0</v>
      </c>
      <c r="R68" s="378">
        <f t="shared" si="23"/>
        <v>0</v>
      </c>
      <c r="S68" s="378">
        <f t="shared" si="23"/>
        <v>0</v>
      </c>
      <c r="T68" s="378">
        <f t="shared" si="23"/>
        <v>28982</v>
      </c>
      <c r="U68" s="378">
        <f t="shared" si="23"/>
        <v>28982</v>
      </c>
      <c r="V68" s="378">
        <f t="shared" si="23"/>
        <v>0</v>
      </c>
      <c r="W68" s="378">
        <f t="shared" si="23"/>
        <v>0</v>
      </c>
      <c r="X68" s="378">
        <f t="shared" si="23"/>
        <v>0</v>
      </c>
      <c r="Y68" s="378">
        <f t="shared" si="23"/>
        <v>0</v>
      </c>
      <c r="Z68" s="378">
        <f t="shared" si="23"/>
        <v>0</v>
      </c>
      <c r="AA68" s="378">
        <f t="shared" si="23"/>
        <v>0</v>
      </c>
      <c r="AB68" s="378">
        <f t="shared" si="23"/>
        <v>0</v>
      </c>
      <c r="AC68" s="378">
        <f t="shared" si="23"/>
        <v>0</v>
      </c>
      <c r="AD68" s="378">
        <f t="shared" si="23"/>
        <v>110935.4</v>
      </c>
    </row>
    <row r="69" spans="1:30" ht="23.25">
      <c r="A69" s="466" t="s">
        <v>254</v>
      </c>
      <c r="B69" s="690" t="s">
        <v>255</v>
      </c>
      <c r="C69" s="691"/>
      <c r="D69" s="691"/>
      <c r="E69" s="691"/>
      <c r="F69" s="691"/>
      <c r="G69" s="691"/>
      <c r="H69" s="691"/>
      <c r="I69" s="691"/>
      <c r="J69" s="691"/>
      <c r="K69" s="691"/>
      <c r="L69" s="691"/>
      <c r="M69" s="691"/>
      <c r="N69" s="691"/>
      <c r="O69" s="691"/>
      <c r="P69" s="691"/>
      <c r="Q69" s="691"/>
      <c r="R69" s="691"/>
      <c r="S69" s="691"/>
      <c r="T69" s="691"/>
      <c r="U69" s="691"/>
      <c r="V69" s="691"/>
      <c r="W69" s="691"/>
      <c r="X69" s="691"/>
      <c r="Y69" s="691"/>
      <c r="Z69" s="691"/>
      <c r="AA69" s="691"/>
      <c r="AB69" s="691"/>
      <c r="AC69" s="691"/>
      <c r="AD69" s="692"/>
    </row>
    <row r="70" spans="1:30" ht="37.5">
      <c r="A70" s="466" t="s">
        <v>55</v>
      </c>
      <c r="B70" s="462" t="s">
        <v>96</v>
      </c>
      <c r="C70" s="384" t="s">
        <v>94</v>
      </c>
      <c r="D70" s="384" t="s">
        <v>93</v>
      </c>
      <c r="E70" s="374">
        <f>F70+G70+H70+I70</f>
        <v>7420</v>
      </c>
      <c r="F70" s="374">
        <f>6486+934</f>
        <v>7420</v>
      </c>
      <c r="G70" s="374">
        <v>0</v>
      </c>
      <c r="H70" s="374">
        <v>0</v>
      </c>
      <c r="I70" s="374">
        <v>0</v>
      </c>
      <c r="J70" s="374">
        <f>K70+L70+M70+N70</f>
        <v>6270</v>
      </c>
      <c r="K70" s="374">
        <f>7350-300-780</f>
        <v>6270</v>
      </c>
      <c r="L70" s="374">
        <v>0</v>
      </c>
      <c r="M70" s="374">
        <v>0</v>
      </c>
      <c r="N70" s="374">
        <v>0</v>
      </c>
      <c r="O70" s="334">
        <f>P70+Q70+R70+S70</f>
        <v>5850</v>
      </c>
      <c r="P70" s="334">
        <f>7050-390-810</f>
        <v>5850</v>
      </c>
      <c r="Q70" s="374">
        <v>0</v>
      </c>
      <c r="R70" s="374">
        <v>0</v>
      </c>
      <c r="S70" s="374">
        <v>0</v>
      </c>
      <c r="T70" s="374">
        <f>U70+V70+W70+X70</f>
        <v>6660</v>
      </c>
      <c r="U70" s="374">
        <v>6660</v>
      </c>
      <c r="V70" s="374">
        <v>0</v>
      </c>
      <c r="W70" s="374">
        <v>0</v>
      </c>
      <c r="X70" s="374">
        <v>0</v>
      </c>
      <c r="Y70" s="374">
        <f>Z70+AA70+AB70+AC70</f>
        <v>0</v>
      </c>
      <c r="Z70" s="374">
        <v>0</v>
      </c>
      <c r="AA70" s="374">
        <v>0</v>
      </c>
      <c r="AB70" s="374">
        <v>0</v>
      </c>
      <c r="AC70" s="374">
        <v>0</v>
      </c>
      <c r="AD70" s="374">
        <f>E70+J70+O70+T70+Y70</f>
        <v>26200</v>
      </c>
    </row>
    <row r="71" spans="1:30" ht="46.5">
      <c r="A71" s="466" t="s">
        <v>256</v>
      </c>
      <c r="B71" s="370" t="s">
        <v>209</v>
      </c>
      <c r="C71" s="384" t="s">
        <v>94</v>
      </c>
      <c r="D71" s="384" t="s">
        <v>93</v>
      </c>
      <c r="E71" s="374">
        <f>SUM(F71:I71)</f>
        <v>681</v>
      </c>
      <c r="F71" s="374">
        <v>681</v>
      </c>
      <c r="G71" s="374">
        <v>0</v>
      </c>
      <c r="H71" s="374">
        <v>0</v>
      </c>
      <c r="I71" s="374">
        <v>0</v>
      </c>
      <c r="J71" s="374">
        <f>K71+L71+M71+N71</f>
        <v>558</v>
      </c>
      <c r="K71" s="374">
        <f>684-126</f>
        <v>558</v>
      </c>
      <c r="L71" s="374">
        <v>0</v>
      </c>
      <c r="M71" s="374">
        <v>0</v>
      </c>
      <c r="N71" s="374">
        <v>0</v>
      </c>
      <c r="O71" s="334">
        <f>P71+Q71+R71+S71</f>
        <v>498</v>
      </c>
      <c r="P71" s="334">
        <f>612-54-60</f>
        <v>498</v>
      </c>
      <c r="Q71" s="374">
        <v>0</v>
      </c>
      <c r="R71" s="374">
        <v>0</v>
      </c>
      <c r="S71" s="374">
        <v>0</v>
      </c>
      <c r="T71" s="374">
        <f>U71+V71+W71+X71</f>
        <v>540</v>
      </c>
      <c r="U71" s="374">
        <v>540</v>
      </c>
      <c r="V71" s="374">
        <v>0</v>
      </c>
      <c r="W71" s="374">
        <v>0</v>
      </c>
      <c r="X71" s="374">
        <v>0</v>
      </c>
      <c r="Y71" s="374">
        <f>Z71+AA71+AB71+AC71</f>
        <v>0</v>
      </c>
      <c r="Z71" s="374">
        <v>0</v>
      </c>
      <c r="AA71" s="374">
        <v>0</v>
      </c>
      <c r="AB71" s="374">
        <v>0</v>
      </c>
      <c r="AC71" s="374">
        <v>0</v>
      </c>
      <c r="AD71" s="374">
        <f>E71+J71+O71+T71+Y71</f>
        <v>2277</v>
      </c>
    </row>
    <row r="72" spans="1:30" ht="116.25">
      <c r="A72" s="466" t="s">
        <v>257</v>
      </c>
      <c r="B72" s="370" t="s">
        <v>271</v>
      </c>
      <c r="C72" s="384" t="s">
        <v>266</v>
      </c>
      <c r="D72" s="384">
        <v>2020</v>
      </c>
      <c r="E72" s="374">
        <f>F72+G72+H72+I72</f>
        <v>774</v>
      </c>
      <c r="F72" s="374">
        <v>774</v>
      </c>
      <c r="G72" s="374">
        <v>0</v>
      </c>
      <c r="H72" s="374">
        <v>0</v>
      </c>
      <c r="I72" s="374">
        <v>0</v>
      </c>
      <c r="J72" s="374">
        <f>K72+L72+M72+N72</f>
        <v>350</v>
      </c>
      <c r="K72" s="374">
        <v>350</v>
      </c>
      <c r="L72" s="374">
        <v>0</v>
      </c>
      <c r="M72" s="374">
        <v>0</v>
      </c>
      <c r="N72" s="374">
        <v>0</v>
      </c>
      <c r="O72" s="374">
        <f>P72+Q72+R72+S72</f>
        <v>360</v>
      </c>
      <c r="P72" s="374">
        <v>360</v>
      </c>
      <c r="Q72" s="374">
        <v>0</v>
      </c>
      <c r="R72" s="374">
        <v>0</v>
      </c>
      <c r="S72" s="374">
        <v>0</v>
      </c>
      <c r="T72" s="374">
        <f>U72+V72+W72+X72</f>
        <v>360</v>
      </c>
      <c r="U72" s="374">
        <v>360</v>
      </c>
      <c r="V72" s="374">
        <v>0</v>
      </c>
      <c r="W72" s="374">
        <v>0</v>
      </c>
      <c r="X72" s="374">
        <v>0</v>
      </c>
      <c r="Y72" s="374">
        <f>Z72+AA72+AB72+AC72</f>
        <v>0</v>
      </c>
      <c r="Z72" s="374">
        <v>0</v>
      </c>
      <c r="AA72" s="374">
        <v>0</v>
      </c>
      <c r="AB72" s="374">
        <v>0</v>
      </c>
      <c r="AC72" s="374">
        <v>0</v>
      </c>
      <c r="AD72" s="374">
        <f>E72+J72+O72+T72+Y72</f>
        <v>1844</v>
      </c>
    </row>
    <row r="73" spans="1:30" ht="23.25">
      <c r="A73" s="687" t="s">
        <v>322</v>
      </c>
      <c r="B73" s="688"/>
      <c r="C73" s="689"/>
      <c r="D73" s="466"/>
      <c r="E73" s="378">
        <f>E70+E71+E72</f>
        <v>8875</v>
      </c>
      <c r="F73" s="378">
        <f>F70+F71+F72</f>
        <v>8875</v>
      </c>
      <c r="G73" s="378">
        <f>SUM(G70:G70)</f>
        <v>0</v>
      </c>
      <c r="H73" s="378">
        <f>SUM(H70:H70)</f>
        <v>0</v>
      </c>
      <c r="I73" s="378">
        <f>SUM(I70:I70)</f>
        <v>0</v>
      </c>
      <c r="J73" s="378">
        <f>J70+J71+J72</f>
        <v>7178</v>
      </c>
      <c r="K73" s="378">
        <f>K70+K71+K72</f>
        <v>7178</v>
      </c>
      <c r="L73" s="378">
        <f>SUM(L70:L70)</f>
        <v>0</v>
      </c>
      <c r="M73" s="378">
        <f>SUM(M70:M70)</f>
        <v>0</v>
      </c>
      <c r="N73" s="378">
        <f>SUM(N70:N70)</f>
        <v>0</v>
      </c>
      <c r="O73" s="378">
        <f>O70+O71+O72</f>
        <v>6708</v>
      </c>
      <c r="P73" s="378">
        <f>P70+P71+P72</f>
        <v>6708</v>
      </c>
      <c r="Q73" s="378">
        <f>SUM(Q70:Q70)</f>
        <v>0</v>
      </c>
      <c r="R73" s="378">
        <f>SUM(R70:R70)</f>
        <v>0</v>
      </c>
      <c r="S73" s="378">
        <f>SUM(S70:S70)</f>
        <v>0</v>
      </c>
      <c r="T73" s="378">
        <f>T70+T71+T72</f>
        <v>7560</v>
      </c>
      <c r="U73" s="378">
        <f>U70+U71+U72</f>
        <v>7560</v>
      </c>
      <c r="V73" s="378">
        <f>SUM(V70:V70)</f>
        <v>0</v>
      </c>
      <c r="W73" s="378">
        <f>SUM(W70:W70)</f>
        <v>0</v>
      </c>
      <c r="X73" s="378">
        <f>SUM(X70:X70)</f>
        <v>0</v>
      </c>
      <c r="Y73" s="378">
        <f>Y70+Y71+Y72</f>
        <v>0</v>
      </c>
      <c r="Z73" s="378">
        <f>Z70+Z71+Z72</f>
        <v>0</v>
      </c>
      <c r="AA73" s="378">
        <f>SUM(AA70:AA70)</f>
        <v>0</v>
      </c>
      <c r="AB73" s="378">
        <f>SUM(AB70:AB70)</f>
        <v>0</v>
      </c>
      <c r="AC73" s="378">
        <f>SUM(AC70:AC70)</f>
        <v>0</v>
      </c>
      <c r="AD73" s="378">
        <f>SUM(AD70:AD72)</f>
        <v>30321</v>
      </c>
    </row>
    <row r="74" spans="1:30" ht="23.25">
      <c r="A74" s="379" t="s">
        <v>135</v>
      </c>
      <c r="B74" s="379"/>
      <c r="C74" s="506"/>
      <c r="D74" s="509"/>
      <c r="E74" s="472">
        <f>E70+E71+E72</f>
        <v>8875</v>
      </c>
      <c r="F74" s="472">
        <f>F70+F71+F72</f>
        <v>8875</v>
      </c>
      <c r="G74" s="472">
        <v>0</v>
      </c>
      <c r="H74" s="472">
        <v>0</v>
      </c>
      <c r="I74" s="472">
        <v>0</v>
      </c>
      <c r="J74" s="472">
        <f>J70+J71+J72</f>
        <v>7178</v>
      </c>
      <c r="K74" s="472">
        <f>K70+K71+K72</f>
        <v>7178</v>
      </c>
      <c r="L74" s="472">
        <v>0</v>
      </c>
      <c r="M74" s="472">
        <v>0</v>
      </c>
      <c r="N74" s="472">
        <v>0</v>
      </c>
      <c r="O74" s="472">
        <f>O73</f>
        <v>6708</v>
      </c>
      <c r="P74" s="472">
        <f>P70+P71+P72</f>
        <v>6708</v>
      </c>
      <c r="Q74" s="472">
        <v>0</v>
      </c>
      <c r="R74" s="472">
        <v>0</v>
      </c>
      <c r="S74" s="472">
        <v>0</v>
      </c>
      <c r="T74" s="472">
        <f>T70+T71+T72</f>
        <v>7560</v>
      </c>
      <c r="U74" s="472">
        <f>U70+U71+U72</f>
        <v>7560</v>
      </c>
      <c r="V74" s="472">
        <v>0</v>
      </c>
      <c r="W74" s="472">
        <v>0</v>
      </c>
      <c r="X74" s="472">
        <v>0</v>
      </c>
      <c r="Y74" s="472">
        <f>Y70+Y71+Y72</f>
        <v>0</v>
      </c>
      <c r="Z74" s="472">
        <f>Z70+Z71+Z72</f>
        <v>0</v>
      </c>
      <c r="AA74" s="472">
        <v>0</v>
      </c>
      <c r="AB74" s="472">
        <v>0</v>
      </c>
      <c r="AC74" s="472">
        <v>0</v>
      </c>
      <c r="AD74" s="473">
        <f>AD73</f>
        <v>30321</v>
      </c>
    </row>
    <row r="75" spans="1:30" ht="23.25">
      <c r="A75" s="466" t="s">
        <v>97</v>
      </c>
      <c r="B75" s="690" t="s">
        <v>258</v>
      </c>
      <c r="C75" s="691"/>
      <c r="D75" s="691"/>
      <c r="E75" s="691"/>
      <c r="F75" s="691"/>
      <c r="G75" s="691"/>
      <c r="H75" s="691"/>
      <c r="I75" s="691"/>
      <c r="J75" s="691"/>
      <c r="K75" s="691"/>
      <c r="L75" s="691"/>
      <c r="M75" s="691"/>
      <c r="N75" s="691"/>
      <c r="O75" s="691"/>
      <c r="P75" s="691"/>
      <c r="Q75" s="691"/>
      <c r="R75" s="691"/>
      <c r="S75" s="691"/>
      <c r="T75" s="691"/>
      <c r="U75" s="691"/>
      <c r="V75" s="691"/>
      <c r="W75" s="691"/>
      <c r="X75" s="691"/>
      <c r="Y75" s="691"/>
      <c r="Z75" s="691"/>
      <c r="AA75" s="691"/>
      <c r="AB75" s="691"/>
      <c r="AC75" s="691"/>
      <c r="AD75" s="692"/>
    </row>
    <row r="76" spans="1:30" ht="116.25">
      <c r="A76" s="478" t="s">
        <v>57</v>
      </c>
      <c r="B76" s="462" t="s">
        <v>290</v>
      </c>
      <c r="C76" s="384" t="s">
        <v>73</v>
      </c>
      <c r="D76" s="384" t="s">
        <v>93</v>
      </c>
      <c r="E76" s="374">
        <f xml:space="preserve"> SUM(F76:I76)</f>
        <v>136.19999999999999</v>
      </c>
      <c r="F76" s="374">
        <f>74.6+61.6</f>
        <v>136.19999999999999</v>
      </c>
      <c r="G76" s="374">
        <v>0</v>
      </c>
      <c r="H76" s="374">
        <v>0</v>
      </c>
      <c r="I76" s="374">
        <v>0</v>
      </c>
      <c r="J76" s="374">
        <f xml:space="preserve"> SUM(K76:N76)</f>
        <v>137.5</v>
      </c>
      <c r="K76" s="374">
        <f>142-4.5</f>
        <v>137.5</v>
      </c>
      <c r="L76" s="374">
        <v>0</v>
      </c>
      <c r="M76" s="374">
        <v>0</v>
      </c>
      <c r="N76" s="374">
        <v>0</v>
      </c>
      <c r="O76" s="334">
        <f xml:space="preserve"> SUM(P76:S76)</f>
        <v>139</v>
      </c>
      <c r="P76" s="334">
        <f>142-3</f>
        <v>139</v>
      </c>
      <c r="Q76" s="374">
        <v>0</v>
      </c>
      <c r="R76" s="374">
        <v>0</v>
      </c>
      <c r="S76" s="374">
        <v>0</v>
      </c>
      <c r="T76" s="374">
        <f xml:space="preserve"> SUM(U76:X76)</f>
        <v>142</v>
      </c>
      <c r="U76" s="374">
        <v>142</v>
      </c>
      <c r="V76" s="374">
        <v>0</v>
      </c>
      <c r="W76" s="374">
        <v>0</v>
      </c>
      <c r="X76" s="374">
        <v>0</v>
      </c>
      <c r="Y76" s="374">
        <f xml:space="preserve"> SUM(Z76:AC76)</f>
        <v>142</v>
      </c>
      <c r="Z76" s="374">
        <v>142</v>
      </c>
      <c r="AA76" s="374">
        <v>0</v>
      </c>
      <c r="AB76" s="374">
        <v>0</v>
      </c>
      <c r="AC76" s="374">
        <v>0</v>
      </c>
      <c r="AD76" s="374">
        <f>E76+J76+O76+T76+Y76</f>
        <v>696.7</v>
      </c>
    </row>
    <row r="77" spans="1:30" ht="23.25">
      <c r="A77" s="687" t="s">
        <v>321</v>
      </c>
      <c r="B77" s="688"/>
      <c r="C77" s="689"/>
      <c r="D77" s="466"/>
      <c r="E77" s="378">
        <f>E76</f>
        <v>136.19999999999999</v>
      </c>
      <c r="F77" s="378">
        <f>F76</f>
        <v>136.19999999999999</v>
      </c>
      <c r="G77" s="378">
        <v>0</v>
      </c>
      <c r="H77" s="378">
        <v>0</v>
      </c>
      <c r="I77" s="378">
        <v>0</v>
      </c>
      <c r="J77" s="378">
        <f t="shared" ref="J77:AC77" si="24">J76</f>
        <v>137.5</v>
      </c>
      <c r="K77" s="378">
        <f t="shared" si="24"/>
        <v>137.5</v>
      </c>
      <c r="L77" s="378">
        <f t="shared" si="24"/>
        <v>0</v>
      </c>
      <c r="M77" s="378">
        <f t="shared" si="24"/>
        <v>0</v>
      </c>
      <c r="N77" s="378">
        <f t="shared" si="24"/>
        <v>0</v>
      </c>
      <c r="O77" s="378">
        <f t="shared" si="24"/>
        <v>139</v>
      </c>
      <c r="P77" s="378">
        <f t="shared" si="24"/>
        <v>139</v>
      </c>
      <c r="Q77" s="378">
        <f t="shared" si="24"/>
        <v>0</v>
      </c>
      <c r="R77" s="378">
        <f t="shared" si="24"/>
        <v>0</v>
      </c>
      <c r="S77" s="378">
        <f t="shared" si="24"/>
        <v>0</v>
      </c>
      <c r="T77" s="378">
        <f t="shared" si="24"/>
        <v>142</v>
      </c>
      <c r="U77" s="378">
        <f t="shared" si="24"/>
        <v>142</v>
      </c>
      <c r="V77" s="378">
        <f t="shared" si="24"/>
        <v>0</v>
      </c>
      <c r="W77" s="378">
        <f t="shared" si="24"/>
        <v>0</v>
      </c>
      <c r="X77" s="378">
        <f t="shared" si="24"/>
        <v>0</v>
      </c>
      <c r="Y77" s="378">
        <f t="shared" si="24"/>
        <v>142</v>
      </c>
      <c r="Z77" s="378">
        <f t="shared" si="24"/>
        <v>142</v>
      </c>
      <c r="AA77" s="378">
        <f t="shared" si="24"/>
        <v>0</v>
      </c>
      <c r="AB77" s="378">
        <f t="shared" si="24"/>
        <v>0</v>
      </c>
      <c r="AC77" s="378">
        <f t="shared" si="24"/>
        <v>0</v>
      </c>
      <c r="AD77" s="378">
        <f>E77+J77+O77+T77+Y77</f>
        <v>696.7</v>
      </c>
    </row>
    <row r="78" spans="1:30" ht="23.25">
      <c r="A78" s="508">
        <v>10</v>
      </c>
      <c r="B78" s="699" t="s">
        <v>259</v>
      </c>
      <c r="C78" s="700"/>
      <c r="D78" s="700"/>
      <c r="E78" s="700"/>
      <c r="F78" s="700"/>
      <c r="G78" s="700"/>
      <c r="H78" s="700"/>
      <c r="I78" s="700"/>
      <c r="J78" s="700"/>
      <c r="K78" s="700"/>
      <c r="L78" s="700"/>
      <c r="M78" s="700"/>
      <c r="N78" s="700"/>
      <c r="O78" s="700"/>
      <c r="P78" s="700"/>
      <c r="Q78" s="700"/>
      <c r="R78" s="700"/>
      <c r="S78" s="700"/>
      <c r="T78" s="700"/>
      <c r="U78" s="700"/>
      <c r="V78" s="700"/>
      <c r="W78" s="700"/>
      <c r="X78" s="700"/>
      <c r="Y78" s="700"/>
      <c r="Z78" s="700"/>
      <c r="AA78" s="700"/>
      <c r="AB78" s="700"/>
      <c r="AC78" s="700"/>
      <c r="AD78" s="701"/>
    </row>
    <row r="79" spans="1:30" ht="93">
      <c r="A79" s="479" t="s">
        <v>59</v>
      </c>
      <c r="B79" s="462" t="s">
        <v>186</v>
      </c>
      <c r="C79" s="514" t="s">
        <v>107</v>
      </c>
      <c r="D79" s="384" t="s">
        <v>93</v>
      </c>
      <c r="E79" s="481">
        <v>500</v>
      </c>
      <c r="F79" s="481">
        <v>500</v>
      </c>
      <c r="G79" s="481">
        <v>0</v>
      </c>
      <c r="H79" s="481">
        <v>0</v>
      </c>
      <c r="I79" s="481">
        <v>0</v>
      </c>
      <c r="J79" s="481">
        <f>K79+L79+M79+N79</f>
        <v>12</v>
      </c>
      <c r="K79" s="481">
        <f>24-12</f>
        <v>12</v>
      </c>
      <c r="L79" s="481">
        <v>0</v>
      </c>
      <c r="M79" s="481">
        <v>0</v>
      </c>
      <c r="N79" s="481">
        <v>0</v>
      </c>
      <c r="O79" s="481">
        <v>0</v>
      </c>
      <c r="P79" s="481">
        <v>0</v>
      </c>
      <c r="Q79" s="481">
        <v>0</v>
      </c>
      <c r="R79" s="481">
        <v>0</v>
      </c>
      <c r="S79" s="481">
        <v>0</v>
      </c>
      <c r="T79" s="481">
        <f t="shared" ref="T79:T81" si="25">U79+V79+W79+X79</f>
        <v>0</v>
      </c>
      <c r="U79" s="481">
        <v>0</v>
      </c>
      <c r="V79" s="481">
        <v>0</v>
      </c>
      <c r="W79" s="481">
        <v>0</v>
      </c>
      <c r="X79" s="481">
        <v>0</v>
      </c>
      <c r="Y79" s="481">
        <f>Z79+AA79+AB79+AC79</f>
        <v>0</v>
      </c>
      <c r="Z79" s="481">
        <v>0</v>
      </c>
      <c r="AA79" s="481">
        <v>0</v>
      </c>
      <c r="AB79" s="481">
        <v>0</v>
      </c>
      <c r="AC79" s="481">
        <v>0</v>
      </c>
      <c r="AD79" s="481">
        <f>E79+J79+O79+T79+Y79</f>
        <v>512</v>
      </c>
    </row>
    <row r="80" spans="1:30" ht="75">
      <c r="A80" s="479" t="s">
        <v>98</v>
      </c>
      <c r="B80" s="370" t="s">
        <v>159</v>
      </c>
      <c r="C80" s="482" t="s">
        <v>107</v>
      </c>
      <c r="D80" s="384" t="s">
        <v>93</v>
      </c>
      <c r="E80" s="481">
        <v>2880</v>
      </c>
      <c r="F80" s="481">
        <v>2880</v>
      </c>
      <c r="G80" s="481">
        <v>0</v>
      </c>
      <c r="H80" s="481">
        <v>0</v>
      </c>
      <c r="I80" s="481">
        <v>0</v>
      </c>
      <c r="J80" s="481">
        <f>K80+L80+M80+N80</f>
        <v>2730</v>
      </c>
      <c r="K80" s="481">
        <f>2880-150</f>
        <v>2730</v>
      </c>
      <c r="L80" s="481">
        <v>0</v>
      </c>
      <c r="M80" s="481">
        <v>0</v>
      </c>
      <c r="N80" s="481">
        <v>0</v>
      </c>
      <c r="O80" s="481">
        <v>0</v>
      </c>
      <c r="P80" s="481">
        <v>0</v>
      </c>
      <c r="Q80" s="481">
        <v>0</v>
      </c>
      <c r="R80" s="481">
        <v>0</v>
      </c>
      <c r="S80" s="481">
        <v>0</v>
      </c>
      <c r="T80" s="481">
        <f t="shared" si="25"/>
        <v>0</v>
      </c>
      <c r="U80" s="481">
        <v>0</v>
      </c>
      <c r="V80" s="481">
        <v>0</v>
      </c>
      <c r="W80" s="481">
        <v>0</v>
      </c>
      <c r="X80" s="481">
        <v>0</v>
      </c>
      <c r="Y80" s="481">
        <f>Z80+AA80+AB80+AC80</f>
        <v>0</v>
      </c>
      <c r="Z80" s="481">
        <v>0</v>
      </c>
      <c r="AA80" s="481">
        <v>0</v>
      </c>
      <c r="AB80" s="481">
        <v>0</v>
      </c>
      <c r="AC80" s="481">
        <v>0</v>
      </c>
      <c r="AD80" s="481">
        <f>E80+J80+O80+T80+Y80</f>
        <v>5610</v>
      </c>
    </row>
    <row r="81" spans="1:31" ht="23.25">
      <c r="A81" s="687" t="s">
        <v>320</v>
      </c>
      <c r="B81" s="688"/>
      <c r="C81" s="689"/>
      <c r="D81" s="479"/>
      <c r="E81" s="483">
        <f>E79+E80</f>
        <v>3380</v>
      </c>
      <c r="F81" s="483">
        <f>SUM(F79:F80)</f>
        <v>3380</v>
      </c>
      <c r="G81" s="483">
        <f>G79</f>
        <v>0</v>
      </c>
      <c r="H81" s="483">
        <f>I79</f>
        <v>0</v>
      </c>
      <c r="I81" s="483">
        <f t="shared" ref="I81:V81" si="26">I79</f>
        <v>0</v>
      </c>
      <c r="J81" s="483">
        <f>K81+L81+M81+N81</f>
        <v>2742</v>
      </c>
      <c r="K81" s="483">
        <f>K79+K80</f>
        <v>2742</v>
      </c>
      <c r="L81" s="483">
        <f t="shared" si="26"/>
        <v>0</v>
      </c>
      <c r="M81" s="483">
        <f t="shared" si="26"/>
        <v>0</v>
      </c>
      <c r="N81" s="483">
        <f t="shared" si="26"/>
        <v>0</v>
      </c>
      <c r="O81" s="483">
        <f t="shared" ref="O81" si="27">P81+Q81+R81+S81</f>
        <v>0</v>
      </c>
      <c r="P81" s="483">
        <f>P79+P80</f>
        <v>0</v>
      </c>
      <c r="Q81" s="483">
        <f t="shared" si="26"/>
        <v>0</v>
      </c>
      <c r="R81" s="483">
        <f t="shared" si="26"/>
        <v>0</v>
      </c>
      <c r="S81" s="483">
        <f t="shared" si="26"/>
        <v>0</v>
      </c>
      <c r="T81" s="483">
        <f t="shared" si="25"/>
        <v>0</v>
      </c>
      <c r="U81" s="483">
        <f>T79+T80</f>
        <v>0</v>
      </c>
      <c r="V81" s="483">
        <f t="shared" si="26"/>
        <v>0</v>
      </c>
      <c r="W81" s="483">
        <f>V79</f>
        <v>0</v>
      </c>
      <c r="X81" s="483">
        <f t="shared" ref="X81:AC81" si="28">X79</f>
        <v>0</v>
      </c>
      <c r="Y81" s="483">
        <f>Z81+AA81+AB81+AC81</f>
        <v>0</v>
      </c>
      <c r="Z81" s="483">
        <f>Z79+Z80</f>
        <v>0</v>
      </c>
      <c r="AA81" s="483">
        <f t="shared" si="28"/>
        <v>0</v>
      </c>
      <c r="AB81" s="483">
        <f t="shared" si="28"/>
        <v>0</v>
      </c>
      <c r="AC81" s="483">
        <f t="shared" si="28"/>
        <v>0</v>
      </c>
      <c r="AD81" s="483">
        <f>E81+J81+O81+T81+Y81</f>
        <v>6122</v>
      </c>
    </row>
    <row r="82" spans="1:31" ht="23.25">
      <c r="A82" s="505">
        <v>11</v>
      </c>
      <c r="B82" s="506" t="s">
        <v>311</v>
      </c>
      <c r="C82" s="507"/>
      <c r="D82" s="479"/>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row>
    <row r="83" spans="1:31" ht="46.5">
      <c r="A83" s="484" t="s">
        <v>62</v>
      </c>
      <c r="B83" s="485" t="s">
        <v>312</v>
      </c>
      <c r="C83" s="507"/>
      <c r="D83" s="479">
        <v>2022</v>
      </c>
      <c r="E83" s="483">
        <v>0</v>
      </c>
      <c r="F83" s="483">
        <v>0</v>
      </c>
      <c r="G83" s="483">
        <v>0</v>
      </c>
      <c r="H83" s="483">
        <v>0</v>
      </c>
      <c r="I83" s="483">
        <v>0</v>
      </c>
      <c r="J83" s="483">
        <v>0</v>
      </c>
      <c r="K83" s="483">
        <v>0</v>
      </c>
      <c r="L83" s="483">
        <v>0</v>
      </c>
      <c r="M83" s="483">
        <v>0</v>
      </c>
      <c r="N83" s="483">
        <v>0</v>
      </c>
      <c r="O83" s="483">
        <f>P83+Q83+R83+S83</f>
        <v>4256</v>
      </c>
      <c r="P83" s="483">
        <v>4256</v>
      </c>
      <c r="Q83" s="483">
        <v>0</v>
      </c>
      <c r="R83" s="483">
        <v>0</v>
      </c>
      <c r="S83" s="483">
        <v>0</v>
      </c>
      <c r="T83" s="483">
        <v>0</v>
      </c>
      <c r="U83" s="483">
        <v>0</v>
      </c>
      <c r="V83" s="483">
        <v>0</v>
      </c>
      <c r="W83" s="483">
        <v>0</v>
      </c>
      <c r="X83" s="483">
        <v>0</v>
      </c>
      <c r="Y83" s="483">
        <v>0</v>
      </c>
      <c r="Z83" s="483">
        <v>0</v>
      </c>
      <c r="AA83" s="483">
        <v>0</v>
      </c>
      <c r="AB83" s="483">
        <v>0</v>
      </c>
      <c r="AC83" s="483">
        <v>0</v>
      </c>
      <c r="AD83" s="483">
        <f>E83+J83+O83+T83+Y83</f>
        <v>4256</v>
      </c>
    </row>
    <row r="84" spans="1:31" ht="23.25">
      <c r="A84" s="687" t="s">
        <v>319</v>
      </c>
      <c r="B84" s="688"/>
      <c r="C84" s="689"/>
      <c r="D84" s="479"/>
      <c r="E84" s="483">
        <v>0</v>
      </c>
      <c r="F84" s="483">
        <v>0</v>
      </c>
      <c r="G84" s="483">
        <v>0</v>
      </c>
      <c r="H84" s="483">
        <v>0</v>
      </c>
      <c r="I84" s="483">
        <v>0</v>
      </c>
      <c r="J84" s="483">
        <v>0</v>
      </c>
      <c r="K84" s="483">
        <v>0</v>
      </c>
      <c r="L84" s="483">
        <v>0</v>
      </c>
      <c r="M84" s="483">
        <v>0</v>
      </c>
      <c r="N84" s="483">
        <v>0</v>
      </c>
      <c r="O84" s="483">
        <f>O83</f>
        <v>4256</v>
      </c>
      <c r="P84" s="483">
        <f>P83</f>
        <v>4256</v>
      </c>
      <c r="Q84" s="483">
        <v>0</v>
      </c>
      <c r="R84" s="483">
        <v>0</v>
      </c>
      <c r="S84" s="483">
        <v>0</v>
      </c>
      <c r="T84" s="483">
        <v>0</v>
      </c>
      <c r="U84" s="483">
        <v>0</v>
      </c>
      <c r="V84" s="483">
        <v>0</v>
      </c>
      <c r="W84" s="483">
        <v>0</v>
      </c>
      <c r="X84" s="483">
        <v>0</v>
      </c>
      <c r="Y84" s="483">
        <v>0</v>
      </c>
      <c r="Z84" s="483">
        <v>0</v>
      </c>
      <c r="AA84" s="483">
        <v>0</v>
      </c>
      <c r="AB84" s="483">
        <v>0</v>
      </c>
      <c r="AC84" s="483">
        <v>0</v>
      </c>
      <c r="AD84" s="483">
        <f>AD83</f>
        <v>4256</v>
      </c>
      <c r="AE84" s="453">
        <v>0</v>
      </c>
    </row>
    <row r="85" spans="1:31" ht="23.25">
      <c r="A85" s="693" t="s">
        <v>304</v>
      </c>
      <c r="B85" s="694"/>
      <c r="C85" s="695"/>
      <c r="D85" s="479"/>
      <c r="E85" s="483">
        <f>F85+G85+H85+I85</f>
        <v>157092.37000000002</v>
      </c>
      <c r="F85" s="483">
        <f>F27+F33+F50+F55+F62+F65+F68+F73+F77+F81</f>
        <v>108956.7</v>
      </c>
      <c r="G85" s="483">
        <f>G27+G33+G50+G55+G62+G65+G68+G73+G77+G81</f>
        <v>45966</v>
      </c>
      <c r="H85" s="483">
        <f>H27+H33+H50+H55+H62+H65+H68+H73+H77+H81</f>
        <v>0</v>
      </c>
      <c r="I85" s="483">
        <f>I27+I33+I50+I55+I62+I65+I68+I73+I77+I81</f>
        <v>2169.67</v>
      </c>
      <c r="J85" s="483">
        <f>K85+L85+M85+N85</f>
        <v>121069.1</v>
      </c>
      <c r="K85" s="483">
        <f>K27+K33+K50+K55+K62+K65+K68+K73+K77+K81</f>
        <v>94437.1</v>
      </c>
      <c r="L85" s="483">
        <f>L27+L33+L50+L55+L62+L65+L68+L73+L77+L81</f>
        <v>26632</v>
      </c>
      <c r="M85" s="483">
        <f>M27+M33+M50+M55+M62+M65+M68+M73+M77+M81</f>
        <v>0</v>
      </c>
      <c r="N85" s="483">
        <f>N27+N33+N50+N55+N62+N65+N68+N73+N77+N81</f>
        <v>0</v>
      </c>
      <c r="O85" s="483">
        <f>P85+Q85+R85+S85</f>
        <v>118235.92</v>
      </c>
      <c r="P85" s="483">
        <f>P27+P33+P50+P55+P62+P65+P68+P73+P77+P81+P83</f>
        <v>90760.4</v>
      </c>
      <c r="Q85" s="483">
        <f>Q27+Q33+Q50+Q55+Q62+Q65+Q68+Q73+Q77+Q81</f>
        <v>27475.52</v>
      </c>
      <c r="R85" s="483">
        <f>R27+R33+R50+R55+R62+R65+R68+R73+R77+R81</f>
        <v>0</v>
      </c>
      <c r="S85" s="483">
        <f>S27+S33+S50+S55+S62+S65+S68+S73+S77+S81</f>
        <v>0</v>
      </c>
      <c r="T85" s="483">
        <f>U85+V85</f>
        <v>127256</v>
      </c>
      <c r="U85" s="483">
        <f>U27+U33+U50+U55+U62+U65+U68+U73+U77+U81+U84</f>
        <v>99162</v>
      </c>
      <c r="V85" s="483">
        <f>V27+V33+V50+V55+V62+V65+V68+V73+V77+V81</f>
        <v>28094</v>
      </c>
      <c r="W85" s="483">
        <f>W27+W33+W50+W55+W62+W65+W68+W73+W77+W81</f>
        <v>0</v>
      </c>
      <c r="X85" s="483">
        <f>X27+X33+X50+X55+X62+X65+X68+X73+X77+X81</f>
        <v>0</v>
      </c>
      <c r="Y85" s="483">
        <f>Z85+AA85+AB85+AC85</f>
        <v>29690</v>
      </c>
      <c r="Z85" s="483">
        <f>Z27+Z33+Z50+Z55+Z62+Z65+Z68+Z73+Z77+Z81</f>
        <v>2310</v>
      </c>
      <c r="AA85" s="483">
        <f>AA27+AA33+AA50+AA55+AA62+AA65+AA68+AA73+AA77+AA81</f>
        <v>27380</v>
      </c>
      <c r="AB85" s="483">
        <f>AB27+AB33+AB50+AB55+AB62+AB65+AB68+AB73+AB77+AB81</f>
        <v>0</v>
      </c>
      <c r="AC85" s="483">
        <f>AC27+AC33+AC50+AC55+AC62+AC65+AC68+AC73+AC77+AC81</f>
        <v>0</v>
      </c>
      <c r="AD85" s="483">
        <f>E85+J85+O85+T85+Y85</f>
        <v>553343.39</v>
      </c>
    </row>
    <row r="86" spans="1:31">
      <c r="C86" s="452">
        <v>2020</v>
      </c>
      <c r="E86" s="486"/>
    </row>
    <row r="87" spans="1:31" ht="225">
      <c r="A87" s="487" t="s">
        <v>201</v>
      </c>
      <c r="B87" s="488"/>
      <c r="C87" s="486"/>
      <c r="F87" s="486"/>
      <c r="J87" s="486"/>
      <c r="N87" s="452" t="s">
        <v>137</v>
      </c>
      <c r="O87" s="486">
        <f>O24+O25+O51+O62+O77</f>
        <v>29124.720000000001</v>
      </c>
      <c r="T87" s="486"/>
      <c r="Y87" s="486"/>
      <c r="AC87" s="486"/>
    </row>
    <row r="88" spans="1:31">
      <c r="B88" s="488"/>
      <c r="C88" s="486"/>
      <c r="J88" s="486"/>
      <c r="N88" s="452" t="s">
        <v>327</v>
      </c>
      <c r="O88" s="486">
        <f>O28</f>
        <v>27273</v>
      </c>
      <c r="T88" s="486"/>
      <c r="Y88" s="486"/>
      <c r="AC88" s="486"/>
    </row>
    <row r="89" spans="1:31">
      <c r="B89" s="488"/>
      <c r="C89" s="486"/>
      <c r="J89" s="486"/>
      <c r="N89" s="452" t="s">
        <v>328</v>
      </c>
      <c r="O89" s="486">
        <f>O29+O33+O52+O55+O65+O68+O74+O84</f>
        <v>61838.2</v>
      </c>
      <c r="T89" s="486"/>
      <c r="Y89" s="486"/>
      <c r="AC89" s="486"/>
    </row>
    <row r="90" spans="1:31">
      <c r="C90" s="486"/>
      <c r="J90" s="486"/>
      <c r="O90" s="486">
        <f>O87+O88+O89</f>
        <v>118235.92</v>
      </c>
      <c r="T90" s="486"/>
      <c r="Y90" s="486"/>
      <c r="AC90" s="486"/>
    </row>
    <row r="91" spans="1:31">
      <c r="B91" s="488"/>
      <c r="C91" s="486"/>
      <c r="J91" s="486"/>
      <c r="K91" s="486"/>
      <c r="O91" s="486"/>
      <c r="T91" s="486"/>
      <c r="Y91" s="486"/>
      <c r="AC91" s="486"/>
    </row>
    <row r="92" spans="1:31">
      <c r="J92" s="486"/>
      <c r="O92" s="486"/>
      <c r="T92" s="486"/>
      <c r="Y92" s="486"/>
      <c r="AC92" s="486"/>
    </row>
    <row r="93" spans="1:31">
      <c r="C93" s="486"/>
      <c r="J93" s="486"/>
      <c r="O93" s="486"/>
      <c r="T93" s="486"/>
      <c r="Y93" s="486"/>
    </row>
    <row r="95" spans="1:31">
      <c r="B95" s="488"/>
      <c r="C95" s="486"/>
    </row>
    <row r="96" spans="1:31">
      <c r="B96" s="489"/>
      <c r="C96" s="486"/>
      <c r="E96" s="486"/>
      <c r="H96" s="486"/>
      <c r="T96" s="486"/>
    </row>
    <row r="97" spans="2:29">
      <c r="B97" s="489"/>
      <c r="C97" s="486"/>
    </row>
    <row r="98" spans="2:29">
      <c r="C98" s="486"/>
      <c r="AC98" s="486"/>
    </row>
    <row r="99" spans="2:29">
      <c r="C99" s="486"/>
    </row>
    <row r="100" spans="2:29">
      <c r="B100" s="486"/>
    </row>
    <row r="102" spans="2:29">
      <c r="Y102" s="490"/>
    </row>
    <row r="105" spans="2:29">
      <c r="D105" s="490"/>
      <c r="E105" s="490"/>
    </row>
    <row r="106" spans="2:29">
      <c r="D106" s="490"/>
      <c r="E106" s="490"/>
    </row>
    <row r="111" spans="2:29">
      <c r="D111" s="486"/>
    </row>
  </sheetData>
  <mergeCells count="41">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A57:A58"/>
    <mergeCell ref="B57:B58"/>
    <mergeCell ref="C13:C14"/>
    <mergeCell ref="A27:C27"/>
    <mergeCell ref="B31:AD31"/>
    <mergeCell ref="A33:C33"/>
    <mergeCell ref="B34:AD34"/>
    <mergeCell ref="C38:C39"/>
    <mergeCell ref="C41:C45"/>
    <mergeCell ref="A50:C50"/>
    <mergeCell ref="B53:AD53"/>
    <mergeCell ref="A55:C55"/>
    <mergeCell ref="B56:AD56"/>
    <mergeCell ref="A85:C85"/>
    <mergeCell ref="B63:AD63"/>
    <mergeCell ref="A65:C65"/>
    <mergeCell ref="B66:AD66"/>
    <mergeCell ref="A68:C68"/>
    <mergeCell ref="B69:AD69"/>
    <mergeCell ref="A73:C73"/>
    <mergeCell ref="B75:AD75"/>
    <mergeCell ref="A77:C77"/>
    <mergeCell ref="B78:AD78"/>
    <mergeCell ref="A81:C81"/>
    <mergeCell ref="A84:C84"/>
  </mergeCells>
  <pageMargins left="0.15748031496062992" right="0.15748031496062992" top="0.74803149606299213" bottom="0.74803149606299213" header="0.31496062992125984" footer="0.31496062992125984"/>
  <pageSetup paperSize="9" scale="20" orientation="landscape" r:id="rId1"/>
  <colBreaks count="1" manualBreakCount="1">
    <brk id="3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4</vt:i4>
      </vt:variant>
    </vt:vector>
  </HeadingPairs>
  <TitlesOfParts>
    <vt:vector size="23" baseType="lpstr">
      <vt:lpstr>15.07.2020 3 изм.</vt:lpstr>
      <vt:lpstr>07.10.2020 4 изм</vt:lpstr>
      <vt:lpstr>5  изм 2020</vt:lpstr>
      <vt:lpstr>2021</vt:lpstr>
      <vt:lpstr>1 изм. 2021</vt:lpstr>
      <vt:lpstr>2 изм 2021</vt:lpstr>
      <vt:lpstr>4 изм.</vt:lpstr>
      <vt:lpstr>5 изм.</vt:lpstr>
      <vt:lpstr>6 изм.</vt:lpstr>
      <vt:lpstr>7 изм</vt:lpstr>
      <vt:lpstr>2022 год</vt:lpstr>
      <vt:lpstr>1 изменение</vt:lpstr>
      <vt:lpstr>2 изменение</vt:lpstr>
      <vt:lpstr>3 изменение</vt:lpstr>
      <vt:lpstr>4 изменение</vt:lpstr>
      <vt:lpstr>5 изменение</vt:lpstr>
      <vt:lpstr>6 изменение</vt:lpstr>
      <vt:lpstr>2023</vt:lpstr>
      <vt:lpstr>1 изменение 2023</vt:lpstr>
      <vt:lpstr>'1 изм. 2021'!Область_печати</vt:lpstr>
      <vt:lpstr>'15.07.2020 3 изм.'!Область_печати</vt:lpstr>
      <vt:lpstr>'2021'!Область_печати</vt:lpstr>
      <vt:lpstr>'5  изм 2020'!Область_печати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2023-06-09T07:05:34Z</cp:lastPrinted>
  <dcterms:created xsi:type="dcterms:W3CDTF">2016-04-04T05:53:30Z</dcterms:created>
  <dcterms:modified xsi:type="dcterms:W3CDTF">2023-06-09T07:05:37Z</dcterms:modified>
</cp:coreProperties>
</file>