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720" windowWidth="19440" windowHeight="11610" tabRatio="601"/>
  </bookViews>
  <sheets>
    <sheet name="Лист1" sheetId="1" r:id="rId1"/>
    <sheet name="Лист3" sheetId="3" r:id="rId2"/>
  </sheets>
  <definedNames>
    <definedName name="_xlnm.Print_Titles" localSheetId="0">Лист1!$A:$D,Лист1!$6:$9</definedName>
    <definedName name="_xlnm.Print_Area" localSheetId="0">Лист1!$A$1:$AD$163</definedName>
  </definedNames>
  <calcPr calcId="14562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D67" i="1" l="1"/>
  <c r="Z149" i="1" l="1"/>
  <c r="Z144" i="1"/>
  <c r="Z139" i="1"/>
  <c r="Z135" i="1"/>
  <c r="Z118" i="1"/>
  <c r="Z106" i="1"/>
  <c r="Z15" i="1"/>
  <c r="Z46" i="1" l="1"/>
  <c r="Z141" i="1" l="1"/>
  <c r="Z131" i="1"/>
  <c r="Z109" i="1"/>
  <c r="Y141" i="1" l="1"/>
  <c r="Y139" i="1"/>
  <c r="AA101" i="1" l="1"/>
  <c r="Y85" i="1"/>
  <c r="Y86" i="1"/>
  <c r="Y87" i="1"/>
  <c r="Y88" i="1"/>
  <c r="Y90" i="1"/>
  <c r="Y91" i="1"/>
  <c r="Y92" i="1"/>
  <c r="Y93" i="1"/>
  <c r="Y94" i="1"/>
  <c r="Y95" i="1"/>
  <c r="Y96" i="1"/>
  <c r="Y97" i="1"/>
  <c r="Y98" i="1"/>
  <c r="Y99" i="1"/>
  <c r="Y100" i="1"/>
  <c r="Y16" i="1"/>
  <c r="Y17" i="1"/>
  <c r="Z13" i="1"/>
  <c r="Z26" i="1" l="1"/>
  <c r="AB49" i="1" l="1"/>
  <c r="AA49" i="1"/>
  <c r="Z49" i="1"/>
  <c r="Z72" i="1" l="1"/>
  <c r="AB67" i="1"/>
  <c r="AA67" i="1"/>
  <c r="AD66" i="1"/>
  <c r="Y66" i="1"/>
  <c r="Z47" i="1" l="1"/>
  <c r="Z19" i="1"/>
  <c r="R150" i="1" l="1"/>
  <c r="Q150" i="1"/>
  <c r="N150" i="1"/>
  <c r="M150" i="1"/>
  <c r="L150" i="1"/>
  <c r="U144" i="1" l="1"/>
  <c r="U118" i="1"/>
  <c r="U78" i="1"/>
  <c r="U72" i="1"/>
  <c r="U26" i="1"/>
  <c r="U23" i="1"/>
  <c r="U13" i="1"/>
  <c r="U100" i="1"/>
  <c r="U123" i="1" l="1"/>
  <c r="U99" i="1" l="1"/>
  <c r="Y146" i="1" l="1"/>
  <c r="Y147" i="1"/>
  <c r="Y148" i="1"/>
  <c r="Y149" i="1"/>
  <c r="AC150" i="1"/>
  <c r="AB150" i="1"/>
  <c r="AA150" i="1"/>
  <c r="X150" i="1"/>
  <c r="W150" i="1"/>
  <c r="V150" i="1"/>
  <c r="Z120" i="1" l="1"/>
  <c r="Y120" i="1" s="1"/>
  <c r="AD120" i="1" s="1"/>
  <c r="Y19" i="1"/>
  <c r="Z18" i="1" l="1"/>
  <c r="Z89" i="1" l="1"/>
  <c r="Y89" i="1" s="1"/>
  <c r="Z150" i="1" l="1"/>
  <c r="Z65" i="1"/>
  <c r="W67" i="1"/>
  <c r="Y50" i="1"/>
  <c r="Y51" i="1"/>
  <c r="Y52" i="1"/>
  <c r="Y53" i="1"/>
  <c r="Y54" i="1"/>
  <c r="Y55" i="1"/>
  <c r="Y56" i="1"/>
  <c r="Y57" i="1"/>
  <c r="Y58" i="1"/>
  <c r="Y59" i="1"/>
  <c r="Y60" i="1"/>
  <c r="Y61" i="1"/>
  <c r="Y62" i="1"/>
  <c r="Y63" i="1"/>
  <c r="Y64" i="1"/>
  <c r="Y65" i="1" l="1"/>
  <c r="AD65" i="1" s="1"/>
  <c r="Z67" i="1"/>
  <c r="U137" i="1"/>
  <c r="U149" i="1"/>
  <c r="U145" i="1"/>
  <c r="W72" i="1"/>
  <c r="V72" i="1"/>
  <c r="U136" i="1" l="1"/>
  <c r="U139" i="1" l="1"/>
  <c r="V99" i="1" l="1"/>
  <c r="U49" i="1"/>
  <c r="V47" i="1"/>
  <c r="T149" i="1" l="1"/>
  <c r="U18" i="1" l="1"/>
  <c r="X173" i="1" l="1"/>
  <c r="X171" i="1"/>
  <c r="AD44" i="1"/>
  <c r="F156" i="1" l="1"/>
  <c r="F154" i="1"/>
  <c r="G154" i="1"/>
  <c r="F151" i="1"/>
  <c r="F150" i="1" l="1"/>
  <c r="E138" i="1" l="1"/>
  <c r="AD138" i="1" s="1"/>
  <c r="Y118" i="1"/>
  <c r="T118" i="1"/>
  <c r="E117" i="1"/>
  <c r="E118" i="1"/>
  <c r="G119" i="1"/>
  <c r="E57" i="1"/>
  <c r="AD57" i="1" s="1"/>
  <c r="T53" i="1"/>
  <c r="O53" i="1"/>
  <c r="E53" i="1"/>
  <c r="O47" i="1"/>
  <c r="P46" i="1"/>
  <c r="J23" i="1"/>
  <c r="AD118" i="1" l="1"/>
  <c r="E119" i="1"/>
  <c r="G150" i="1"/>
  <c r="AD53" i="1"/>
  <c r="T113" i="1"/>
  <c r="AD113" i="1" s="1"/>
  <c r="Y49" i="1"/>
  <c r="V49" i="1"/>
  <c r="V67" i="1" s="1"/>
  <c r="Y47" i="1"/>
  <c r="T49" i="1" l="1"/>
  <c r="AD49" i="1" s="1"/>
  <c r="T47" i="1"/>
  <c r="AD47" i="1" s="1"/>
  <c r="U46" i="1"/>
  <c r="U67" i="1" s="1"/>
  <c r="T23" i="1"/>
  <c r="AD23" i="1" s="1"/>
  <c r="Y117" i="1" l="1"/>
  <c r="Y119" i="1"/>
  <c r="U143" i="1" l="1"/>
  <c r="T117" i="1"/>
  <c r="AD117" i="1" s="1"/>
  <c r="T119" i="1"/>
  <c r="AD119" i="1" s="1"/>
  <c r="U89" i="1"/>
  <c r="U74" i="1"/>
  <c r="U15" i="1"/>
  <c r="W27" i="1" l="1"/>
  <c r="X27" i="1"/>
  <c r="V27" i="1"/>
  <c r="T26" i="1"/>
  <c r="U20" i="1"/>
  <c r="U16" i="1"/>
  <c r="T80" i="1"/>
  <c r="AD80" i="1" s="1"/>
  <c r="T79" i="1"/>
  <c r="T78" i="1"/>
  <c r="T77" i="1"/>
  <c r="T76" i="1"/>
  <c r="T75" i="1"/>
  <c r="X81" i="1"/>
  <c r="W81" i="1"/>
  <c r="V81" i="1"/>
  <c r="AC27" i="1" l="1"/>
  <c r="AB27" i="1"/>
  <c r="AA27" i="1"/>
  <c r="Y26" i="1"/>
  <c r="AD26" i="1" s="1"/>
  <c r="Q156" i="1" l="1"/>
  <c r="G151" i="1"/>
  <c r="G156" i="1" l="1"/>
  <c r="S150" i="1"/>
  <c r="E147" i="1"/>
  <c r="AD147" i="1" s="1"/>
  <c r="E108" i="1"/>
  <c r="U158" i="1"/>
  <c r="U68" i="1"/>
  <c r="T58" i="1"/>
  <c r="AD58" i="1" s="1"/>
  <c r="Q68" i="1"/>
  <c r="O61" i="1"/>
  <c r="AD61" i="1" s="1"/>
  <c r="P156" i="1"/>
  <c r="P68" i="1"/>
  <c r="O41" i="1"/>
  <c r="AD41" i="1" s="1"/>
  <c r="AD108" i="1" l="1"/>
  <c r="AD151" i="1" s="1"/>
  <c r="E151" i="1"/>
  <c r="E156" i="1"/>
  <c r="AC101" i="1"/>
  <c r="Z101" i="1"/>
  <c r="U127" i="1"/>
  <c r="U150" i="1" s="1"/>
  <c r="T100" i="1" l="1"/>
  <c r="AD100" i="1" s="1"/>
  <c r="X101" i="1"/>
  <c r="W101" i="1"/>
  <c r="V101" i="1"/>
  <c r="U101" i="1"/>
  <c r="AD149" i="1" l="1"/>
  <c r="T98" i="1" l="1"/>
  <c r="T99" i="1"/>
  <c r="U27" i="1" l="1"/>
  <c r="U81" i="1"/>
  <c r="T52" i="1" l="1"/>
  <c r="U156" i="1" l="1"/>
  <c r="U154" i="1"/>
  <c r="T146" i="1"/>
  <c r="T148" i="1"/>
  <c r="AD148" i="1" s="1"/>
  <c r="T56" i="1"/>
  <c r="K6" i="3"/>
  <c r="K7" i="3"/>
  <c r="K5" i="3"/>
  <c r="G6" i="3"/>
  <c r="G7" i="3"/>
  <c r="L7" i="3" s="1"/>
  <c r="G5" i="3"/>
  <c r="L5" i="3" s="1"/>
  <c r="L6" i="3"/>
  <c r="C8" i="3"/>
  <c r="D8" i="3"/>
  <c r="E8" i="3"/>
  <c r="F8" i="3"/>
  <c r="H8" i="3"/>
  <c r="I8" i="3"/>
  <c r="J8" i="3"/>
  <c r="B8" i="3"/>
  <c r="T16" i="1"/>
  <c r="O64" i="1"/>
  <c r="AD64" i="1" s="1"/>
  <c r="R72" i="1"/>
  <c r="Q72" i="1"/>
  <c r="Q99" i="1"/>
  <c r="S67" i="1"/>
  <c r="P99" i="1"/>
  <c r="P72" i="1"/>
  <c r="P13" i="1"/>
  <c r="P15" i="1"/>
  <c r="M5" i="3" l="1"/>
  <c r="M7" i="3"/>
  <c r="M6" i="3"/>
  <c r="M8" i="3" s="1"/>
  <c r="L8" i="3"/>
  <c r="G8" i="3"/>
  <c r="K8" i="3"/>
  <c r="T158" i="1"/>
  <c r="T156" i="1" s="1"/>
  <c r="O17" i="1"/>
  <c r="P18" i="1"/>
  <c r="P129" i="1"/>
  <c r="P127" i="1"/>
  <c r="P20" i="1"/>
  <c r="P16" i="1"/>
  <c r="P77" i="1" l="1"/>
  <c r="P137" i="1"/>
  <c r="P150" i="1" s="1"/>
  <c r="P101" i="1" l="1"/>
  <c r="T93" i="1"/>
  <c r="O93" i="1"/>
  <c r="J93" i="1"/>
  <c r="E93" i="1"/>
  <c r="E158" i="1"/>
  <c r="E159" i="1"/>
  <c r="E157" i="1"/>
  <c r="O158" i="1"/>
  <c r="O159" i="1"/>
  <c r="O157" i="1"/>
  <c r="Q154" i="1"/>
  <c r="Q162" i="1" s="1"/>
  <c r="O56" i="1"/>
  <c r="P154" i="1"/>
  <c r="P162" i="1" s="1"/>
  <c r="AD157" i="1" l="1"/>
  <c r="AD159" i="1"/>
  <c r="AD158" i="1"/>
  <c r="AD93" i="1"/>
  <c r="P155" i="1"/>
  <c r="P163" i="1" s="1"/>
  <c r="E146" i="1" l="1"/>
  <c r="R68" i="1"/>
  <c r="S68" i="1"/>
  <c r="R156" i="1"/>
  <c r="S156" i="1"/>
  <c r="V68" i="1"/>
  <c r="W68" i="1"/>
  <c r="Z81" i="1"/>
  <c r="O85" i="1"/>
  <c r="O86" i="1"/>
  <c r="O87" i="1"/>
  <c r="O88" i="1"/>
  <c r="AD88" i="1" s="1"/>
  <c r="O89" i="1"/>
  <c r="O90" i="1"/>
  <c r="O91" i="1"/>
  <c r="O92" i="1"/>
  <c r="O94" i="1"/>
  <c r="O95" i="1"/>
  <c r="O96" i="1"/>
  <c r="O97" i="1"/>
  <c r="O98" i="1"/>
  <c r="O99" i="1"/>
  <c r="O59" i="1"/>
  <c r="O62" i="1"/>
  <c r="O63" i="1"/>
  <c r="T91" i="1"/>
  <c r="R81" i="1"/>
  <c r="Q81" i="1"/>
  <c r="P81" i="1"/>
  <c r="G81" i="1"/>
  <c r="H81" i="1"/>
  <c r="I81" i="1"/>
  <c r="Y78" i="1"/>
  <c r="J78" i="1"/>
  <c r="O156" i="1" l="1"/>
  <c r="O68" i="1"/>
  <c r="T68" i="1"/>
  <c r="T13" i="1"/>
  <c r="AD78" i="1"/>
  <c r="O21" i="1"/>
  <c r="Y75" i="1" l="1"/>
  <c r="Y76" i="1"/>
  <c r="O72" i="1"/>
  <c r="O73" i="1"/>
  <c r="O48" i="1"/>
  <c r="O50" i="1"/>
  <c r="O52" i="1"/>
  <c r="Y25" i="1"/>
  <c r="T25" i="1"/>
  <c r="O25" i="1"/>
  <c r="J25" i="1"/>
  <c r="E25" i="1"/>
  <c r="P27" i="1"/>
  <c r="O16" i="1"/>
  <c r="AD25" i="1" l="1"/>
  <c r="N84" i="1"/>
  <c r="K122" i="1"/>
  <c r="L99" i="1"/>
  <c r="K99" i="1"/>
  <c r="F155" i="1"/>
  <c r="F163" i="1" s="1"/>
  <c r="G155" i="1"/>
  <c r="G163" i="1" s="1"/>
  <c r="H155" i="1"/>
  <c r="H163" i="1" s="1"/>
  <c r="I155" i="1"/>
  <c r="I163" i="1" s="1"/>
  <c r="L155" i="1"/>
  <c r="L163" i="1" s="1"/>
  <c r="M155" i="1"/>
  <c r="M163" i="1" s="1"/>
  <c r="N155" i="1"/>
  <c r="N163" i="1" s="1"/>
  <c r="Q155" i="1"/>
  <c r="Q163" i="1" s="1"/>
  <c r="R155" i="1"/>
  <c r="R163" i="1" s="1"/>
  <c r="S155" i="1"/>
  <c r="S163" i="1" s="1"/>
  <c r="U155" i="1"/>
  <c r="U163" i="1" s="1"/>
  <c r="V155" i="1"/>
  <c r="V163" i="1" s="1"/>
  <c r="W155" i="1"/>
  <c r="W163" i="1" s="1"/>
  <c r="X155" i="1"/>
  <c r="X163" i="1" s="1"/>
  <c r="Z155" i="1"/>
  <c r="Z163" i="1" s="1"/>
  <c r="AA155" i="1"/>
  <c r="AA163" i="1" s="1"/>
  <c r="AB155" i="1"/>
  <c r="AB163" i="1" s="1"/>
  <c r="AC155" i="1"/>
  <c r="AC163" i="1" s="1"/>
  <c r="F162" i="1"/>
  <c r="G162" i="1"/>
  <c r="H154" i="1"/>
  <c r="H162" i="1" s="1"/>
  <c r="I154" i="1"/>
  <c r="I162" i="1" s="1"/>
  <c r="K154" i="1"/>
  <c r="K162" i="1" s="1"/>
  <c r="L154" i="1"/>
  <c r="L162" i="1" s="1"/>
  <c r="M154" i="1"/>
  <c r="M162" i="1" s="1"/>
  <c r="N154" i="1"/>
  <c r="N162" i="1" s="1"/>
  <c r="R154" i="1"/>
  <c r="R162" i="1" s="1"/>
  <c r="S154" i="1"/>
  <c r="S162" i="1" s="1"/>
  <c r="U162" i="1"/>
  <c r="V154" i="1"/>
  <c r="W154" i="1"/>
  <c r="W162" i="1" s="1"/>
  <c r="X154" i="1"/>
  <c r="X162" i="1" s="1"/>
  <c r="Z154" i="1"/>
  <c r="Z162" i="1" s="1"/>
  <c r="AA154" i="1"/>
  <c r="AA162" i="1" s="1"/>
  <c r="AB154" i="1"/>
  <c r="AB162" i="1" s="1"/>
  <c r="AC154" i="1"/>
  <c r="AC162" i="1" s="1"/>
  <c r="V162" i="1" l="1"/>
  <c r="T154" i="1"/>
  <c r="J71" i="1"/>
  <c r="J72" i="1"/>
  <c r="J73" i="1"/>
  <c r="J74" i="1"/>
  <c r="J75" i="1"/>
  <c r="J76" i="1"/>
  <c r="J77" i="1"/>
  <c r="K81" i="1"/>
  <c r="M81" i="1"/>
  <c r="L81" i="1"/>
  <c r="K170" i="1"/>
  <c r="J62" i="1"/>
  <c r="AD62" i="1" s="1"/>
  <c r="L60" i="1"/>
  <c r="K60" i="1"/>
  <c r="K17" i="1"/>
  <c r="J17" i="1" s="1"/>
  <c r="K13" i="1"/>
  <c r="H150" i="1"/>
  <c r="I150" i="1"/>
  <c r="AD111" i="1"/>
  <c r="AD121" i="1"/>
  <c r="AD142" i="1"/>
  <c r="K40" i="1" l="1"/>
  <c r="K155" i="1" l="1"/>
  <c r="K163" i="1" s="1"/>
  <c r="X174" i="1"/>
  <c r="L27" i="1"/>
  <c r="M27" i="1"/>
  <c r="N27" i="1"/>
  <c r="K171" i="1"/>
  <c r="L171" i="1"/>
  <c r="M171" i="1"/>
  <c r="L170" i="1"/>
  <c r="M170" i="1"/>
  <c r="N170" i="1"/>
  <c r="K145" i="1"/>
  <c r="K140" i="1"/>
  <c r="K137" i="1"/>
  <c r="K128" i="1"/>
  <c r="K123" i="1"/>
  <c r="K109" i="1"/>
  <c r="K150" i="1" s="1"/>
  <c r="K98" i="1"/>
  <c r="K90" i="1"/>
  <c r="K89" i="1"/>
  <c r="K86" i="1"/>
  <c r="J86" i="1" s="1"/>
  <c r="K85" i="1"/>
  <c r="K24" i="1"/>
  <c r="K19" i="1"/>
  <c r="J16" i="1"/>
  <c r="AD16" i="1" s="1"/>
  <c r="K15" i="1"/>
  <c r="K27" i="1" l="1"/>
  <c r="K101" i="1"/>
  <c r="J13" i="1"/>
  <c r="X67" i="1"/>
  <c r="T67" i="1" s="1"/>
  <c r="AC67" i="1"/>
  <c r="J63" i="1" l="1"/>
  <c r="AD63" i="1" s="1"/>
  <c r="J60" i="1"/>
  <c r="AD60" i="1" s="1"/>
  <c r="J56" i="1" l="1"/>
  <c r="J15" i="1"/>
  <c r="J170" i="1" l="1"/>
  <c r="J99" i="1"/>
  <c r="J98" i="1"/>
  <c r="AD98" i="1" s="1"/>
  <c r="F101" i="1"/>
  <c r="G101" i="1"/>
  <c r="H101" i="1"/>
  <c r="I101" i="1"/>
  <c r="L101" i="1"/>
  <c r="M101" i="1"/>
  <c r="N101" i="1"/>
  <c r="Q101" i="1"/>
  <c r="R101" i="1"/>
  <c r="S101" i="1"/>
  <c r="AB101" i="1"/>
  <c r="J59" i="1"/>
  <c r="E56" i="1"/>
  <c r="AD56" i="1" s="1"/>
  <c r="T22" i="1" l="1"/>
  <c r="T19" i="1" l="1"/>
  <c r="Y116" i="1"/>
  <c r="Y22" i="1"/>
  <c r="AD99" i="1" l="1"/>
  <c r="J95" i="1"/>
  <c r="AD95" i="1" s="1"/>
  <c r="J22" i="1"/>
  <c r="AC81" i="1" l="1"/>
  <c r="AB81" i="1"/>
  <c r="AA81" i="1"/>
  <c r="S81" i="1"/>
  <c r="O81" i="1" s="1"/>
  <c r="O77" i="1"/>
  <c r="AD79" i="1"/>
  <c r="F77" i="1"/>
  <c r="F81" i="1" s="1"/>
  <c r="E81" i="1" s="1"/>
  <c r="T81" i="1" l="1"/>
  <c r="F17" i="1"/>
  <c r="F52" i="1"/>
  <c r="AD22" i="1" l="1"/>
  <c r="E150" i="1" l="1"/>
  <c r="H27" i="1"/>
  <c r="E72" i="1" l="1"/>
  <c r="J42" i="1" l="1"/>
  <c r="AD42" i="1" l="1"/>
  <c r="J154" i="1"/>
  <c r="J162" i="1" s="1"/>
  <c r="E54" i="1"/>
  <c r="AD54" i="1" s="1"/>
  <c r="E52" i="1"/>
  <c r="AD52" i="1" s="1"/>
  <c r="E38" i="1" l="1"/>
  <c r="AD38" i="1" s="1"/>
  <c r="E55" i="1" l="1"/>
  <c r="E154" i="1" s="1"/>
  <c r="E162" i="1" l="1"/>
  <c r="E59" i="1"/>
  <c r="AD59" i="1" s="1"/>
  <c r="H151" i="1" l="1"/>
  <c r="I151" i="1"/>
  <c r="J151" i="1"/>
  <c r="K151" i="1"/>
  <c r="L151" i="1"/>
  <c r="M151" i="1"/>
  <c r="N151" i="1"/>
  <c r="O151" i="1"/>
  <c r="P151" i="1"/>
  <c r="Q151" i="1"/>
  <c r="R151" i="1"/>
  <c r="S151" i="1"/>
  <c r="T151" i="1"/>
  <c r="U151" i="1"/>
  <c r="V151" i="1"/>
  <c r="W151" i="1"/>
  <c r="X151" i="1"/>
  <c r="Y151" i="1"/>
  <c r="Z151" i="1"/>
  <c r="AA151" i="1"/>
  <c r="AB151" i="1"/>
  <c r="AC151" i="1"/>
  <c r="H156" i="1"/>
  <c r="I156" i="1"/>
  <c r="J156" i="1"/>
  <c r="K156" i="1"/>
  <c r="L156" i="1"/>
  <c r="M156" i="1"/>
  <c r="N156" i="1"/>
  <c r="V156" i="1"/>
  <c r="W156" i="1"/>
  <c r="X156" i="1"/>
  <c r="Y156" i="1"/>
  <c r="Z156" i="1"/>
  <c r="AA156" i="1"/>
  <c r="AB156" i="1"/>
  <c r="AC156" i="1"/>
  <c r="AD146" i="1"/>
  <c r="E107" i="1"/>
  <c r="AD107" i="1" l="1"/>
  <c r="E112" i="1"/>
  <c r="J85" i="1" l="1"/>
  <c r="J91" i="1" l="1"/>
  <c r="Y72" i="1" l="1"/>
  <c r="T72" i="1"/>
  <c r="E141" i="1"/>
  <c r="AD141" i="1" s="1"/>
  <c r="AD72" i="1" l="1"/>
  <c r="AD37" i="1"/>
  <c r="E131" i="1" l="1"/>
  <c r="E17" i="1"/>
  <c r="AD17" i="1" s="1"/>
  <c r="E91" i="1" l="1"/>
  <c r="AD91" i="1" s="1"/>
  <c r="J19" i="1"/>
  <c r="O19" i="1"/>
  <c r="E19" i="1"/>
  <c r="AD19" i="1" l="1"/>
  <c r="O18" i="1"/>
  <c r="J18" i="1"/>
  <c r="E18" i="1"/>
  <c r="Y13" i="1"/>
  <c r="Z27" i="1" s="1"/>
  <c r="Y15" i="1"/>
  <c r="T15" i="1"/>
  <c r="O13" i="1"/>
  <c r="O15" i="1"/>
  <c r="E13" i="1"/>
  <c r="E15" i="1"/>
  <c r="AD15" i="1" l="1"/>
  <c r="AD13" i="1"/>
  <c r="Y140" i="1"/>
  <c r="T140" i="1"/>
  <c r="O140" i="1"/>
  <c r="J140" i="1"/>
  <c r="E140" i="1"/>
  <c r="F27" i="1"/>
  <c r="E123" i="1"/>
  <c r="E145" i="1"/>
  <c r="E143" i="1"/>
  <c r="E137" i="1"/>
  <c r="J29" i="1"/>
  <c r="J20" i="1"/>
  <c r="O20" i="1"/>
  <c r="T20" i="1"/>
  <c r="Y20" i="1"/>
  <c r="Y145" i="1"/>
  <c r="Y144" i="1"/>
  <c r="Y143" i="1"/>
  <c r="Y137" i="1"/>
  <c r="Y136" i="1"/>
  <c r="Y135" i="1"/>
  <c r="Y134" i="1"/>
  <c r="Y133" i="1"/>
  <c r="Y132" i="1"/>
  <c r="Y131" i="1"/>
  <c r="Y130" i="1"/>
  <c r="Y129" i="1"/>
  <c r="Y128" i="1"/>
  <c r="Y127" i="1"/>
  <c r="Y126" i="1"/>
  <c r="Y125" i="1"/>
  <c r="Y124" i="1"/>
  <c r="Y123" i="1"/>
  <c r="Y122" i="1"/>
  <c r="Y115" i="1"/>
  <c r="Y114" i="1"/>
  <c r="Y112" i="1"/>
  <c r="Y110" i="1"/>
  <c r="Y109" i="1"/>
  <c r="Y106" i="1"/>
  <c r="Y105" i="1"/>
  <c r="Y104" i="1"/>
  <c r="T145" i="1"/>
  <c r="T144" i="1"/>
  <c r="T143" i="1"/>
  <c r="T139" i="1"/>
  <c r="T137" i="1"/>
  <c r="T136" i="1"/>
  <c r="T135" i="1"/>
  <c r="T134" i="1"/>
  <c r="T133" i="1"/>
  <c r="T132" i="1"/>
  <c r="T131" i="1"/>
  <c r="T130" i="1"/>
  <c r="T129" i="1"/>
  <c r="T128" i="1"/>
  <c r="T127" i="1"/>
  <c r="T126" i="1"/>
  <c r="T125" i="1"/>
  <c r="T124" i="1"/>
  <c r="T123" i="1"/>
  <c r="T122" i="1"/>
  <c r="T116" i="1"/>
  <c r="T115" i="1"/>
  <c r="T114" i="1"/>
  <c r="T112" i="1"/>
  <c r="T110" i="1"/>
  <c r="T109" i="1"/>
  <c r="T106" i="1"/>
  <c r="T105" i="1"/>
  <c r="T104" i="1"/>
  <c r="O145" i="1"/>
  <c r="O144" i="1"/>
  <c r="O143" i="1"/>
  <c r="O139" i="1"/>
  <c r="O137" i="1"/>
  <c r="O136" i="1"/>
  <c r="O135" i="1"/>
  <c r="O134" i="1"/>
  <c r="O133" i="1"/>
  <c r="O132" i="1"/>
  <c r="O131" i="1"/>
  <c r="O130" i="1"/>
  <c r="O129" i="1"/>
  <c r="O128" i="1"/>
  <c r="O127" i="1"/>
  <c r="O126" i="1"/>
  <c r="O125" i="1"/>
  <c r="O124" i="1"/>
  <c r="O123" i="1"/>
  <c r="O122" i="1"/>
  <c r="O115" i="1"/>
  <c r="O114" i="1"/>
  <c r="O112" i="1"/>
  <c r="O110" i="1"/>
  <c r="O109" i="1"/>
  <c r="O106" i="1"/>
  <c r="O105" i="1"/>
  <c r="O104" i="1"/>
  <c r="J145" i="1"/>
  <c r="J144" i="1"/>
  <c r="J143" i="1"/>
  <c r="J139" i="1"/>
  <c r="J137" i="1"/>
  <c r="J136" i="1"/>
  <c r="J135" i="1"/>
  <c r="J134" i="1"/>
  <c r="J133" i="1"/>
  <c r="J132" i="1"/>
  <c r="J131" i="1"/>
  <c r="J130" i="1"/>
  <c r="J129" i="1"/>
  <c r="J128" i="1"/>
  <c r="J127" i="1"/>
  <c r="J126" i="1"/>
  <c r="J125" i="1"/>
  <c r="J124" i="1"/>
  <c r="J123" i="1"/>
  <c r="J122" i="1"/>
  <c r="J115" i="1"/>
  <c r="J114" i="1"/>
  <c r="J112" i="1"/>
  <c r="J110" i="1"/>
  <c r="J109" i="1"/>
  <c r="J106" i="1"/>
  <c r="J105" i="1"/>
  <c r="J104" i="1"/>
  <c r="E144" i="1"/>
  <c r="E139" i="1"/>
  <c r="E135" i="1"/>
  <c r="E134" i="1"/>
  <c r="E133" i="1"/>
  <c r="E132" i="1"/>
  <c r="E130" i="1"/>
  <c r="E129" i="1"/>
  <c r="E128" i="1"/>
  <c r="E127" i="1"/>
  <c r="E126" i="1"/>
  <c r="E125" i="1"/>
  <c r="E124" i="1"/>
  <c r="E122" i="1"/>
  <c r="E115" i="1"/>
  <c r="E114" i="1"/>
  <c r="E110" i="1"/>
  <c r="E109" i="1"/>
  <c r="E106" i="1"/>
  <c r="E105" i="1"/>
  <c r="Y84" i="1"/>
  <c r="Y83" i="1"/>
  <c r="T97" i="1"/>
  <c r="T96" i="1"/>
  <c r="T94" i="1"/>
  <c r="T92" i="1"/>
  <c r="T90" i="1"/>
  <c r="T89" i="1"/>
  <c r="T87" i="1"/>
  <c r="T86" i="1"/>
  <c r="T85" i="1"/>
  <c r="T84" i="1"/>
  <c r="T83" i="1"/>
  <c r="O84" i="1"/>
  <c r="O101" i="1" s="1"/>
  <c r="J97" i="1"/>
  <c r="J96" i="1"/>
  <c r="J94" i="1"/>
  <c r="J92" i="1"/>
  <c r="J90" i="1"/>
  <c r="J89" i="1"/>
  <c r="J87" i="1"/>
  <c r="J84" i="1"/>
  <c r="E97" i="1"/>
  <c r="E96" i="1"/>
  <c r="E94" i="1"/>
  <c r="E92" i="1"/>
  <c r="E90" i="1"/>
  <c r="E89" i="1"/>
  <c r="E87" i="1"/>
  <c r="E86" i="1"/>
  <c r="E85" i="1"/>
  <c r="E84" i="1"/>
  <c r="E83" i="1"/>
  <c r="Y74" i="1"/>
  <c r="Y73" i="1"/>
  <c r="Y71" i="1"/>
  <c r="Y70" i="1"/>
  <c r="T74" i="1"/>
  <c r="T73" i="1"/>
  <c r="T71" i="1"/>
  <c r="T70" i="1"/>
  <c r="O76" i="1"/>
  <c r="O75" i="1"/>
  <c r="O74" i="1"/>
  <c r="O71" i="1"/>
  <c r="O70" i="1"/>
  <c r="J70" i="1"/>
  <c r="J81" i="1" s="1"/>
  <c r="E77" i="1"/>
  <c r="E76" i="1"/>
  <c r="E75" i="1"/>
  <c r="E74" i="1"/>
  <c r="E73" i="1"/>
  <c r="E71" i="1"/>
  <c r="E70" i="1"/>
  <c r="Y154" i="1"/>
  <c r="Y162" i="1" s="1"/>
  <c r="Y48" i="1"/>
  <c r="Y46" i="1"/>
  <c r="Y45" i="1"/>
  <c r="Y43" i="1"/>
  <c r="Y40" i="1"/>
  <c r="Y155" i="1" s="1"/>
  <c r="Y163" i="1" s="1"/>
  <c r="Y39" i="1"/>
  <c r="Y36" i="1"/>
  <c r="Y35" i="1"/>
  <c r="T55" i="1"/>
  <c r="T162" i="1" s="1"/>
  <c r="T51" i="1"/>
  <c r="R51" i="1" s="1"/>
  <c r="R67" i="1" s="1"/>
  <c r="T48" i="1"/>
  <c r="T46" i="1"/>
  <c r="T45" i="1"/>
  <c r="T43" i="1"/>
  <c r="T40" i="1"/>
  <c r="T39" i="1"/>
  <c r="T36" i="1"/>
  <c r="T35" i="1"/>
  <c r="O55" i="1"/>
  <c r="O154" i="1" s="1"/>
  <c r="O46" i="1"/>
  <c r="O45" i="1"/>
  <c r="O43" i="1"/>
  <c r="O40" i="1"/>
  <c r="O39" i="1"/>
  <c r="O36" i="1"/>
  <c r="O35" i="1"/>
  <c r="J50" i="1"/>
  <c r="J48" i="1"/>
  <c r="J46" i="1"/>
  <c r="J45" i="1"/>
  <c r="J40" i="1"/>
  <c r="J39" i="1"/>
  <c r="J36" i="1"/>
  <c r="J35" i="1"/>
  <c r="E36" i="1"/>
  <c r="E39" i="1"/>
  <c r="E40" i="1"/>
  <c r="E155" i="1" s="1"/>
  <c r="E43" i="1"/>
  <c r="E45" i="1"/>
  <c r="E46" i="1"/>
  <c r="E48" i="1"/>
  <c r="E50" i="1"/>
  <c r="E35" i="1"/>
  <c r="E29" i="1"/>
  <c r="Y32" i="1"/>
  <c r="Y31" i="1"/>
  <c r="Y30" i="1"/>
  <c r="Y29" i="1"/>
  <c r="T32" i="1"/>
  <c r="T31" i="1"/>
  <c r="T30" i="1"/>
  <c r="T29" i="1"/>
  <c r="O32" i="1"/>
  <c r="O31" i="1"/>
  <c r="O30" i="1"/>
  <c r="O29" i="1"/>
  <c r="J32" i="1"/>
  <c r="J30" i="1"/>
  <c r="E30" i="1"/>
  <c r="E32" i="1"/>
  <c r="Y24" i="1"/>
  <c r="Y21" i="1"/>
  <c r="Y18" i="1"/>
  <c r="Y14" i="1"/>
  <c r="T24" i="1"/>
  <c r="T21" i="1"/>
  <c r="T18" i="1"/>
  <c r="T14" i="1"/>
  <c r="O24" i="1"/>
  <c r="O14" i="1"/>
  <c r="J24" i="1"/>
  <c r="J21" i="1"/>
  <c r="J14" i="1"/>
  <c r="E14" i="1"/>
  <c r="E21" i="1"/>
  <c r="E24" i="1"/>
  <c r="F33" i="1"/>
  <c r="G33" i="1"/>
  <c r="H33" i="1"/>
  <c r="I33" i="1"/>
  <c r="K33" i="1"/>
  <c r="L33" i="1"/>
  <c r="M33" i="1"/>
  <c r="N33" i="1"/>
  <c r="P33" i="1"/>
  <c r="Q33" i="1"/>
  <c r="R33" i="1"/>
  <c r="S33" i="1"/>
  <c r="U33" i="1"/>
  <c r="V33" i="1"/>
  <c r="V152" i="1" s="1"/>
  <c r="W33" i="1"/>
  <c r="X33" i="1"/>
  <c r="Z33" i="1"/>
  <c r="AA33" i="1"/>
  <c r="AB33" i="1"/>
  <c r="AC33" i="1"/>
  <c r="Q27" i="1"/>
  <c r="E20" i="1"/>
  <c r="I27" i="1"/>
  <c r="S27" i="1"/>
  <c r="R27" i="1"/>
  <c r="G27" i="1"/>
  <c r="E136" i="1"/>
  <c r="E104" i="1"/>
  <c r="Y67" i="1" l="1"/>
  <c r="Y150" i="1"/>
  <c r="U153" i="1"/>
  <c r="U161" i="1" s="1"/>
  <c r="U152" i="1"/>
  <c r="U160" i="1" s="1"/>
  <c r="AD133" i="1"/>
  <c r="V153" i="1"/>
  <c r="V160" i="1"/>
  <c r="T27" i="1"/>
  <c r="AD116" i="1"/>
  <c r="Y101" i="1"/>
  <c r="AD126" i="1"/>
  <c r="AD130" i="1"/>
  <c r="Y27" i="1"/>
  <c r="T101" i="1"/>
  <c r="T150" i="1"/>
  <c r="E27" i="1"/>
  <c r="AD124" i="1"/>
  <c r="AD14" i="1"/>
  <c r="AD105" i="1"/>
  <c r="AD114" i="1"/>
  <c r="AD128" i="1"/>
  <c r="AD144" i="1"/>
  <c r="AD136" i="1"/>
  <c r="Y81" i="1"/>
  <c r="AD109" i="1"/>
  <c r="AD135" i="1"/>
  <c r="AD112" i="1"/>
  <c r="AD131" i="1"/>
  <c r="E163" i="1"/>
  <c r="O162" i="1"/>
  <c r="AE162" i="1" s="1"/>
  <c r="AE154" i="1"/>
  <c r="AD104" i="1"/>
  <c r="AD106" i="1"/>
  <c r="AD110" i="1"/>
  <c r="AD115" i="1"/>
  <c r="AD122" i="1"/>
  <c r="AD125" i="1"/>
  <c r="AD127" i="1"/>
  <c r="AD132" i="1"/>
  <c r="AD134" i="1"/>
  <c r="AD139" i="1"/>
  <c r="AD129" i="1"/>
  <c r="O155" i="1"/>
  <c r="O163" i="1" s="1"/>
  <c r="AD156" i="1"/>
  <c r="T155" i="1"/>
  <c r="T163" i="1" s="1"/>
  <c r="AD68" i="1"/>
  <c r="J171" i="1"/>
  <c r="J155" i="1"/>
  <c r="J163" i="1" s="1"/>
  <c r="AD84" i="1"/>
  <c r="AD140" i="1"/>
  <c r="J27" i="1"/>
  <c r="E101" i="1"/>
  <c r="AD85" i="1"/>
  <c r="AD143" i="1"/>
  <c r="AD123" i="1"/>
  <c r="AD145" i="1"/>
  <c r="AD24" i="1"/>
  <c r="J101" i="1"/>
  <c r="AD89" i="1"/>
  <c r="AD137" i="1"/>
  <c r="Q51" i="1"/>
  <c r="Q67" i="1" s="1"/>
  <c r="AD55" i="1"/>
  <c r="AD154" i="1" s="1"/>
  <c r="AD40" i="1"/>
  <c r="AD39" i="1"/>
  <c r="AD45" i="1"/>
  <c r="AD32" i="1"/>
  <c r="AD18" i="1"/>
  <c r="AD30" i="1"/>
  <c r="AD87" i="1"/>
  <c r="AD31" i="1"/>
  <c r="AD35" i="1"/>
  <c r="Y33" i="1"/>
  <c r="AD29" i="1"/>
  <c r="AD74" i="1"/>
  <c r="AD94" i="1"/>
  <c r="AD21" i="1"/>
  <c r="AD46" i="1"/>
  <c r="AD70" i="1"/>
  <c r="AD75" i="1"/>
  <c r="AD96" i="1"/>
  <c r="AD48" i="1"/>
  <c r="AD77" i="1"/>
  <c r="AD71" i="1"/>
  <c r="AD76" i="1"/>
  <c r="AD90" i="1"/>
  <c r="AD20" i="1"/>
  <c r="AD83" i="1"/>
  <c r="AD36" i="1"/>
  <c r="AD43" i="1"/>
  <c r="AD50" i="1"/>
  <c r="AD73" i="1"/>
  <c r="AD86" i="1"/>
  <c r="AD92" i="1"/>
  <c r="AD97" i="1"/>
  <c r="O150" i="1"/>
  <c r="J150" i="1"/>
  <c r="T33" i="1"/>
  <c r="O27" i="1"/>
  <c r="J33" i="1"/>
  <c r="E33" i="1"/>
  <c r="O33" i="1"/>
  <c r="T152" i="1" l="1"/>
  <c r="T153" i="1"/>
  <c r="AD27" i="1"/>
  <c r="AD81" i="1"/>
  <c r="AD155" i="1"/>
  <c r="AD163" i="1" s="1"/>
  <c r="AD162" i="1"/>
  <c r="AE155" i="1"/>
  <c r="AE163" i="1"/>
  <c r="AD101" i="1"/>
  <c r="AD150" i="1"/>
  <c r="P51" i="1"/>
  <c r="P67" i="1" s="1"/>
  <c r="AD33" i="1"/>
  <c r="P152" i="1" l="1"/>
  <c r="O51" i="1"/>
  <c r="O67" i="1" s="1"/>
  <c r="O152" i="1" s="1"/>
  <c r="P153" i="1" l="1"/>
  <c r="P161" i="1" s="1"/>
  <c r="P160" i="1"/>
  <c r="O167" i="1"/>
  <c r="N51" i="1"/>
  <c r="N67" i="1" s="1"/>
  <c r="N81" i="1"/>
  <c r="M51" i="1" l="1"/>
  <c r="M67" i="1" s="1"/>
  <c r="L51" i="1" l="1"/>
  <c r="L67" i="1" s="1"/>
  <c r="K51" i="1" l="1"/>
  <c r="K67" i="1" s="1"/>
  <c r="K152" i="1" s="1"/>
  <c r="K160" i="1" s="1"/>
  <c r="L152" i="1"/>
  <c r="K153" i="1" l="1"/>
  <c r="K161" i="1" s="1"/>
  <c r="J51" i="1"/>
  <c r="J67" i="1" s="1"/>
  <c r="J152" i="1" s="1"/>
  <c r="J160" i="1" s="1"/>
  <c r="K167" i="1"/>
  <c r="L167" i="1"/>
  <c r="L153" i="1"/>
  <c r="L161" i="1" s="1"/>
  <c r="L160" i="1"/>
  <c r="I52" i="1"/>
  <c r="AC152" i="1"/>
  <c r="I51" i="1" l="1"/>
  <c r="H51" i="1" s="1"/>
  <c r="G51" i="1" s="1"/>
  <c r="J153" i="1"/>
  <c r="J161" i="1" s="1"/>
  <c r="J167" i="1"/>
  <c r="AC160" i="1"/>
  <c r="AC153" i="1"/>
  <c r="AC161" i="1" s="1"/>
  <c r="H67" i="1"/>
  <c r="H152" i="1" s="1"/>
  <c r="AA152" i="1"/>
  <c r="AB152" i="1"/>
  <c r="AB153" i="1" l="1"/>
  <c r="AB161" i="1" s="1"/>
  <c r="AB160" i="1"/>
  <c r="AA160" i="1"/>
  <c r="AA153" i="1"/>
  <c r="AA161" i="1" s="1"/>
  <c r="H153" i="1"/>
  <c r="H161" i="1" s="1"/>
  <c r="H160" i="1"/>
  <c r="F51" i="1"/>
  <c r="G67" i="1"/>
  <c r="G152" i="1" s="1"/>
  <c r="G153" i="1" s="1"/>
  <c r="Z152" i="1"/>
  <c r="Z153" i="1" l="1"/>
  <c r="Z161" i="1" s="1"/>
  <c r="Z160" i="1"/>
  <c r="G160" i="1"/>
  <c r="G161" i="1"/>
  <c r="E51" i="1"/>
  <c r="F67" i="1"/>
  <c r="X152" i="1"/>
  <c r="Y152" i="1"/>
  <c r="Y160" i="1" s="1"/>
  <c r="Y153" i="1" l="1"/>
  <c r="Y161" i="1" s="1"/>
  <c r="X153" i="1"/>
  <c r="X161" i="1" s="1"/>
  <c r="X160" i="1"/>
  <c r="AD51" i="1"/>
  <c r="E67" i="1"/>
  <c r="E152" i="1" s="1"/>
  <c r="F152" i="1"/>
  <c r="F153" i="1" s="1"/>
  <c r="W152" i="1"/>
  <c r="E160" i="1" l="1"/>
  <c r="E153" i="1"/>
  <c r="AD152" i="1"/>
  <c r="E161" i="1"/>
  <c r="F160" i="1"/>
  <c r="W160" i="1"/>
  <c r="W153" i="1"/>
  <c r="W161" i="1" s="1"/>
  <c r="AD153" i="1" l="1"/>
  <c r="AD161" i="1" s="1"/>
  <c r="AD160" i="1" s="1"/>
  <c r="F161" i="1"/>
  <c r="X170" i="1"/>
  <c r="V161" i="1"/>
  <c r="X166" i="1" l="1"/>
  <c r="S152" i="1"/>
  <c r="T161" i="1" l="1"/>
  <c r="T160" i="1"/>
  <c r="S160" i="1"/>
  <c r="S153" i="1"/>
  <c r="S161" i="1" s="1"/>
  <c r="R152" i="1"/>
  <c r="R153" i="1" l="1"/>
  <c r="R161" i="1" s="1"/>
  <c r="R160" i="1"/>
  <c r="Q152" i="1"/>
  <c r="Q153" i="1" s="1"/>
  <c r="X167" i="1" l="1"/>
  <c r="X172" i="1" s="1"/>
  <c r="Q161" i="1"/>
  <c r="Q160" i="1"/>
  <c r="J173" i="1" l="1"/>
  <c r="N152" i="1"/>
  <c r="O160" i="1" l="1"/>
  <c r="O153" i="1"/>
  <c r="N160" i="1"/>
  <c r="N153" i="1"/>
  <c r="N161" i="1" s="1"/>
  <c r="M152" i="1"/>
  <c r="X168" i="1" s="1"/>
  <c r="O161" i="1" l="1"/>
  <c r="AE161" i="1" s="1"/>
  <c r="AE153" i="1"/>
  <c r="M167" i="1"/>
  <c r="M153" i="1"/>
  <c r="M161" i="1" s="1"/>
  <c r="M160" i="1"/>
  <c r="I67" i="1" l="1"/>
  <c r="I152" i="1" s="1"/>
  <c r="I160" i="1" l="1"/>
  <c r="I153" i="1"/>
  <c r="I161" i="1" s="1"/>
  <c r="X169" i="1"/>
</calcChain>
</file>

<file path=xl/sharedStrings.xml><?xml version="1.0" encoding="utf-8"?>
<sst xmlns="http://schemas.openxmlformats.org/spreadsheetml/2006/main" count="425" uniqueCount="329">
  <si>
    <t>Сроки реализации</t>
  </si>
  <si>
    <t>Всего</t>
  </si>
  <si>
    <t>1.1.</t>
  </si>
  <si>
    <t>2.1.</t>
  </si>
  <si>
    <t>2.2.</t>
  </si>
  <si>
    <t>2.3.</t>
  </si>
  <si>
    <t>2.4.</t>
  </si>
  <si>
    <t>3.1.</t>
  </si>
  <si>
    <t>3.4.</t>
  </si>
  <si>
    <t>4.1.</t>
  </si>
  <si>
    <t>4.2.</t>
  </si>
  <si>
    <t>5.1.</t>
  </si>
  <si>
    <t>5.2.</t>
  </si>
  <si>
    <t>6.1.</t>
  </si>
  <si>
    <t>6.2.</t>
  </si>
  <si>
    <t>6.3.</t>
  </si>
  <si>
    <t>3.2.</t>
  </si>
  <si>
    <t>5.3.</t>
  </si>
  <si>
    <t>В области культуры и искусства</t>
  </si>
  <si>
    <t>В области образования</t>
  </si>
  <si>
    <t>Местный бюджет</t>
  </si>
  <si>
    <t>Областной бюджет</t>
  </si>
  <si>
    <t xml:space="preserve">Федеральный бюджет </t>
  </si>
  <si>
    <t>Внебюджетные средства</t>
  </si>
  <si>
    <t>1.2.</t>
  </si>
  <si>
    <t>1.3.</t>
  </si>
  <si>
    <t>Осуществление отдельных ежемесячных выплат матерям (или другим родственникам, фактически осуществляющим уход за ребенком), находящимся в отпуске по уходу за ребенком до достижения им установленного законом возраста  и состоящим в трудовых отношениях на условиях трудового договора с муниципальными учреждениями культуры</t>
  </si>
  <si>
    <t xml:space="preserve">           Перечень мероприятий муниципальной программы</t>
  </si>
  <si>
    <t>№ п/п</t>
  </si>
  <si>
    <t xml:space="preserve">Наименование целей,задач и мероприятий  муниципальной программы </t>
  </si>
  <si>
    <t>Ответственный исполнитель</t>
  </si>
  <si>
    <t>Финансовое обеспечение реализации муниципальной программы, тыс. руб.</t>
  </si>
  <si>
    <t>ИТОГО:</t>
  </si>
  <si>
    <t>департамент культуры</t>
  </si>
  <si>
    <t>Итого по задаче 5:</t>
  </si>
  <si>
    <t>Итого по задаче 4:</t>
  </si>
  <si>
    <t>1.4.</t>
  </si>
  <si>
    <t>5.4.</t>
  </si>
  <si>
    <t>3.3.</t>
  </si>
  <si>
    <t>План на 2019 год</t>
  </si>
  <si>
    <t>План на 2020 год</t>
  </si>
  <si>
    <t>План на 2021 год</t>
  </si>
  <si>
    <t>План на 2022 год</t>
  </si>
  <si>
    <t>План на 2023 год</t>
  </si>
  <si>
    <t>2019-2023</t>
  </si>
  <si>
    <t>Выполнение муниципального задания муниципальными учреждениями культуры:</t>
  </si>
  <si>
    <t>Стипендиальное обеспечение и другие формы материальной поддержки обучающихся</t>
  </si>
  <si>
    <t>1.5.</t>
  </si>
  <si>
    <t>1.6.</t>
  </si>
  <si>
    <t>1.7.</t>
  </si>
  <si>
    <t>Организация и проведение общепедагогических мероприятий, в том числе в области раннего развития, семейного просвещения, инклюзивного образования</t>
  </si>
  <si>
    <t>Кинотеатр "Буревестник" (ул. К. Маркса, 27);</t>
  </si>
  <si>
    <t>3.5.</t>
  </si>
  <si>
    <t>3.6.</t>
  </si>
  <si>
    <t>3.7.</t>
  </si>
  <si>
    <t>3.8.</t>
  </si>
  <si>
    <t xml:space="preserve">Предоставление публичных отчетов о результатах деятельности муниципальных учреждений культуры, в том числе о социальной роли и взаимодействии с гражданскими институтами </t>
  </si>
  <si>
    <t>4.3.</t>
  </si>
  <si>
    <t>4.4.</t>
  </si>
  <si>
    <t xml:space="preserve">Предоставление субсидий юридическим лицам (за исключением субсидий государственным (муниципальным) учреждениям), индивидуальным предпринимателям, а также физическим лицам - производителям товаров, работ, услуг, осуществляющим деятельность в сфере культуры </t>
  </si>
  <si>
    <t>4.5.</t>
  </si>
  <si>
    <t>4.6.</t>
  </si>
  <si>
    <t xml:space="preserve">Поддержка развития коллективов самодеятельного  народного  творчества, в том числе на  основе  партнерского взаимодействия с национально-культурными центрами и автономиями городского округа Тольятти </t>
  </si>
  <si>
    <t>4.7.</t>
  </si>
  <si>
    <t>Реализация мероприятий муниципальными учреждениями культуры в рамках приносящей доход деятельности</t>
  </si>
  <si>
    <t>Создание электронной книги "Они строили АВТОВАЗ, АВТОВАЗ построил нас" (собрание материалов, воспоминаний, фотодокументов)</t>
  </si>
  <si>
    <t>5.5.</t>
  </si>
  <si>
    <t>5.6.</t>
  </si>
  <si>
    <t>5.7.</t>
  </si>
  <si>
    <t>6.4.</t>
  </si>
  <si>
    <t>6.5.</t>
  </si>
  <si>
    <t>6.6.</t>
  </si>
  <si>
    <t>Итого по задаче 1:</t>
  </si>
  <si>
    <t xml:space="preserve">Итого по задаче 2:  </t>
  </si>
  <si>
    <t xml:space="preserve"> департамент культуры </t>
  </si>
  <si>
    <t xml:space="preserve">департамент культуры </t>
  </si>
  <si>
    <t xml:space="preserve">Организация и проведение мероприятий, способствующих развитию  проектной деятельности  </t>
  </si>
  <si>
    <t>5.8.</t>
  </si>
  <si>
    <t xml:space="preserve">МБУ ДО ДМШ № 4 им. В.М. Свердлова                                                                                     (департамент культуры)  </t>
  </si>
  <si>
    <t xml:space="preserve">Осуществление дополнительных мер по обеспечению комплектования, учета и сохранности, в том числе в соответствии с требованиями органов Росохранкультуры, музейных коллекций и предметов,  библиотечных фондов, монументальных объектов: </t>
  </si>
  <si>
    <t>Выставка ретро-автомобилей серии "ВАЗ"</t>
  </si>
  <si>
    <t>Поддержка новых театральных постановок, концертных программ профессиональных коллективов и гастрольной деятельности на территории Самарской области и Приволжского Федерального  округа</t>
  </si>
  <si>
    <t>Проведение капитального ремонта (частично), мероприятий по разработке проектно-сметной документации и обеспечению эксплуатационных требований согласно нормам безопасности, замене камер видеонаблюдения  и видеорегистраторов  в муниципальных театрально-концертных организациях:</t>
  </si>
  <si>
    <t xml:space="preserve">МБУ ДО ДХШ № 3, </t>
  </si>
  <si>
    <t xml:space="preserve">МБУ ДО ДМШ № 4 им.В.М.Свердлова, </t>
  </si>
  <si>
    <t xml:space="preserve">МБУ ДО ДХШ им. М.М. Плисецкой, </t>
  </si>
  <si>
    <t>МБУК ОДБ,</t>
  </si>
  <si>
    <t>Обновление и внедрение информационной системы автоматизации деятельности музеев КАМИС 5</t>
  </si>
  <si>
    <t>Поддержка открытых городских  диалогов "Креативные идеи по взаимодействию с бизнесом"</t>
  </si>
  <si>
    <t>МАУ городского округа Тольятти "ДТ "Колесо"имени Г.Б. Дроздова",</t>
  </si>
  <si>
    <t>МБУК ГМК "Наследие"</t>
  </si>
  <si>
    <t xml:space="preserve"> МБУК "Библиотеки Тольятти"</t>
  </si>
  <si>
    <t xml:space="preserve"> МБУК ОДБ, МБУК "Библиотеки Тольятти"
(департамент культуры)</t>
  </si>
  <si>
    <t>МАУК ПКИТ им. К.Г. Сахарова
(департамент культуры)</t>
  </si>
  <si>
    <t>Проектирование и создание стационарных музейных экспозиций и передвижных выставок  в  МБУК ТКМ</t>
  </si>
  <si>
    <t>МБУК ТКМ
 (департамент культуры )</t>
  </si>
  <si>
    <t>Подготовка научно-проектной документации, экспертных заключений и выполнение производственных работ по сохранению объектов культурного наследия, выявленных объектов, проведение капитального ремонта зданий:</t>
  </si>
  <si>
    <t>м.б.</t>
  </si>
  <si>
    <t>обл</t>
  </si>
  <si>
    <t>фед.</t>
  </si>
  <si>
    <t>внб</t>
  </si>
  <si>
    <t xml:space="preserve">МБУИиК г.о. Тольятти "Тольяттинская филармония",МБУИ "Тольяттинский театр кукол", МАУ городского округа Тольятти "ДТ "Колесо"имени Г.Б. Дроздова",  МБУИ г.о. Тольятти "МДТ", МАУИ "ТЮЗ "Дилижанс"  
(департамент культуры ) </t>
  </si>
  <si>
    <t>МБУИ г.о.Тольятти "МДТ"</t>
  </si>
  <si>
    <t xml:space="preserve">МБУК ТКМ, МБУК ТХМ,  МБУК ГМК "Наследие"
(департамент культуры ) </t>
  </si>
  <si>
    <t xml:space="preserve">в МБУ ДО ДШИ "Гармония", </t>
  </si>
  <si>
    <t xml:space="preserve">МБУ ДО ДШИ "Камертон", </t>
  </si>
  <si>
    <t xml:space="preserve">МБУ ДО ДШИ "Форте", </t>
  </si>
  <si>
    <t>МБУИиК г.о. Тольятти "Тольяттинская филармония"
(департамент культуры)</t>
  </si>
  <si>
    <t>МБОУ ВО ТК</t>
  </si>
  <si>
    <t xml:space="preserve">Цель: Повышение стратегической роли культуры в создании благоприятных условий для поддержки творческих инициатив, досуговой и образовательной деятельности, сохранения исторического наследия и развития культурной среды в городском округе Тольятти </t>
  </si>
  <si>
    <t xml:space="preserve">Задача 1:  Создание условий для повышения роли культуры во всестороннем развитии человеческого потенциала (образование, профессии будущего) </t>
  </si>
  <si>
    <t xml:space="preserve">Задача 2: Создание условий для влияния культуры на обеспечение интенсивного развития экономики (наука, инновации, бизнес) </t>
  </si>
  <si>
    <t>Задача 3. Создание условий для сохранения и улучшения среды жизнеобитания с вовлечением ресурсов культуры</t>
  </si>
  <si>
    <t xml:space="preserve">Задача 4. Создание условий для активизации культуры и развития местного самоуправления (добровольчество, общественное участие, некоммерческий сектор, агломерационные эффекты) </t>
  </si>
  <si>
    <t xml:space="preserve">Задача 5: Создание условий для поддержки и продвижения  перспективных и долгосрочных проектов, в том числе в области международного сотрудничества в социокультурной сфере  </t>
  </si>
  <si>
    <t xml:space="preserve">Задача 6:  Создание оптимальных, безопасных и благоприятных условий нахождения граждан в муниципальных учреждениях культуры, в том числе обеспечение укрепления материально-технической базы муниципальных  учреждений культуры  в соответствии с современными требованиями </t>
  </si>
  <si>
    <t>Реализация мероприятий организациями, осуществляющими деятельность в сфере культуры, способствующую реализации Программы</t>
  </si>
  <si>
    <t>МБОУ ВО ТК 
(департамент культуры)</t>
  </si>
  <si>
    <t xml:space="preserve">Партнерское взаимодействие с  немуниципальными организациями сферы культуры и образования, бизнес-структурами (благотворительными фондами, частными организациями, некоммерческими организациями) </t>
  </si>
  <si>
    <t xml:space="preserve">МБУИ г.о.Тольятти "Тольяттинский театр кукол", </t>
  </si>
  <si>
    <t>Проведение инженерно-геологических изысканий и технического обследования здания с выдачей заключения</t>
  </si>
  <si>
    <t>6.7.</t>
  </si>
  <si>
    <t>МАУИ "ТЮЗ "Дилижанс", МБУИ "Тольяттинский театр кукол", МБУИ г.о. Тольятти "МДТ" 
(департамент культуры)</t>
  </si>
  <si>
    <t>4.8.</t>
  </si>
  <si>
    <t>Поддержка талантливых и профориентированных детей и молодежи, в том числе обеспечение оплаты обучения в образовательных учреждениях высшего образования</t>
  </si>
  <si>
    <t>МАУ "КЦ "Автоград"
 (департамент культуры )</t>
  </si>
  <si>
    <t xml:space="preserve">МАУ "КЦ "Автоград"  
 (департамент культуры ) </t>
  </si>
  <si>
    <t>МАУ "КЦ "Автоград"  
 (департамент культуры )</t>
  </si>
  <si>
    <t xml:space="preserve">МАУ "КЦ "Автоград" 
 (департамент культуры ) </t>
  </si>
  <si>
    <t xml:space="preserve">МАУ "КЦ "Автоград" 
(департамент культуры) </t>
  </si>
  <si>
    <t xml:space="preserve">МАУ "КЦ "Автоград"
 (департамент культуры ) </t>
  </si>
  <si>
    <t>1.8.</t>
  </si>
  <si>
    <t>1.9.</t>
  </si>
  <si>
    <t>Организация и проведение мероприятия по итогам конкурса на присуждение именных премий главы городского округа Тольятти в сфере культуры "Вдохновение"</t>
  </si>
  <si>
    <t xml:space="preserve">Разработка и реализация партнерского инфраструктурного проекта на базе МАУ "КЦ "Автоград" </t>
  </si>
  <si>
    <t>Итого по задаче 6 без учета оплаты ранее принятых обязательств:</t>
  </si>
  <si>
    <t>Оплата ранее принятых обязательств по задаче 6:</t>
  </si>
  <si>
    <t>Оплата ранее принятых обязательств (по муниципальной программе):</t>
  </si>
  <si>
    <t>Итого по муниципальной программе с учетом оплаты ранее принятых обязательств:</t>
  </si>
  <si>
    <t>6.8.</t>
  </si>
  <si>
    <t>Проведение работ по капитальному ремонту учреждений культуры и оснащение их современным оборудованием, обновление библиотечного фонда</t>
  </si>
  <si>
    <t>МБОУ ВО ТК
(департамент культуры)</t>
  </si>
  <si>
    <t xml:space="preserve">департамент градостроительной деятельности </t>
  </si>
  <si>
    <t>Реконструкция муниципального автономного учреждения искусства "Драматический театр "Колесо"им. народного артиста Российской Федерации Г.Б.Дроздова"(корпус по адресу: ул.Свердлова, д.11а), в том числе:
- 2019 год оплата по судебному акту</t>
  </si>
  <si>
    <t>3.9.</t>
  </si>
  <si>
    <t>3.10.</t>
  </si>
  <si>
    <t xml:space="preserve">МАУ городского округа Тольятти "ДТ "Колесо"имени Г.Б. Дроздова", МАУИ "ТЮЗ "Дилижанс", МБУИ г.о. Тольятти "МДТ", МБУИ "Тольяттинский театр кукол", МБУИиК г.о. Тольятти "Тольяттинская филармония", МАУ КДЦ "Буревестник", МБУ ДО ДХШ им. М.М. Плисецкой (департамент культуры)            </t>
  </si>
  <si>
    <t>МБУ ДО ЦРТДЮ "Истоки"</t>
  </si>
  <si>
    <t>Проектирование и реконструкция здания муниципального бюджетного учреждения дополнительного образования детская музыкальная школа № 4 имени заслуженного работника культуры Российской Федерации Владимира Михайловича Свердлова городского округа Тольятти, расположенного по адресу: г. Тольятти, пр. Степана Разина, 95, со строительством корпуса для муниципального бюджетного учреждения дополнительного образования детская хореографическая школа имени М.М. Плисецкой городского округа Тольятти</t>
  </si>
  <si>
    <t>Ансамбль исторической застройки поселка Шлюзовой,  ул. Носова, 10</t>
  </si>
  <si>
    <t>департамент градостроительной деятельности</t>
  </si>
  <si>
    <t>Дом, в котором в 1870 году останавливался И.Е.Репин</t>
  </si>
  <si>
    <t>ДК</t>
  </si>
  <si>
    <t>дгд</t>
  </si>
  <si>
    <t>обл.</t>
  </si>
  <si>
    <t>дк</t>
  </si>
  <si>
    <t xml:space="preserve">МАУ "КЦ "Автоград"  
(департамент культуры ) </t>
  </si>
  <si>
    <t xml:space="preserve">Проведение комплекса мероприятий, основывающихся на национальных традициях, семейном творчестве, православной культуре, интеллектуальном развитии, активности горожан старшего возраста и молодежи </t>
  </si>
  <si>
    <t xml:space="preserve"> МБУК "Библиотеки Тольятти", МБУК ОДБ 
(департамент культуры)</t>
  </si>
  <si>
    <t>МБУК ТКМ, МБУК ТХМ, МБУК ГМК "Наследие"
(департамент культуры)</t>
  </si>
  <si>
    <t>МАУ "КЦ"Автоград", МБУК ТКМ, МБУК ТХМ,  МБУК "Библиотеки Тольятти" 
(департамент культуры)</t>
  </si>
  <si>
    <t>МБУИиК г.о. Тольятти "Тольяттинская филармония" 
(департамент культуры)</t>
  </si>
  <si>
    <t>департамент градостроительной деятельности администрации городского округа Тольятти 
(далее - департамент градостроительной деятельности )</t>
  </si>
  <si>
    <t xml:space="preserve">МБУК г.о. Тольятти "ДЦ "Русич", МАУ КДЦ "Буревестник", МАУ "КЦ "Автоград"                                                
(департамент культуры)  </t>
  </si>
  <si>
    <t>Привлечение молодых специалистов в отрасль культуры</t>
  </si>
  <si>
    <t>Участие в обучающих семинарах, конференциях практик и инновационного опыта по развитию кадрового потенциала и обеспечению сферы культуры квалифицированным персоналом</t>
  </si>
  <si>
    <t>Проведение просветительских мероприятий с использованием форматов видео- и кинопоказов, анимационных фильмов</t>
  </si>
  <si>
    <t>МАУ КДЦ "Буревестник", МАУ "КЦ "Автоград", МБУИиК г.о. Тольятти "Тольяттинская филармония", МБУК ТКМ, МБУК ТХМ, МБУК "Библиотеки Тольятти", МБУК ОДБ
 (департамент культуры )</t>
  </si>
  <si>
    <t>Использование элементов бренд-культуры - как инструмента продвижения организаций сферы культуры, повышения их успешности и конкурентоспособности</t>
  </si>
  <si>
    <t>Ансамбль  застройки площади Свободы (пл. Свободы, 2, пл. Свободы, 4)</t>
  </si>
  <si>
    <t xml:space="preserve">Развитие общегородской технологической коммуникативной площадки "Единый маркетинговый центр",  с использованием средств электронного маркетинга </t>
  </si>
  <si>
    <t>Затраты на приобретение материальных запасов, не отнесенных к материальным запасам (наградная продукция)</t>
  </si>
  <si>
    <t>4.9.</t>
  </si>
  <si>
    <t>Реализация проекта "Герои нашего двора"</t>
  </si>
  <si>
    <t>МАУ КДЦ "Буревестник" 
(департамент культуры)</t>
  </si>
  <si>
    <t>5.9.</t>
  </si>
  <si>
    <t>5.10.</t>
  </si>
  <si>
    <t>2019 - 2020</t>
  </si>
  <si>
    <t>2019 - 2023</t>
  </si>
  <si>
    <t>Поддержка осуществления творческих обменов в рамках межрегионального и международного культурного сотрудничества</t>
  </si>
  <si>
    <t>оу</t>
  </si>
  <si>
    <t>мб</t>
  </si>
  <si>
    <t>3.11.</t>
  </si>
  <si>
    <t xml:space="preserve">департамент культуры  </t>
  </si>
  <si>
    <t>Закупка произведений литературы и искусства определенного автора. Скульптурная композиция автора академика Церетели З.К. «Ожидание солдата» (с проведением искусствоведческой  экспертизы)</t>
  </si>
  <si>
    <t>5.11.</t>
  </si>
  <si>
    <t xml:space="preserve">Приложение № 1 к муниципальной  программе  "Культура Тольятти на 2019-2023 годы" </t>
  </si>
  <si>
    <t>3.12</t>
  </si>
  <si>
    <t>3.13</t>
  </si>
  <si>
    <t>Приобретение баннера</t>
  </si>
  <si>
    <t>МАУ "КЦ"Автоград",
(департамент культуры)</t>
  </si>
  <si>
    <t xml:space="preserve"> МАУК ПКИТ им. К.Г. Сахарова,
 (департамент культуры)  </t>
  </si>
  <si>
    <t>В области высшего образования</t>
  </si>
  <si>
    <t>ДГД</t>
  </si>
  <si>
    <t>Орг упр</t>
  </si>
  <si>
    <t>3.14</t>
  </si>
  <si>
    <t>Создание выставки экспонатов музея под открытым небом "Дорога истории-наша Победа"</t>
  </si>
  <si>
    <t>Проведение культурно-массового мероприятия "Фестиваль искусств "Город моей мечты" (цикл юбилейных и праздничных мероприятий, посвященных 50-летию выпуска первого легкового автомобиля)</t>
  </si>
  <si>
    <t>1.1.1.</t>
  </si>
  <si>
    <t>1.1.2.</t>
  </si>
  <si>
    <t>1.1.3.</t>
  </si>
  <si>
    <t xml:space="preserve">Фестиваль одноактной драматургии "Премьера одной репетиции", </t>
  </si>
  <si>
    <t>Международный фестиваль "Классика OPEN Fest",</t>
  </si>
  <si>
    <t xml:space="preserve"> Региональный Волжский хоровой фестиваль "В начале лета"</t>
  </si>
  <si>
    <t>Фестиваль "Театральный круг",</t>
  </si>
  <si>
    <t>Фестиваль кукольных театров "12+"</t>
  </si>
  <si>
    <t>Итого по муниципальной программе без учета оплаты ранее принятых обязательств, в том числе:</t>
  </si>
  <si>
    <t>по департаменту культуры</t>
  </si>
  <si>
    <t>по департаменту градостроительной деятельности</t>
  </si>
  <si>
    <t>по организационному управлению</t>
  </si>
  <si>
    <t>4.10.</t>
  </si>
  <si>
    <t>Вовлечение волонтеров в добровольческую деятельность в сфере культуры</t>
  </si>
  <si>
    <t xml:space="preserve"> МАУК ПКИТ им. К.Г. Сахарова,
(департамент культуры) </t>
  </si>
  <si>
    <t>Итого по задаче 3 без учета оплаты ранее принятых обязательств:</t>
  </si>
  <si>
    <t>Оплата ранее принятых обязательств по задаче 3:</t>
  </si>
  <si>
    <t>МКУ г.о. Тольятти "ЦХТО"
(организационное управление администрации городского округа Тольятти)</t>
  </si>
  <si>
    <t>898= 211ОУ+687ДК</t>
  </si>
  <si>
    <t>Фестиваль "#VOLGA_TLT"</t>
  </si>
  <si>
    <t xml:space="preserve">МАУИ "ТЮЗ "Дилижанс", МБУИиК г.о. Тольятти "Тольяттинская филармония", МАУ городского округа Тольятти "ДТ" Колесо" имени Г.Б. Дроздова", МБУИ "Тольяттинский театр кукол", МБУ ДО ДМШ № 4 им. В.М. Свердлова, МАУ КДЦ "Буревестник" 
(департамент культуры ) </t>
  </si>
  <si>
    <t>Проведение фестивальных мероприятий профессиональными театрально-концертными организациями, культурно-досуговыми учреждениями в том числе:</t>
  </si>
  <si>
    <t>3.15</t>
  </si>
  <si>
    <t>Приобретение, изготовление и монтаж украшений для оформления учреждений культуры и дополнительного образования к праздничным мероприятиям</t>
  </si>
  <si>
    <t>2019, 2021</t>
  </si>
  <si>
    <t>2019-2020</t>
  </si>
  <si>
    <t>2019, 2020, 2023</t>
  </si>
  <si>
    <t>2019, 2021, 2022, 2023</t>
  </si>
  <si>
    <t>-</t>
  </si>
  <si>
    <t>2022-2023</t>
  </si>
  <si>
    <t>2021-2023</t>
  </si>
  <si>
    <t>Биб-ки Тольятти</t>
  </si>
  <si>
    <t>Автоград</t>
  </si>
  <si>
    <t>ОДБ</t>
  </si>
  <si>
    <t>областной</t>
  </si>
  <si>
    <t>всего вышестоящий</t>
  </si>
  <si>
    <t>федеральный</t>
  </si>
  <si>
    <t>6.9.</t>
  </si>
  <si>
    <t>Проектно-изыскательские работы на восстановление стелы-панно "Радость труда"</t>
  </si>
  <si>
    <t>2022, 2023</t>
  </si>
  <si>
    <t xml:space="preserve"> МБУК "Библиотеки Тольятти", МБУК ОДБ, МАУ "КЦ"Автоград",
(департамент культуры)</t>
  </si>
  <si>
    <t>МБУ ДО ДМШ № 3,</t>
  </si>
  <si>
    <t xml:space="preserve"> МБУ ДО ДХШ № 1, </t>
  </si>
  <si>
    <t>МБУ ДО ДХШ им. И.Е. Репина,</t>
  </si>
  <si>
    <t>МБУДО ДХШ им. М.Шагала,</t>
  </si>
  <si>
    <t>МБУ ДО Детская Школа искусств № 1,</t>
  </si>
  <si>
    <t xml:space="preserve"> МБУ ДО Детская Школа искусств им. М.А. Балакирева, </t>
  </si>
  <si>
    <t xml:space="preserve"> МБУ ДО ДШИ им. Г.В. Свиридова, </t>
  </si>
  <si>
    <t>6.10.</t>
  </si>
  <si>
    <t xml:space="preserve"> МАУ "КЦ "Автоград" 
(департамент культуры)</t>
  </si>
  <si>
    <t>Восстановление монументально-мозаичной стелы-панно "Радость труда"  в рамках капитального ремонта</t>
  </si>
  <si>
    <t>5.12.</t>
  </si>
  <si>
    <t>Реализация инициативных проектов</t>
  </si>
  <si>
    <t xml:space="preserve">2020, 2021 </t>
  </si>
  <si>
    <t>Оплата  принятых в 2020 году обязательств</t>
  </si>
  <si>
    <t>Оплата ранее принятых в 2019 году обязательств</t>
  </si>
  <si>
    <t>1.10.</t>
  </si>
  <si>
    <t>Обеспечение оплаты обучения в образовательных учреждениях высшего образования</t>
  </si>
  <si>
    <t>4.11.</t>
  </si>
  <si>
    <t>МАУ "КЦ "Автоград"</t>
  </si>
  <si>
    <t>МАУ КДЦ "Буревестник"</t>
  </si>
  <si>
    <t>МАУ "КЦ "Автоград", МБУК ОДБ, ЦРТДЮ "Истоки",        МАУ г. о. Тольятти "ДТ" Колесо" имени Г.Б. Дроздова", МАУ "ТЮЗ "Дилижанс", МБУИиК "Тольяттинская Филармония" (департамент культуры), МАУК ПКИТ им. К.Г. Сахарова, МБУ ДО ДШИ "Гармония",  МБУИ г.о. Тольятти "МДТ", МАУ КДЦ "Буревестник", МБУК "Библиотеки Тольятти"</t>
  </si>
  <si>
    <t xml:space="preserve">МБУК "Библиотеки Тольятти", МАУ КДЦ "Буревестник", МАУИ "ТЮЗ "Дилижанс", МБУ ДО ДМШ № 4 им. В.М. Свердлова, МБУИ г.о. Тольятти "МДТ", МБУК ТКМ, МБУ ДО Детская Школа искусств Центрального района,                                                 (департамент культуры)  </t>
  </si>
  <si>
    <t>МБУК ТХМ, МБУК ТКМ 
(департамент культуры)</t>
  </si>
  <si>
    <t xml:space="preserve"> МБУ ДО ДМШ № 4 им. В.М. Свердлова,  МБУ ДО Детская Школа искусств им. М.А. Балакирева, МБУ ДО Детская Школа искусств Центрального района,  МБУДО ДХШ им. М. Шагала, МБУК ГМК "Наследие"
(департамент культуры )</t>
  </si>
  <si>
    <t xml:space="preserve">МБУ ДО ДШИ Центрального района, </t>
  </si>
  <si>
    <t xml:space="preserve">Обеспечение модернизации оборудования и технологических процессов в муниципальных учреждениях, находящихся в ведомственном подчинении департамента культуры, в том числе: оснащение музыкальными инструментами с комплектующими и расходными материалами, приобретение мебели, оборудования, приобретение специализированного оборудования, аппаратуры и учебных материалов
 </t>
  </si>
  <si>
    <t xml:space="preserve">Пополнение книжных фондов, в том числе электронная подписка полнотекстовых электронных документов "ЛитРес".
</t>
  </si>
  <si>
    <t xml:space="preserve">Приобретение оборудования для обеспечения учета,  автоматизации и хранения музейных предметов; 
</t>
  </si>
  <si>
    <t>МБУК ТКМ</t>
  </si>
  <si>
    <t xml:space="preserve">МБУ ДО ДДК, </t>
  </si>
  <si>
    <t>2020, 2022</t>
  </si>
  <si>
    <t xml:space="preserve">Создание модельных  муниципальных библиотек </t>
  </si>
  <si>
    <t>МАУИ "ТЮЗ "Дилижанс"</t>
  </si>
  <si>
    <t xml:space="preserve">МАУ "КЦ "Автоград" </t>
  </si>
  <si>
    <t>Реализация общественных проектов
(государственная программа Самарской области "Поддержка инициатив населения муниципальных образований в Самарской области" на 2017-2025 годы")</t>
  </si>
  <si>
    <t>3.16.</t>
  </si>
  <si>
    <t xml:space="preserve">МБУДО ДХШ им. М.Шагала, 
(департамент культуры)  </t>
  </si>
  <si>
    <t>Проведение капитального ремонта (частично), мероприятий по обеспечению эксплуатационных требований согласно нормам безопасности в МАУК ПКИТ им. К.Г. Сахарова, укрепление материально-технической базы учреждения.</t>
  </si>
  <si>
    <t>Осуществление выплат: на оплату труда (с начислениями); компенсации за неиспользованный отпуск; пособий по сокращению; пособий на период трудоустройства; по содержанию имущества и прочим расходам, ликвидационным расходам; по расходам текущей деятельности,  в МБОУ ВО "Тольяттинская консерватория"</t>
  </si>
  <si>
    <t>МБУК г.о. Тольятти "ДЦ "Русич"</t>
  </si>
  <si>
    <t>МБУ ДО ДДК
 (государственная программа "Развитие культуры в Самарской области на период до 2024 года")</t>
  </si>
  <si>
    <t xml:space="preserve">Проведение капитального ремонта (частично), текущего ремонта, мероприятий по обеспечению беспрепятственного доступа инвалидов и других маломобильных групп населенеия,  мероприятий по разработке проектно-сметной документации и по обеспечению эксплуатационных требований согласно нормам безопасности  укрепление материально-технической базы в муниципальных культурно-досуговых учреждениях: МАУ "КЦ "Автоград",  МАУ КДЦ "Буревестник", МБУК г.о. Тольятти "ДЦ "Русич".
</t>
  </si>
  <si>
    <t xml:space="preserve"> МАУ "КЦ "Автоград", МАУ КДЦ "Буревестник", 
МБУК г.о. Тольятти "ДЦ "Русич"
(департамент культуры)</t>
  </si>
  <si>
    <t>3.17.</t>
  </si>
  <si>
    <t>МАУ городского округа Тольятти "ДТ "Колесо"имени              Г.Б. Дроздова"</t>
  </si>
  <si>
    <t xml:space="preserve"> МБУК ТХМ </t>
  </si>
  <si>
    <t>(Национальный проект «Культура», федеральный проект «Культурная среда», государственная программа "Развитие культуры в Самарской области на период до 2025 года")</t>
  </si>
  <si>
    <t>Автоматизация библиотечных процессов с учетом обеспечения двух общедоступных библиотек комплектом программного обеспечения и компьютерного оборудования; 
(государственная программа "Развитие культуры в Самарской области на период до 2025 года")</t>
  </si>
  <si>
    <t>Модернизация библиотек в части комплектования книжных фондов;
(государственная программа "Развитие культуры в Самарской области на период до 2025 года")</t>
  </si>
  <si>
    <t>Создание модельных  муниципальных библиотек (Национальный проект «Культура», федеральный проект «Культурная среда», государственная программа "Развитие культуры в Самарской области на период до 2025 года")</t>
  </si>
  <si>
    <t>Создание виртуальных концертных залов
(Национальный проект «Культура», федеральный проект «Цифровая культура», государственная программа "Развитие культуры в Самарской области на период до 2025 года")</t>
  </si>
  <si>
    <t>Проектирование и реконструкция здания муниципального бюджетного учреждения дополнительного образования детская музыкальная школа № 4 имени заслуженного работника культуры Российской Федерации Владимира Михайловича Свердлова городского округа Тольятти, расположенного по адресу: г. Тольятти, пр. Степана Разина, 95, со строительством корпуса для муниципального бюджетного учреждения дополнительного образования детская хореографическая школа имени М.М. Плисецкой городского округа Тольятти (Государственная программа "Развитие культуры в Самарской области на период до 2025 года")</t>
  </si>
  <si>
    <t>Приобретение оборудования в целях создания  выставочно-экспозиционного комплекса (Выставочный зал  50-летия «АВТОВАЗА») 
(государственная программа "Развитие культуры в Самарской области на период до 2025 года")</t>
  </si>
  <si>
    <t>Оплата  принятых в 2020 году обязательств
(государственная программа "Развитие культуры в Самарской области на период до 2025 года")</t>
  </si>
  <si>
    <t>Создание школ креативных индустрий (государственная программа "Развитие культуры в Самарской области на период до 2025 года")</t>
  </si>
  <si>
    <t>Поддержка творческой деятельности и техническое оснащение детских и кукольных театров 
(государственная программа "Развитие культуры в Самарской области на период до 2025 года")</t>
  </si>
  <si>
    <t>Предоставление из областного бюджета в 2022 году бюджету городского округа Тольятти иного межбюджетного трансферта на выплату денежных поощрений за лучшие концертные программы и выставки декоративно-прикладного творчества
(государственная программа "Развитие культуры в Самарской области на период до 2025 года")</t>
  </si>
  <si>
    <t>МБУИиК г.о.Тольятти "Тольяттинская филармония", (Национальный проект «Культура», федеральный проект «Культурная среда», государственная программа "Развитие культуры в Самарской области на период до 2025 года" )</t>
  </si>
  <si>
    <t>МАУИ "ТЮЗ "Дилижанс"
(государственная программа "Развитие культуры в Самарской области на период до 2025 года")</t>
  </si>
  <si>
    <t>МАУИ "ТЮЗ "Дилижанс"
Оплата  принятых в 2018 году обязательств
(государственная программа "Развитие культуры в Самарской области на период до 2025 года")</t>
  </si>
  <si>
    <t>МБУК ТКМ, 
(Национальный проект «Культура», федеральный проект «Культурная среда», государственная программа "Развитие культуры в Самарской области на период до 2025 года" )</t>
  </si>
  <si>
    <t>МАУ "КЦ "Автоград"  ( Государственная программа "Развитие культуры в Самарской области на период до 2025 года" )</t>
  </si>
  <si>
    <t>Оплата  принятых в 2018 году обязательств 
(государственная программа "Развитие культуры в Самарской области на период до 2025 года")</t>
  </si>
  <si>
    <t xml:space="preserve">МБУ ДО ДШИ "Лицей искусств" им. В.Н. Сафонова, </t>
  </si>
  <si>
    <t>2020 - 2022</t>
  </si>
  <si>
    <t>2021-2022</t>
  </si>
  <si>
    <t>2020-2022</t>
  </si>
  <si>
    <t>2020,2022,2023</t>
  </si>
  <si>
    <t>МБУК "Библиотеки Тольятти", МБУК ОДБ
 (департамент культуры)</t>
  </si>
  <si>
    <t>МБУК "Библиотеки Тольятти", МБУК ОДБ 
(департамент культуры)</t>
  </si>
  <si>
    <t xml:space="preserve">МБУК г.о.Тольятти "ДЦ "Русич", МБУИ "Тольяттинский театр кукол",  МАУ КДЦ "Буревестник"
 (департамент культуры)
</t>
  </si>
  <si>
    <t>Муниципальное бюджетное образовательное учреждение высшего образования "Тольяттинская консерватория" (далее- МБОУ ВО ТК)  
(департамент культуры )</t>
  </si>
  <si>
    <t>МБУ ДО ДШИ "Лицей искусств" им. В.Н. Сафонова, МБУ ДО ДХШ № 3, МБУ ДО ДШИ им. Г.В. Свиридова, МБУ ДО ДШИ "Гармония", МБУ ДО ДШИ "Камертон", МБУ ДО ДШИ "Форте", МБУДО ДХШ № 1, МБУ ДО ДМШ № 3, МБУ ДО ДХШ им. И.Е. Репина, МБУ ДО ДХШ им. М.М. Плисецкой, МБУ ДО ДДК, МБУ ДО ЦРТДЮ "Истоки", МБУ ДО Детская Школа искусств  № 1, МБУДО ДХШ им. М. Шагала, МБУ ДО ДМШ № 4 им. В.М. Свердлова, МБУ ДО Детская Школа искусств им. М.А. Балакирева, МБУ ДО Детская Школа искусств Центрального района,  МБОУ ВО ТК  
(департамент культуры)</t>
  </si>
  <si>
    <t xml:space="preserve">МАУ городского округа Тольятти "ДТ "Колесо"имени Г.Б. Дроздова", МАУИ "ТЮЗ "Дилижанс", МБУИ г.о. Тольятти "МДТ",  МБУИ "Тольяттинский театр кукол", МБУИиК г.о. Тольятти "Тольяттинская филармония", МБУК ТКМ, МБУК ТХМ, МБУК ГМК "Наследие", МБУК "Библиотеки Тольятти", МБУК ОДБ, МБУК г.о. Тольятти "ДЦ "Русич", МАУ КДЦ "Буревестник", МАУ "КЦ "Автоград",  МАУК ПКИТ им. К.Г. Сахарова, МБУ ДО ДШИ "Лицей искусств" им. В.Н. Сафонова, МБУ ДО ДХШ № 3, МБУ ДО ДШИ им. Г.В. Свиридова, МБУ ДО ДШИ "Гармония", МБУ ДО ДШИ "Камертон", МБУ ДО ДШИ "Форте", МБУДО ДХШ № 1, МБУ ДО ДМШ № 3, МБУ ДО ДХШ им. И.Е. Репина, МБУ ДО ДХШ им. М.М. Плисецкой, МБУ ДО ДДК, МБУ ДО ЦРТДЮ "Истоки", МБУ ДО Детская Школа искусств  № 1, МБУДО ДХШ им. М. Шагала, МБУ ДО ДМШ № 4 им. В.М. Свердлова, МБУ ДО Детская Школа искусств им. М.А. Балакирева, МБУ ДО Детская Школа искусств Центрального района, МБОУ ВО ТК  
(департамент культуры администрации городского округа Тольятти (далее - департамент культуры)            </t>
  </si>
  <si>
    <t>Оплата судебных задолженностей, задолженностей по взносам на капитальный ремонт, погашение задолженности по исполнительному листу, муниципальных учреждений, находящихся в ведомственном подчинении департамента культуры</t>
  </si>
  <si>
    <t>МБУК ТКМ, МБУИиК г.о. Тольятти "Тольяттинская филармония", МБУК "Библиотеки Тольятти", МБУДО ДХШ им. М. Шагала, МБОУ ВО ТК,
 МАУ "КЦ "Автоград"   
(департамент культуры)</t>
  </si>
  <si>
    <t>МБУИиК г.о. Тольятти "Тольяттинская филармония", МБУК г.о. Тольятти "ДЦ "Русич",  МБУИ г.о. Тольятти "МДТ",  МАУ городского округа Тольятти "ДТ "Колесо"имени Г.Б. Дроздова", МАУИ "ТЮЗ "Дилижанс",  МБУИ "Тольяттинский театр кукол", МБУК ГМК "Наследие",  МАУ "КЦ "Автоград", МАУ КДЦ "Буревестник", МБУ ДО ДШИ "Лицей искусств" им. В.Н. Сафонова,  МБУ ДО ДШИ им. Г.В. Свиридова, МБУ ДО ДШИ "Гармония", МБУ ДО ДШИ "Камертон", МБУ ДО ДШИ "Форте", МБУ ДО ДХШ им. М.М. Плисецкой, МБУ ДО ДДК, МБУ ДО ЦРТДЮ "Истоки", МБУ ДО Детская Школа искусств  № 1, МБУ ДО ДМШ № 4 им. В.М. Свердлова, МБУ ДО Детская Школа искусств им. М.А. Балакирева, МБУ ДО Детская Школа искусств Центрального района, МБУ ДО ДМШ № 3,  МБУ ДО ДХШ № 3, МБОУ ВО "Тольттинская консерватория"
(департамент культуры )</t>
  </si>
  <si>
    <t>МБУ ДО Детская Школа искусств им. М.А. Балакирева, МБУ ДО ДШИ "Лицей искусств" им. В.Н. Сафонова
 (департамент культуры )</t>
  </si>
  <si>
    <t>МБУ ДО Детская Школа искусств им. М.А. Балакирева, МБОУ  ВО ТК, МБУ ДО ДМШ № 4 им. В.М. Свердлова,  МБУ ДО Детская Школа искусств Центрального района, МБУ ДО ДШИ "Лицей искусств" им. В.Н. Сафонова, МБУК ТКМ,  МБУК ТХМ, МБУК ОДБ,  МАУ "КЦ "Автоград",  МБУ ДО ДДК
 (департамент культуры )</t>
  </si>
  <si>
    <t>Приобретение оборудования для обеспечения учета,  автоматизации и хранения музейных предметов, осуществления экспозиционно-выставочной деятельности, уставной деятельности; 
(Национальный проект «Культура», федеральный проект «Культурная среда», государственная программа "Развитие культуры в Самарской области на период до 2025 года")</t>
  </si>
  <si>
    <t>МБУК ТХМ, МБУК ТКМ, МБУК ГМК "Наследие" 
(департамент культуры)</t>
  </si>
  <si>
    <t xml:space="preserve">МАУ городского округа Тольятти "ДТ "Колесо"имени Г.Б. Дроздова", МАУИ "ТЮЗ "Дилижанс", МБУИ г.о. Тольятти "МДТ",  МБУИ "Тольяттинский театр кукол", МБУИиК г.о. Тольятти "Тольяттинская филармония", МБУК ТКМ, МБУК ТХМ, МБУК ГМК "Наследие", МБУК "Библиотеки Тольятти", МБУК ОДБ, МБУК г.о. Тольятти "ДЦ "Русич", МАУ КДЦ "Буревестник", МАУ "КЦ "Автоград",  МАУК ПКИТ им. К.Г. Сахарова, МБУ ДО ДШИ "Лицей искусств" им. В.Н. Сафонова, МБУ ДО ДХШ № 3, МБУ ДО ДШИ им. Г.В. Свиридова, МБУ ДО ДШИ "Гармония", МБУ ДО ДШИ "Камертон", МБУ ДО ДШИ "Форте", МБУДО ДХШ № 1, МБУ ДО ДМШ № 3, МБУ ДО ДХШ им. И.Е. Репина, МБУ ДО ДХШ им. М.М. Плисецкой, МБУ ДО ДДК, МБУ ДО ЦРТДЮ "Истоки", МБУ ДО Детская Школа искусств  № 1, МБУДО ДХШ им. М. Шагала, МБУ ДО ДМШ № 4 им. В.М. Свердлова, МБУ ДО Детская Школа искусств им. М.А. Балакирева, МБУ ДО Детская Школа искусств Центрального района, МБОУ ВО ТК
(департамент культуры)  </t>
  </si>
  <si>
    <t xml:space="preserve">Проведение капитального  ремонта (частично) и строительных работ, текущего ремонта, мероприятий по обеспечению эксплуатационных  требований согласно нормам безопасности в муниципальных образовательных учреждениях с разработкой проектно-сметной документации, установкой видеонаблюдения и охранной сигнализации,  укрепление материально-технической базы : </t>
  </si>
  <si>
    <t>МБУ ДО ДМШ № 4 им. В.М. Свердлова, МБОУ ВО "Тольттинская консерватория", МАУ городского округа Тольятти "ДТ "Колесо"имени Г.Б. Дроздова", 
МБУК ГМК "Наследие"
(департамент культуры)</t>
  </si>
  <si>
    <t xml:space="preserve">Создание интернет-сайта "Тольятти. Культурная карта" для  продвижения  культурных продуктов и социокультурных проектов, обеспечивающего информирование о многообразии и равномерности культурного обслуживания </t>
  </si>
  <si>
    <t>Создание раздела истории культуры на интернет-сайте "Тольятти. Культурная карта"</t>
  </si>
  <si>
    <t xml:space="preserve"> "Оснащение муниципальных театров" (Национальный проект «Культура», федеральный проект «Культурная среда», государственная программа "Развитие культуры в Самарской области на период до 2025 года")</t>
  </si>
  <si>
    <t xml:space="preserve">Проведение капитального ремонта (частично), мероприятий по обеспечению эксплуатационных требований согласно нормам безопасности в муниципальных библиотеках,  мероприятий по обеспечению беспрепятственного доступа инвалидов и других маломобильных групп населения, разработка проектно-сметной документации: </t>
  </si>
  <si>
    <t xml:space="preserve">Проведение капитального ремонта (частично), текущего ремонта, мероприятий по разработке  проектно-сметной документации, программ энергосбережения и  по обеспечению эксплуатационных требований согласно нормам безопасности,мероприятий по обеспечению беспрепятственного доступа инвалидов и других маломобильных групп населения, укрепление материально-технической базы в муниципальных музеях: </t>
  </si>
  <si>
    <r>
      <rPr>
        <sz val="12"/>
        <rFont val="Times New Roman"/>
        <family val="1"/>
        <charset val="204"/>
      </rPr>
      <t xml:space="preserve">Приложение №1          </t>
    </r>
    <r>
      <rPr>
        <sz val="10"/>
        <rFont val="Times New Roman"/>
        <family val="1"/>
        <charset val="204"/>
      </rPr>
      <t xml:space="preserve">                                                                                                                                                                                                                                                                                               к постановлению администрации городского округа Тольятти                                                                                                                                                                                                                                                                             от ______________№_________________</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</si>
</sst>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6" x14ac:knownFonts="1">
    <font>
      <sz val="11"/>
      <color theme="1"/>
      <name val="Calibri"/>
      <family val="2"/>
      <charset val="204"/>
      <scheme val="minor"/>
    </font>
    <font>
      <sz val="12"/>
      <name val="Times New Roman"/>
      <family val="1"/>
      <charset val="204"/>
    </font>
    <font>
      <sz val="11"/>
      <name val="Calibri"/>
      <family val="2"/>
      <charset val="204"/>
    </font>
    <font>
      <sz val="8"/>
      <name val="Calibri"/>
      <family val="2"/>
      <charset val="204"/>
    </font>
    <font>
      <sz val="11"/>
      <name val="Times New Roman"/>
      <family val="1"/>
      <charset val="204"/>
    </font>
    <font>
      <sz val="12"/>
      <name val="Calibri"/>
      <family val="2"/>
      <charset val="204"/>
    </font>
    <font>
      <b/>
      <sz val="12"/>
      <name val="Times New Roman"/>
      <family val="1"/>
      <charset val="204"/>
    </font>
    <font>
      <sz val="10"/>
      <name val="Times New Roman"/>
      <family val="1"/>
      <charset val="204"/>
    </font>
    <font>
      <sz val="10"/>
      <name val="Calibri"/>
      <family val="2"/>
      <charset val="204"/>
    </font>
    <font>
      <sz val="11"/>
      <name val="Calibri"/>
      <family val="2"/>
      <charset val="204"/>
      <scheme val="minor"/>
    </font>
    <font>
      <b/>
      <sz val="11"/>
      <name val="Calibri"/>
      <family val="2"/>
      <charset val="204"/>
      <scheme val="minor"/>
    </font>
    <font>
      <sz val="11"/>
      <color rgb="FFFF0000"/>
      <name val="Calibri"/>
      <family val="2"/>
      <charset val="204"/>
      <scheme val="minor"/>
    </font>
    <font>
      <sz val="12"/>
      <color theme="1"/>
      <name val="Times New Roman"/>
      <family val="1"/>
      <charset val="204"/>
    </font>
    <font>
      <b/>
      <sz val="11"/>
      <color rgb="FFFF0000"/>
      <name val="Calibri"/>
      <family val="2"/>
      <charset val="204"/>
      <scheme val="minor"/>
    </font>
    <font>
      <sz val="12"/>
      <color rgb="FF000000"/>
      <name val="Times New Roman"/>
      <family val="1"/>
      <charset val="204"/>
    </font>
    <font>
      <sz val="12"/>
      <color rgb="FFFF0000"/>
      <name val="Times New Roman"/>
      <family val="1"/>
      <charset val="204"/>
    </font>
  </fonts>
  <fills count="5">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s>
  <cellStyleXfs count="1">
    <xf numFmtId="0" fontId="0" fillId="0" borderId="0"/>
  </cellStyleXfs>
  <cellXfs count="138">
    <xf numFmtId="0" fontId="0" fillId="0" borderId="0" xfId="0"/>
    <xf numFmtId="0" fontId="9" fillId="0" borderId="0" xfId="0" applyFont="1"/>
    <xf numFmtId="0" fontId="2" fillId="0" borderId="0" xfId="0" applyFont="1"/>
    <xf numFmtId="0" fontId="10" fillId="0" borderId="0" xfId="0" applyFont="1"/>
    <xf numFmtId="0" fontId="11" fillId="0" borderId="0" xfId="0" applyFont="1"/>
    <xf numFmtId="0" fontId="13" fillId="0" borderId="0" xfId="0" applyFont="1"/>
    <xf numFmtId="0" fontId="12" fillId="0" borderId="1" xfId="0" applyFont="1" applyBorder="1"/>
    <xf numFmtId="0" fontId="10" fillId="2" borderId="0" xfId="0" applyFont="1" applyFill="1"/>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vertical="center" wrapText="1"/>
    </xf>
    <xf numFmtId="0" fontId="12" fillId="0" borderId="0" xfId="0" applyFont="1"/>
    <xf numFmtId="0" fontId="14" fillId="3" borderId="9" xfId="0" applyFont="1" applyFill="1" applyBorder="1"/>
    <xf numFmtId="0" fontId="14" fillId="3" borderId="10" xfId="0" applyFont="1" applyFill="1" applyBorder="1" applyAlignment="1">
      <alignment horizontal="center"/>
    </xf>
    <xf numFmtId="4" fontId="14" fillId="3" borderId="10" xfId="0" applyNumberFormat="1" applyFont="1" applyFill="1" applyBorder="1" applyAlignment="1">
      <alignment horizontal="center"/>
    </xf>
    <xf numFmtId="2" fontId="12" fillId="3" borderId="10" xfId="0" applyNumberFormat="1" applyFont="1" applyFill="1" applyBorder="1" applyAlignment="1">
      <alignment horizontal="center"/>
    </xf>
    <xf numFmtId="2" fontId="12" fillId="0" borderId="11" xfId="0" applyNumberFormat="1" applyFont="1" applyBorder="1" applyAlignment="1">
      <alignment horizontal="center"/>
    </xf>
    <xf numFmtId="2" fontId="12" fillId="0" borderId="12" xfId="0" applyNumberFormat="1" applyFont="1" applyBorder="1" applyAlignment="1">
      <alignment horizontal="center"/>
    </xf>
    <xf numFmtId="2" fontId="12" fillId="0" borderId="4" xfId="0" applyNumberFormat="1" applyFont="1" applyBorder="1" applyAlignment="1">
      <alignment horizontal="center" vertical="center"/>
    </xf>
    <xf numFmtId="0" fontId="12" fillId="0" borderId="4" xfId="0" applyFont="1" applyBorder="1" applyAlignment="1">
      <alignment horizontal="center" vertical="center"/>
    </xf>
    <xf numFmtId="2" fontId="12" fillId="3" borderId="8" xfId="0" applyNumberFormat="1" applyFont="1" applyFill="1" applyBorder="1" applyAlignment="1">
      <alignment horizontal="center"/>
    </xf>
    <xf numFmtId="2" fontId="12" fillId="0" borderId="1" xfId="0" applyNumberFormat="1" applyFont="1" applyBorder="1" applyAlignment="1">
      <alignment horizontal="center" vertical="center"/>
    </xf>
    <xf numFmtId="0" fontId="12" fillId="0" borderId="0" xfId="0" applyFont="1" applyAlignment="1">
      <alignment horizontal="center"/>
    </xf>
    <xf numFmtId="4" fontId="1" fillId="0" borderId="1" xfId="0" applyNumberFormat="1" applyFont="1" applyFill="1" applyBorder="1" applyAlignment="1">
      <alignment horizontal="right" wrapText="1"/>
    </xf>
    <xf numFmtId="0" fontId="13" fillId="0" borderId="0" xfId="0" applyFont="1" applyFill="1"/>
    <xf numFmtId="0" fontId="11" fillId="0" borderId="0" xfId="0" applyFont="1" applyFill="1"/>
    <xf numFmtId="0" fontId="0" fillId="0" borderId="0" xfId="0" applyFill="1"/>
    <xf numFmtId="0" fontId="9" fillId="0" borderId="0" xfId="0" applyFont="1" applyFill="1"/>
    <xf numFmtId="0" fontId="8" fillId="0" borderId="0" xfId="0" applyFont="1" applyFill="1"/>
    <xf numFmtId="0" fontId="1" fillId="0" borderId="1" xfId="0" applyFont="1" applyFill="1" applyBorder="1" applyAlignment="1">
      <alignment wrapText="1"/>
    </xf>
    <xf numFmtId="0" fontId="9" fillId="0" borderId="1" xfId="0" applyFont="1" applyFill="1" applyBorder="1" applyAlignment="1">
      <alignment wrapText="1"/>
    </xf>
    <xf numFmtId="0" fontId="9" fillId="0" borderId="1" xfId="0" applyFont="1" applyFill="1" applyBorder="1"/>
    <xf numFmtId="4" fontId="6" fillId="0" borderId="1" xfId="0" applyNumberFormat="1" applyFont="1" applyFill="1" applyBorder="1" applyAlignment="1">
      <alignment horizontal="right" wrapText="1"/>
    </xf>
    <xf numFmtId="4" fontId="1" fillId="0" borderId="1" xfId="0" applyNumberFormat="1" applyFont="1" applyFill="1" applyBorder="1" applyAlignment="1">
      <alignment horizontal="right"/>
    </xf>
    <xf numFmtId="0" fontId="1" fillId="0" borderId="1" xfId="0" applyFont="1" applyFill="1" applyBorder="1" applyAlignment="1">
      <alignment vertical="center" wrapText="1"/>
    </xf>
    <xf numFmtId="0" fontId="6" fillId="0" borderId="1" xfId="0" applyFont="1" applyFill="1" applyBorder="1" applyAlignment="1">
      <alignment wrapText="1"/>
    </xf>
    <xf numFmtId="0" fontId="10" fillId="0" borderId="1" xfId="0" applyFont="1" applyFill="1" applyBorder="1" applyAlignment="1">
      <alignment horizontal="left" vertical="center" wrapText="1"/>
    </xf>
    <xf numFmtId="0" fontId="10" fillId="0" borderId="0" xfId="0" applyFont="1" applyFill="1"/>
    <xf numFmtId="16" fontId="1" fillId="0" borderId="1" xfId="0" applyNumberFormat="1" applyFont="1" applyFill="1" applyBorder="1" applyAlignment="1">
      <alignment horizontal="center" vertical="center" wrapText="1"/>
    </xf>
    <xf numFmtId="0" fontId="6" fillId="0" borderId="1" xfId="0" applyFont="1" applyFill="1" applyBorder="1" applyAlignment="1">
      <alignment vertical="top" wrapText="1"/>
    </xf>
    <xf numFmtId="0" fontId="6" fillId="0" borderId="1" xfId="0" applyFont="1" applyFill="1" applyBorder="1" applyAlignment="1">
      <alignment horizontal="left" vertical="center"/>
    </xf>
    <xf numFmtId="0" fontId="6" fillId="0" borderId="1" xfId="0" applyFont="1" applyFill="1" applyBorder="1" applyAlignment="1">
      <alignment horizontal="center" vertical="center" textRotation="90" wrapText="1"/>
    </xf>
    <xf numFmtId="0" fontId="2" fillId="0" borderId="0" xfId="0" applyFont="1" applyFill="1"/>
    <xf numFmtId="49" fontId="1" fillId="0" borderId="1" xfId="0"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xf>
    <xf numFmtId="4" fontId="1" fillId="0" borderId="1" xfId="0" applyNumberFormat="1" applyFont="1" applyFill="1" applyBorder="1" applyAlignment="1">
      <alignment horizontal="center" vertical="center" wrapText="1"/>
    </xf>
    <xf numFmtId="16" fontId="6"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xf>
    <xf numFmtId="0" fontId="10"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4" fontId="1" fillId="0" borderId="1" xfId="0" applyNumberFormat="1" applyFont="1" applyFill="1" applyBorder="1"/>
    <xf numFmtId="164" fontId="6" fillId="0" borderId="1" xfId="0" applyNumberFormat="1" applyFont="1" applyFill="1" applyBorder="1" applyAlignment="1">
      <alignment horizontal="right" wrapText="1"/>
    </xf>
    <xf numFmtId="0" fontId="1" fillId="0" borderId="1" xfId="0" applyFont="1" applyFill="1" applyBorder="1" applyAlignment="1">
      <alignment horizontal="left" vertical="center"/>
    </xf>
    <xf numFmtId="0" fontId="1" fillId="0" borderId="1" xfId="0" applyFont="1" applyFill="1" applyBorder="1" applyAlignment="1">
      <alignment vertical="center" textRotation="90" wrapText="1"/>
    </xf>
    <xf numFmtId="4" fontId="1" fillId="0" borderId="1" xfId="0" applyNumberFormat="1" applyFont="1" applyFill="1" applyBorder="1" applyAlignment="1">
      <alignment wrapText="1"/>
    </xf>
    <xf numFmtId="4" fontId="1" fillId="0" borderId="0" xfId="0" applyNumberFormat="1" applyFont="1" applyFill="1"/>
    <xf numFmtId="4" fontId="10" fillId="0" borderId="0" xfId="0" applyNumberFormat="1" applyFont="1" applyFill="1"/>
    <xf numFmtId="0" fontId="1" fillId="0" borderId="1" xfId="0" applyFont="1" applyFill="1" applyBorder="1"/>
    <xf numFmtId="164" fontId="1" fillId="0" borderId="1" xfId="0" applyNumberFormat="1" applyFont="1" applyFill="1" applyBorder="1"/>
    <xf numFmtId="4" fontId="6" fillId="0" borderId="1" xfId="0" applyNumberFormat="1" applyFont="1" applyFill="1" applyBorder="1"/>
    <xf numFmtId="4" fontId="0" fillId="0" borderId="0" xfId="0" applyNumberFormat="1" applyFill="1"/>
    <xf numFmtId="4" fontId="9" fillId="0" borderId="0" xfId="0" applyNumberFormat="1" applyFont="1" applyFill="1"/>
    <xf numFmtId="0" fontId="9" fillId="0" borderId="0" xfId="0" applyFont="1" applyFill="1"/>
    <xf numFmtId="0" fontId="9" fillId="0" borderId="0" xfId="0" applyFont="1" applyFill="1"/>
    <xf numFmtId="0" fontId="9" fillId="0" borderId="0" xfId="0" applyFont="1" applyFill="1"/>
    <xf numFmtId="4" fontId="6" fillId="0" borderId="1" xfId="0" applyNumberFormat="1" applyFont="1" applyFill="1" applyBorder="1" applyAlignment="1">
      <alignment horizontal="right"/>
    </xf>
    <xf numFmtId="0" fontId="9" fillId="0" borderId="0" xfId="0" applyFont="1" applyFill="1"/>
    <xf numFmtId="0" fontId="1" fillId="0" borderId="4" xfId="0" applyFont="1" applyFill="1" applyBorder="1" applyAlignment="1">
      <alignment horizontal="left" vertical="center" wrapText="1"/>
    </xf>
    <xf numFmtId="0" fontId="1" fillId="0" borderId="1" xfId="0" applyFont="1" applyFill="1" applyBorder="1" applyAlignment="1">
      <alignment horizontal="left" vertical="top" wrapText="1"/>
    </xf>
    <xf numFmtId="4" fontId="1" fillId="0" borderId="1" xfId="0" applyNumberFormat="1" applyFont="1" applyFill="1" applyBorder="1" applyAlignment="1">
      <alignment horizontal="right" vertical="center" wrapText="1"/>
    </xf>
    <xf numFmtId="164" fontId="1" fillId="0" borderId="1" xfId="0" applyNumberFormat="1" applyFont="1" applyFill="1" applyBorder="1" applyAlignment="1">
      <alignment horizontal="right"/>
    </xf>
    <xf numFmtId="164" fontId="6" fillId="0" borderId="1" xfId="0" applyNumberFormat="1" applyFont="1" applyFill="1" applyBorder="1" applyAlignment="1">
      <alignment horizontal="right"/>
    </xf>
    <xf numFmtId="4" fontId="1" fillId="4" borderId="1" xfId="0" applyNumberFormat="1" applyFont="1" applyFill="1" applyBorder="1" applyAlignment="1">
      <alignment horizontal="right" wrapText="1"/>
    </xf>
    <xf numFmtId="4" fontId="1" fillId="4" borderId="1" xfId="0" applyNumberFormat="1" applyFont="1" applyFill="1" applyBorder="1" applyAlignment="1">
      <alignment horizontal="right"/>
    </xf>
    <xf numFmtId="0" fontId="1" fillId="0" borderId="3" xfId="0" applyFont="1" applyFill="1" applyBorder="1" applyAlignment="1">
      <alignment horizontal="center" vertical="center" textRotation="90"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0" applyFont="1" applyFill="1" applyBorder="1" applyAlignment="1">
      <alignment horizontal="center" vertical="center" textRotation="90"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0" fontId="9" fillId="0" borderId="0" xfId="0" applyFont="1" applyFill="1"/>
    <xf numFmtId="0" fontId="1" fillId="0" borderId="1" xfId="0" applyFont="1" applyFill="1" applyBorder="1" applyAlignment="1">
      <alignment horizontal="center" vertical="center" textRotation="90"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xf>
    <xf numFmtId="2" fontId="9" fillId="0" borderId="1" xfId="0" applyNumberFormat="1" applyFont="1" applyFill="1" applyBorder="1"/>
    <xf numFmtId="2" fontId="9" fillId="0" borderId="0" xfId="0" applyNumberFormat="1" applyFont="1" applyFill="1"/>
    <xf numFmtId="164" fontId="1" fillId="0" borderId="1" xfId="0" applyNumberFormat="1" applyFont="1" applyFill="1" applyBorder="1" applyAlignment="1">
      <alignment horizontal="right" wrapText="1"/>
    </xf>
    <xf numFmtId="4" fontId="9" fillId="0" borderId="0" xfId="0" applyNumberFormat="1" applyFont="1" applyFill="1" applyAlignment="1">
      <alignment horizontal="right"/>
    </xf>
    <xf numFmtId="4" fontId="6" fillId="4" borderId="1" xfId="0" applyNumberFormat="1" applyFont="1" applyFill="1" applyBorder="1"/>
    <xf numFmtId="4" fontId="6" fillId="4" borderId="1" xfId="0" applyNumberFormat="1" applyFont="1" applyFill="1" applyBorder="1" applyAlignment="1">
      <alignment horizontal="right" wrapText="1"/>
    </xf>
    <xf numFmtId="0" fontId="1" fillId="0" borderId="2"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 fillId="0" borderId="3" xfId="0" applyFont="1" applyFill="1" applyBorder="1" applyAlignment="1">
      <alignment horizontal="center" vertical="center" textRotation="90" wrapText="1"/>
    </xf>
    <xf numFmtId="0" fontId="1" fillId="0" borderId="2" xfId="0" applyFont="1" applyFill="1" applyBorder="1" applyAlignment="1">
      <alignment horizontal="center" vertical="center" textRotation="90"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0" applyFont="1" applyFill="1" applyBorder="1" applyAlignment="1">
      <alignment horizontal="center" vertical="center" textRotation="90"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0" fontId="7" fillId="0" borderId="0" xfId="0" applyFont="1" applyFill="1" applyAlignment="1">
      <alignment horizontal="center" vertical="center" wrapText="1"/>
    </xf>
    <xf numFmtId="0" fontId="9" fillId="0" borderId="0" xfId="0" applyFont="1" applyFill="1"/>
    <xf numFmtId="0" fontId="1" fillId="0" borderId="1" xfId="0" applyFont="1" applyFill="1" applyBorder="1" applyAlignment="1">
      <alignment horizontal="center" vertical="center" textRotation="90" wrapText="1"/>
    </xf>
    <xf numFmtId="0" fontId="5" fillId="0" borderId="1" xfId="0" applyFont="1" applyFill="1" applyBorder="1" applyAlignment="1">
      <alignment horizontal="center" vertical="center" textRotation="90" wrapText="1"/>
    </xf>
    <xf numFmtId="0" fontId="1" fillId="0" borderId="1" xfId="0" applyFont="1" applyFill="1" applyBorder="1" applyAlignment="1">
      <alignment horizontal="center" wrapText="1"/>
    </xf>
    <xf numFmtId="0" fontId="5" fillId="0" borderId="1" xfId="0" applyFont="1" applyFill="1" applyBorder="1" applyAlignment="1">
      <alignment horizontal="center" wrapText="1"/>
    </xf>
    <xf numFmtId="0" fontId="1" fillId="0" borderId="1"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9" fillId="0" borderId="2" xfId="0" applyFont="1" applyFill="1" applyBorder="1" applyAlignment="1">
      <alignment horizontal="center" vertical="center" textRotation="90" wrapText="1"/>
    </xf>
    <xf numFmtId="0" fontId="9" fillId="0" borderId="4" xfId="0" applyFont="1" applyFill="1" applyBorder="1" applyAlignment="1">
      <alignment horizontal="center" vertical="center" textRotation="90" wrapText="1"/>
    </xf>
    <xf numFmtId="0" fontId="1" fillId="0" borderId="1" xfId="0" applyFont="1" applyFill="1" applyBorder="1" applyAlignment="1">
      <alignment horizontal="center" vertical="center"/>
    </xf>
    <xf numFmtId="0" fontId="6" fillId="0" borderId="1" xfId="0" applyFont="1" applyFill="1" applyBorder="1" applyAlignment="1">
      <alignment vertical="center" wrapText="1"/>
    </xf>
    <xf numFmtId="0" fontId="10"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xf>
    <xf numFmtId="0" fontId="5" fillId="0" borderId="1" xfId="0" applyFont="1" applyFill="1" applyBorder="1" applyAlignment="1">
      <alignment horizontal="center"/>
    </xf>
    <xf numFmtId="16" fontId="1" fillId="0" borderId="3" xfId="0" applyNumberFormat="1" applyFont="1" applyFill="1" applyBorder="1" applyAlignment="1">
      <alignment horizontal="center" vertical="center" wrapText="1"/>
    </xf>
    <xf numFmtId="16" fontId="1" fillId="0" borderId="4"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 xfId="0" applyFont="1" applyFill="1" applyBorder="1" applyAlignment="1">
      <alignment horizontal="center" vertical="center" textRotation="90"/>
    </xf>
  </cellXfs>
  <cellStyles count="1">
    <cellStyle name="Обычный" xfId="0" builtinId="0"/>
  </cellStyles>
  <dxfs count="0"/>
  <tableStyles count="0" defaultTableStyle="TableStyleMedium2" defaultPivotStyle="PivotStyleLight16"/>
  <colors>
    <mruColors>
      <color rgb="FFFFD4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6"/>
  <sheetViews>
    <sheetView tabSelected="1" view="pageBreakPreview" zoomScale="80" zoomScaleNormal="53" zoomScaleSheetLayoutView="80" workbookViewId="0">
      <pane xSplit="3" ySplit="9" topLeftCell="F10" activePane="bottomRight" state="frozen"/>
      <selection pane="topRight" activeCell="D1" sqref="D1"/>
      <selection pane="bottomLeft" activeCell="A10" sqref="A10"/>
      <selection pane="bottomRight" activeCell="C2" sqref="C2"/>
    </sheetView>
  </sheetViews>
  <sheetFormatPr defaultRowHeight="15" x14ac:dyDescent="0.25"/>
  <cols>
    <col min="1" max="1" width="9.7109375" style="82" customWidth="1"/>
    <col min="2" max="2" width="46.42578125" style="82" customWidth="1"/>
    <col min="3" max="3" width="58.5703125" style="82" customWidth="1"/>
    <col min="4" max="4" width="16.42578125" style="82" customWidth="1"/>
    <col min="5" max="5" width="15.42578125" style="82" customWidth="1"/>
    <col min="6" max="6" width="15" style="82" customWidth="1"/>
    <col min="7" max="7" width="14" style="82" customWidth="1"/>
    <col min="8" max="8" width="14.140625" style="82" customWidth="1"/>
    <col min="9" max="9" width="13.7109375" style="82" customWidth="1"/>
    <col min="10" max="10" width="18.85546875" style="82" customWidth="1"/>
    <col min="11" max="11" width="14.5703125" style="82" customWidth="1"/>
    <col min="12" max="12" width="12.42578125" style="82" customWidth="1"/>
    <col min="13" max="13" width="15.7109375" style="82" customWidth="1"/>
    <col min="14" max="14" width="13.28515625" style="82" customWidth="1"/>
    <col min="15" max="15" width="14.42578125" style="82" customWidth="1"/>
    <col min="16" max="16" width="16" style="82" customWidth="1"/>
    <col min="17" max="17" width="15.5703125" style="82" customWidth="1"/>
    <col min="18" max="19" width="14.28515625" style="82" customWidth="1"/>
    <col min="20" max="20" width="16.28515625" style="82" customWidth="1"/>
    <col min="21" max="21" width="15.7109375" style="82" customWidth="1"/>
    <col min="22" max="22" width="12.5703125" style="82" customWidth="1"/>
    <col min="23" max="23" width="12.140625" style="82" customWidth="1"/>
    <col min="24" max="24" width="19.5703125" style="82" customWidth="1"/>
    <col min="25" max="25" width="15.7109375" style="82" customWidth="1"/>
    <col min="26" max="26" width="14.5703125" style="82" customWidth="1"/>
    <col min="27" max="27" width="14.7109375" style="82" customWidth="1"/>
    <col min="28" max="28" width="17.28515625" style="82" customWidth="1"/>
    <col min="29" max="29" width="14" style="82" customWidth="1"/>
    <col min="30" max="30" width="18.7109375" style="82" customWidth="1"/>
    <col min="31" max="31" width="17.5703125" style="26" customWidth="1"/>
  </cols>
  <sheetData>
    <row r="1" spans="1:31" ht="54.75" customHeight="1" x14ac:dyDescent="0.25">
      <c r="F1" s="109" t="s">
        <v>328</v>
      </c>
      <c r="G1" s="109"/>
      <c r="H1" s="109"/>
      <c r="I1" s="109"/>
      <c r="J1" s="109"/>
      <c r="K1" s="109"/>
      <c r="L1" s="109"/>
      <c r="M1" s="110"/>
    </row>
    <row r="2" spans="1:31" ht="28.15" customHeight="1" x14ac:dyDescent="0.25">
      <c r="F2" s="109" t="s">
        <v>186</v>
      </c>
      <c r="G2" s="109"/>
      <c r="H2" s="109"/>
      <c r="I2" s="109"/>
      <c r="J2" s="109"/>
      <c r="K2" s="109"/>
      <c r="L2" s="109"/>
    </row>
    <row r="3" spans="1:31" ht="33" customHeight="1" x14ac:dyDescent="0.25">
      <c r="B3" s="109" t="s">
        <v>27</v>
      </c>
      <c r="C3" s="109"/>
      <c r="D3" s="109"/>
    </row>
    <row r="4" spans="1:31" ht="1.9" hidden="1" customHeight="1" x14ac:dyDescent="0.25">
      <c r="F4" s="28"/>
      <c r="G4" s="28"/>
      <c r="H4" s="28"/>
      <c r="I4" s="28"/>
      <c r="J4" s="28"/>
      <c r="K4" s="28"/>
      <c r="L4" s="28"/>
    </row>
    <row r="5" spans="1:31" ht="19.899999999999999" hidden="1" customHeight="1" x14ac:dyDescent="0.25"/>
    <row r="6" spans="1:31" ht="30" customHeight="1" x14ac:dyDescent="0.25">
      <c r="A6" s="132" t="s">
        <v>28</v>
      </c>
      <c r="B6" s="115" t="s">
        <v>29</v>
      </c>
      <c r="C6" s="111" t="s">
        <v>30</v>
      </c>
      <c r="D6" s="111" t="s">
        <v>0</v>
      </c>
      <c r="E6" s="115" t="s">
        <v>31</v>
      </c>
      <c r="F6" s="115"/>
      <c r="G6" s="115"/>
      <c r="H6" s="115"/>
      <c r="I6" s="115"/>
      <c r="J6" s="115"/>
      <c r="K6" s="115"/>
      <c r="L6" s="115"/>
      <c r="M6" s="115"/>
      <c r="N6" s="115"/>
      <c r="O6" s="123" t="s">
        <v>31</v>
      </c>
      <c r="P6" s="123"/>
      <c r="Q6" s="123"/>
      <c r="R6" s="123"/>
      <c r="S6" s="123"/>
      <c r="T6" s="123"/>
      <c r="U6" s="123"/>
      <c r="V6" s="123"/>
      <c r="W6" s="123"/>
      <c r="X6" s="123"/>
      <c r="Y6" s="134" t="s">
        <v>31</v>
      </c>
      <c r="Z6" s="135"/>
      <c r="AA6" s="135"/>
      <c r="AB6" s="135"/>
      <c r="AC6" s="135"/>
      <c r="AD6" s="136"/>
    </row>
    <row r="7" spans="1:31" ht="23.25" customHeight="1" x14ac:dyDescent="0.25">
      <c r="A7" s="133"/>
      <c r="B7" s="127"/>
      <c r="C7" s="127"/>
      <c r="D7" s="112"/>
      <c r="E7" s="113" t="s">
        <v>39</v>
      </c>
      <c r="F7" s="114"/>
      <c r="G7" s="114"/>
      <c r="H7" s="114"/>
      <c r="I7" s="114"/>
      <c r="J7" s="113" t="s">
        <v>40</v>
      </c>
      <c r="K7" s="114"/>
      <c r="L7" s="114"/>
      <c r="M7" s="114"/>
      <c r="N7" s="114"/>
      <c r="O7" s="113" t="s">
        <v>41</v>
      </c>
      <c r="P7" s="114"/>
      <c r="Q7" s="114"/>
      <c r="R7" s="114"/>
      <c r="S7" s="114"/>
      <c r="T7" s="113" t="s">
        <v>42</v>
      </c>
      <c r="U7" s="114"/>
      <c r="V7" s="114"/>
      <c r="W7" s="114"/>
      <c r="X7" s="114"/>
      <c r="Y7" s="128" t="s">
        <v>43</v>
      </c>
      <c r="Z7" s="129"/>
      <c r="AA7" s="129"/>
      <c r="AB7" s="129"/>
      <c r="AC7" s="129"/>
      <c r="AD7" s="137" t="s">
        <v>32</v>
      </c>
    </row>
    <row r="8" spans="1:31" ht="87.75" customHeight="1" x14ac:dyDescent="0.25">
      <c r="A8" s="133"/>
      <c r="B8" s="127"/>
      <c r="C8" s="127"/>
      <c r="D8" s="112"/>
      <c r="E8" s="83" t="s">
        <v>1</v>
      </c>
      <c r="F8" s="83" t="s">
        <v>20</v>
      </c>
      <c r="G8" s="83" t="s">
        <v>21</v>
      </c>
      <c r="H8" s="83" t="s">
        <v>22</v>
      </c>
      <c r="I8" s="83" t="s">
        <v>23</v>
      </c>
      <c r="J8" s="83" t="s">
        <v>1</v>
      </c>
      <c r="K8" s="83" t="s">
        <v>20</v>
      </c>
      <c r="L8" s="83" t="s">
        <v>21</v>
      </c>
      <c r="M8" s="83" t="s">
        <v>22</v>
      </c>
      <c r="N8" s="83" t="s">
        <v>23</v>
      </c>
      <c r="O8" s="83" t="s">
        <v>1</v>
      </c>
      <c r="P8" s="83" t="s">
        <v>20</v>
      </c>
      <c r="Q8" s="83" t="s">
        <v>21</v>
      </c>
      <c r="R8" s="83" t="s">
        <v>22</v>
      </c>
      <c r="S8" s="83" t="s">
        <v>23</v>
      </c>
      <c r="T8" s="83" t="s">
        <v>1</v>
      </c>
      <c r="U8" s="83" t="s">
        <v>20</v>
      </c>
      <c r="V8" s="83" t="s">
        <v>21</v>
      </c>
      <c r="W8" s="83" t="s">
        <v>22</v>
      </c>
      <c r="X8" s="83" t="s">
        <v>23</v>
      </c>
      <c r="Y8" s="83" t="s">
        <v>1</v>
      </c>
      <c r="Z8" s="83" t="s">
        <v>20</v>
      </c>
      <c r="AA8" s="83" t="s">
        <v>21</v>
      </c>
      <c r="AB8" s="83" t="s">
        <v>22</v>
      </c>
      <c r="AC8" s="83" t="s">
        <v>23</v>
      </c>
      <c r="AD8" s="137"/>
    </row>
    <row r="9" spans="1:31" ht="13.5" customHeight="1" x14ac:dyDescent="0.25">
      <c r="A9" s="84">
        <v>1</v>
      </c>
      <c r="B9" s="84">
        <v>2</v>
      </c>
      <c r="C9" s="84">
        <v>3</v>
      </c>
      <c r="D9" s="84">
        <v>4</v>
      </c>
      <c r="E9" s="84">
        <v>5</v>
      </c>
      <c r="F9" s="84">
        <v>6</v>
      </c>
      <c r="G9" s="84">
        <v>7</v>
      </c>
      <c r="H9" s="84">
        <v>8</v>
      </c>
      <c r="I9" s="84">
        <v>9</v>
      </c>
      <c r="J9" s="84">
        <v>10</v>
      </c>
      <c r="K9" s="84">
        <v>11</v>
      </c>
      <c r="L9" s="84">
        <v>12</v>
      </c>
      <c r="M9" s="84">
        <v>13</v>
      </c>
      <c r="N9" s="84">
        <v>14</v>
      </c>
      <c r="O9" s="84">
        <v>15</v>
      </c>
      <c r="P9" s="84">
        <v>16</v>
      </c>
      <c r="Q9" s="84">
        <v>17</v>
      </c>
      <c r="R9" s="84">
        <v>18</v>
      </c>
      <c r="S9" s="84">
        <v>19</v>
      </c>
      <c r="T9" s="84">
        <v>20</v>
      </c>
      <c r="U9" s="84">
        <v>21</v>
      </c>
      <c r="V9" s="84">
        <v>22</v>
      </c>
      <c r="W9" s="84">
        <v>23</v>
      </c>
      <c r="X9" s="84">
        <v>24</v>
      </c>
      <c r="Y9" s="84">
        <v>25</v>
      </c>
      <c r="Z9" s="84">
        <v>26</v>
      </c>
      <c r="AA9" s="84">
        <v>27</v>
      </c>
      <c r="AB9" s="84">
        <v>28</v>
      </c>
      <c r="AC9" s="84">
        <v>29</v>
      </c>
      <c r="AD9" s="89">
        <v>30</v>
      </c>
    </row>
    <row r="10" spans="1:31" s="1" customFormat="1" ht="47.45" customHeight="1" x14ac:dyDescent="0.25">
      <c r="A10" s="29"/>
      <c r="B10" s="124" t="s">
        <v>109</v>
      </c>
      <c r="C10" s="125"/>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27"/>
    </row>
    <row r="11" spans="1:31" s="1" customFormat="1" ht="39" customHeight="1" x14ac:dyDescent="0.25">
      <c r="A11" s="29"/>
      <c r="B11" s="118" t="s">
        <v>110</v>
      </c>
      <c r="C11" s="119"/>
      <c r="D11" s="85"/>
      <c r="E11" s="85"/>
      <c r="F11" s="85"/>
      <c r="G11" s="85"/>
      <c r="H11" s="85"/>
      <c r="I11" s="85"/>
      <c r="J11" s="85"/>
      <c r="K11" s="85"/>
      <c r="L11" s="85"/>
      <c r="M11" s="85"/>
      <c r="N11" s="85"/>
      <c r="O11" s="31"/>
      <c r="P11" s="31"/>
      <c r="Q11" s="31"/>
      <c r="R11" s="31"/>
      <c r="S11" s="31"/>
      <c r="T11" s="31"/>
      <c r="U11" s="31"/>
      <c r="V11" s="31"/>
      <c r="W11" s="31"/>
      <c r="X11" s="31"/>
      <c r="Y11" s="31"/>
      <c r="Z11" s="31"/>
      <c r="AA11" s="31"/>
      <c r="AB11" s="31"/>
      <c r="AC11" s="31"/>
      <c r="AD11" s="31"/>
      <c r="AE11" s="27"/>
    </row>
    <row r="12" spans="1:31" s="1" customFormat="1" ht="127.9" customHeight="1" x14ac:dyDescent="0.25">
      <c r="A12" s="84" t="s">
        <v>2</v>
      </c>
      <c r="B12" s="88" t="s">
        <v>45</v>
      </c>
      <c r="C12" s="100" t="s">
        <v>312</v>
      </c>
      <c r="D12" s="98" t="s">
        <v>44</v>
      </c>
      <c r="E12" s="32"/>
      <c r="F12" s="32"/>
      <c r="G12" s="32"/>
      <c r="H12" s="32"/>
      <c r="I12" s="32"/>
      <c r="J12" s="32"/>
      <c r="K12" s="32"/>
      <c r="L12" s="32"/>
      <c r="M12" s="32"/>
      <c r="N12" s="32"/>
      <c r="O12" s="32"/>
      <c r="P12" s="33"/>
      <c r="Q12" s="33"/>
      <c r="R12" s="33"/>
      <c r="S12" s="33"/>
      <c r="T12" s="33"/>
      <c r="U12" s="33"/>
      <c r="V12" s="33"/>
      <c r="W12" s="33"/>
      <c r="X12" s="33"/>
      <c r="Y12" s="33"/>
      <c r="Z12" s="33"/>
      <c r="AA12" s="33"/>
      <c r="AB12" s="33"/>
      <c r="AC12" s="33"/>
      <c r="AD12" s="33"/>
      <c r="AE12" s="27"/>
    </row>
    <row r="13" spans="1:31" s="1" customFormat="1" ht="78" customHeight="1" x14ac:dyDescent="0.25">
      <c r="A13" s="84" t="s">
        <v>198</v>
      </c>
      <c r="B13" s="126" t="s">
        <v>18</v>
      </c>
      <c r="C13" s="104"/>
      <c r="D13" s="99"/>
      <c r="E13" s="23">
        <f>SUM(F13:G13)</f>
        <v>460697</v>
      </c>
      <c r="F13" s="23">
        <v>326623</v>
      </c>
      <c r="G13" s="23">
        <v>134074</v>
      </c>
      <c r="H13" s="23">
        <v>0</v>
      </c>
      <c r="I13" s="23">
        <v>0</v>
      </c>
      <c r="J13" s="23">
        <f>SUM(K13:L13)</f>
        <v>490804</v>
      </c>
      <c r="K13" s="23">
        <f>499409-3814-2223-2568</f>
        <v>490804</v>
      </c>
      <c r="L13" s="23">
        <v>0</v>
      </c>
      <c r="M13" s="23">
        <v>0</v>
      </c>
      <c r="N13" s="23">
        <v>0</v>
      </c>
      <c r="O13" s="23">
        <f>SUM(P13:Q13)</f>
        <v>509649</v>
      </c>
      <c r="P13" s="23">
        <f>455435+21634+1669+13460+17451</f>
        <v>509649</v>
      </c>
      <c r="Q13" s="23">
        <v>0</v>
      </c>
      <c r="R13" s="33">
        <v>0</v>
      </c>
      <c r="S13" s="33">
        <v>0</v>
      </c>
      <c r="T13" s="23">
        <f>SUM(U13:V13)</f>
        <v>492156.94</v>
      </c>
      <c r="U13" s="33">
        <f>425523+20032+67571-31880.41+930+8481+0.35+1500</f>
        <v>492156.94</v>
      </c>
      <c r="V13" s="33">
        <v>0</v>
      </c>
      <c r="W13" s="33">
        <v>0</v>
      </c>
      <c r="X13" s="33">
        <v>0</v>
      </c>
      <c r="Y13" s="23">
        <f>SUM(Z13:AA13)</f>
        <v>535860</v>
      </c>
      <c r="Z13" s="33">
        <f>425523+20032+22878+66015+906+506</f>
        <v>535860</v>
      </c>
      <c r="AA13" s="33">
        <v>0</v>
      </c>
      <c r="AB13" s="33">
        <v>0</v>
      </c>
      <c r="AC13" s="33">
        <v>0</v>
      </c>
      <c r="AD13" s="33">
        <f>SUM(Y13,T13,O13,J13,E13)</f>
        <v>2489166.94</v>
      </c>
      <c r="AE13" s="27"/>
    </row>
    <row r="14" spans="1:31" s="1" customFormat="1" ht="46.5" hidden="1" customHeight="1" x14ac:dyDescent="0.25">
      <c r="A14" s="84"/>
      <c r="B14" s="126"/>
      <c r="C14" s="104"/>
      <c r="D14" s="99"/>
      <c r="E14" s="23">
        <f t="shared" ref="E14:E24" si="0">SUM(F14:I14)</f>
        <v>0</v>
      </c>
      <c r="F14" s="23"/>
      <c r="G14" s="23"/>
      <c r="H14" s="23"/>
      <c r="I14" s="23"/>
      <c r="J14" s="23">
        <f t="shared" ref="J14:J24" si="1">SUM(K14:N14)</f>
        <v>0</v>
      </c>
      <c r="K14" s="23"/>
      <c r="L14" s="23"/>
      <c r="M14" s="23"/>
      <c r="N14" s="23"/>
      <c r="O14" s="23">
        <f>SUM(P14:S14)</f>
        <v>0</v>
      </c>
      <c r="P14" s="33">
        <v>0</v>
      </c>
      <c r="Q14" s="33">
        <v>0</v>
      </c>
      <c r="R14" s="33">
        <v>0</v>
      </c>
      <c r="S14" s="33">
        <v>0</v>
      </c>
      <c r="T14" s="23">
        <f t="shared" ref="T14:T24" si="2">SUM(U14:X14)</f>
        <v>0</v>
      </c>
      <c r="U14" s="33">
        <v>0</v>
      </c>
      <c r="V14" s="33">
        <v>0</v>
      </c>
      <c r="W14" s="33">
        <v>0</v>
      </c>
      <c r="X14" s="33">
        <v>0</v>
      </c>
      <c r="Y14" s="23">
        <f t="shared" ref="Y14:Y24" si="3">SUM(Z14:AC14)</f>
        <v>0</v>
      </c>
      <c r="Z14" s="33">
        <v>0</v>
      </c>
      <c r="AA14" s="33">
        <v>0</v>
      </c>
      <c r="AB14" s="33">
        <v>0</v>
      </c>
      <c r="AC14" s="33">
        <v>0</v>
      </c>
      <c r="AD14" s="33">
        <f t="shared" ref="AD14:AD16" si="4">SUM(Y14,T14,O14,J14,E14)</f>
        <v>0</v>
      </c>
      <c r="AE14" s="27"/>
    </row>
    <row r="15" spans="1:31" s="1" customFormat="1" ht="83.45" customHeight="1" x14ac:dyDescent="0.25">
      <c r="A15" s="84" t="s">
        <v>199</v>
      </c>
      <c r="B15" s="88" t="s">
        <v>19</v>
      </c>
      <c r="C15" s="104"/>
      <c r="D15" s="103"/>
      <c r="E15" s="23">
        <f>SUM(F15:G15)</f>
        <v>354602</v>
      </c>
      <c r="F15" s="23">
        <v>244730</v>
      </c>
      <c r="G15" s="23">
        <v>109872</v>
      </c>
      <c r="H15" s="23">
        <v>0</v>
      </c>
      <c r="I15" s="23">
        <v>0</v>
      </c>
      <c r="J15" s="23">
        <f>SUM(K15:L15)</f>
        <v>385054</v>
      </c>
      <c r="K15" s="23">
        <f>387249-2611+416</f>
        <v>385054</v>
      </c>
      <c r="L15" s="23">
        <v>0</v>
      </c>
      <c r="M15" s="23">
        <v>0</v>
      </c>
      <c r="N15" s="23">
        <v>0</v>
      </c>
      <c r="O15" s="23">
        <f>SUM(P15:Q15)</f>
        <v>422164</v>
      </c>
      <c r="P15" s="33">
        <f>407130+17631-2597</f>
        <v>422164</v>
      </c>
      <c r="Q15" s="33">
        <v>0</v>
      </c>
      <c r="R15" s="33">
        <v>0</v>
      </c>
      <c r="S15" s="33">
        <v>0</v>
      </c>
      <c r="T15" s="23">
        <f>SUM(U15:V15)</f>
        <v>448248</v>
      </c>
      <c r="U15" s="33">
        <f>407878+17631+15237+4449+3053</f>
        <v>448248</v>
      </c>
      <c r="V15" s="33">
        <v>0</v>
      </c>
      <c r="W15" s="33">
        <v>0</v>
      </c>
      <c r="X15" s="33">
        <v>0</v>
      </c>
      <c r="Y15" s="73">
        <f>SUM(Z15:AA15)</f>
        <v>491726</v>
      </c>
      <c r="Z15" s="74">
        <f>407878+17631+15237+31416+11327+1401+6418+418</f>
        <v>491726</v>
      </c>
      <c r="AA15" s="33">
        <v>0</v>
      </c>
      <c r="AB15" s="33">
        <v>0</v>
      </c>
      <c r="AC15" s="33">
        <v>0</v>
      </c>
      <c r="AD15" s="74">
        <f t="shared" si="4"/>
        <v>2101794</v>
      </c>
      <c r="AE15" s="27"/>
    </row>
    <row r="16" spans="1:31" s="1" customFormat="1" ht="131.25" customHeight="1" x14ac:dyDescent="0.25">
      <c r="A16" s="84" t="s">
        <v>200</v>
      </c>
      <c r="B16" s="88" t="s">
        <v>192</v>
      </c>
      <c r="C16" s="105"/>
      <c r="D16" s="78" t="s">
        <v>305</v>
      </c>
      <c r="E16" s="23"/>
      <c r="F16" s="23"/>
      <c r="G16" s="23"/>
      <c r="H16" s="23"/>
      <c r="I16" s="23"/>
      <c r="J16" s="23">
        <f>SUM(K16:L16)</f>
        <v>6823</v>
      </c>
      <c r="K16" s="23">
        <v>6823</v>
      </c>
      <c r="L16" s="23">
        <v>0</v>
      </c>
      <c r="M16" s="23">
        <v>0</v>
      </c>
      <c r="N16" s="23">
        <v>0</v>
      </c>
      <c r="O16" s="23">
        <f>SUM(P16:Q16)</f>
        <v>30929</v>
      </c>
      <c r="P16" s="33">
        <f>19564+424+10941</f>
        <v>30929</v>
      </c>
      <c r="Q16" s="33">
        <v>0</v>
      </c>
      <c r="R16" s="33">
        <v>0</v>
      </c>
      <c r="S16" s="33">
        <v>0</v>
      </c>
      <c r="T16" s="23">
        <f>SUM(U16:V16)</f>
        <v>17586</v>
      </c>
      <c r="U16" s="33">
        <f>24691-7105</f>
        <v>17586</v>
      </c>
      <c r="V16" s="33">
        <v>0</v>
      </c>
      <c r="W16" s="33">
        <v>0</v>
      </c>
      <c r="X16" s="33">
        <v>0</v>
      </c>
      <c r="Y16" s="23">
        <f t="shared" ref="Y16:Y17" si="5">SUM(Z16:AA16)</f>
        <v>0</v>
      </c>
      <c r="Z16" s="33">
        <v>0</v>
      </c>
      <c r="AA16" s="33">
        <v>0</v>
      </c>
      <c r="AB16" s="33">
        <v>0</v>
      </c>
      <c r="AC16" s="33">
        <v>0</v>
      </c>
      <c r="AD16" s="33">
        <f t="shared" si="4"/>
        <v>55338</v>
      </c>
      <c r="AE16" s="27"/>
    </row>
    <row r="17" spans="1:31" s="1" customFormat="1" ht="107.25" customHeight="1" x14ac:dyDescent="0.25">
      <c r="A17" s="84" t="s">
        <v>24</v>
      </c>
      <c r="B17" s="88" t="s">
        <v>313</v>
      </c>
      <c r="C17" s="84" t="s">
        <v>314</v>
      </c>
      <c r="D17" s="78" t="s">
        <v>44</v>
      </c>
      <c r="E17" s="23">
        <f>SUM(F17:G17)</f>
        <v>1669.6</v>
      </c>
      <c r="F17" s="23">
        <f>1737.1-67.5</f>
        <v>1669.6</v>
      </c>
      <c r="G17" s="23">
        <v>0</v>
      </c>
      <c r="H17" s="23">
        <v>0</v>
      </c>
      <c r="I17" s="23">
        <v>0</v>
      </c>
      <c r="J17" s="23">
        <f>SUM(K17:L17)</f>
        <v>93</v>
      </c>
      <c r="K17" s="23">
        <f>0+93</f>
        <v>93</v>
      </c>
      <c r="L17" s="23">
        <v>0</v>
      </c>
      <c r="M17" s="23">
        <v>0</v>
      </c>
      <c r="N17" s="23">
        <v>0</v>
      </c>
      <c r="O17" s="23">
        <f>SUM(P17:Q17)</f>
        <v>1526</v>
      </c>
      <c r="P17" s="23">
        <v>1526</v>
      </c>
      <c r="Q17" s="23">
        <v>0</v>
      </c>
      <c r="R17" s="23">
        <v>0</v>
      </c>
      <c r="S17" s="23">
        <v>0</v>
      </c>
      <c r="T17" s="23">
        <v>0</v>
      </c>
      <c r="U17" s="23">
        <v>0</v>
      </c>
      <c r="V17" s="23">
        <v>0</v>
      </c>
      <c r="W17" s="23">
        <v>0</v>
      </c>
      <c r="X17" s="23">
        <v>0</v>
      </c>
      <c r="Y17" s="23">
        <f t="shared" si="5"/>
        <v>150</v>
      </c>
      <c r="Z17" s="23">
        <v>150</v>
      </c>
      <c r="AA17" s="23">
        <v>0</v>
      </c>
      <c r="AB17" s="23">
        <v>0</v>
      </c>
      <c r="AC17" s="23">
        <v>0</v>
      </c>
      <c r="AD17" s="33">
        <f t="shared" ref="AD17:AD23" si="6">SUM(Y17,T17,O17,J17,E17)</f>
        <v>3438.6</v>
      </c>
      <c r="AE17" s="27"/>
    </row>
    <row r="18" spans="1:31" s="1" customFormat="1" ht="157.5" customHeight="1" x14ac:dyDescent="0.25">
      <c r="A18" s="84" t="s">
        <v>25</v>
      </c>
      <c r="B18" s="88" t="s">
        <v>26</v>
      </c>
      <c r="C18" s="84" t="s">
        <v>74</v>
      </c>
      <c r="D18" s="83" t="s">
        <v>44</v>
      </c>
      <c r="E18" s="23">
        <f>SUM(F18:G18)</f>
        <v>409</v>
      </c>
      <c r="F18" s="23">
        <v>409</v>
      </c>
      <c r="G18" s="23">
        <v>0</v>
      </c>
      <c r="H18" s="23">
        <v>0</v>
      </c>
      <c r="I18" s="23">
        <v>0</v>
      </c>
      <c r="J18" s="23">
        <f>SUM(K18:L18)</f>
        <v>337</v>
      </c>
      <c r="K18" s="23">
        <v>337</v>
      </c>
      <c r="L18" s="23">
        <v>0</v>
      </c>
      <c r="M18" s="23">
        <v>0</v>
      </c>
      <c r="N18" s="23">
        <v>0</v>
      </c>
      <c r="O18" s="23">
        <f>SUM(P18:Q18)</f>
        <v>180.48000000000002</v>
      </c>
      <c r="P18" s="23">
        <f>265.88+5.6-91</f>
        <v>180.48000000000002</v>
      </c>
      <c r="Q18" s="23">
        <v>0</v>
      </c>
      <c r="R18" s="23">
        <v>0</v>
      </c>
      <c r="S18" s="23">
        <v>0</v>
      </c>
      <c r="T18" s="23">
        <f t="shared" si="2"/>
        <v>144</v>
      </c>
      <c r="U18" s="23">
        <f>124+12+136+4-114-18</f>
        <v>144</v>
      </c>
      <c r="V18" s="23">
        <v>0</v>
      </c>
      <c r="W18" s="23">
        <v>0</v>
      </c>
      <c r="X18" s="23">
        <v>0</v>
      </c>
      <c r="Y18" s="23">
        <f t="shared" si="3"/>
        <v>211</v>
      </c>
      <c r="Z18" s="23">
        <f>316-53-52</f>
        <v>211</v>
      </c>
      <c r="AA18" s="23">
        <v>0</v>
      </c>
      <c r="AB18" s="23">
        <v>0</v>
      </c>
      <c r="AC18" s="23">
        <v>0</v>
      </c>
      <c r="AD18" s="33">
        <f t="shared" si="6"/>
        <v>1281.48</v>
      </c>
      <c r="AE18" s="27"/>
    </row>
    <row r="19" spans="1:31" s="1" customFormat="1" ht="162" customHeight="1" x14ac:dyDescent="0.25">
      <c r="A19" s="84" t="s">
        <v>36</v>
      </c>
      <c r="B19" s="34" t="s">
        <v>277</v>
      </c>
      <c r="C19" s="84" t="s">
        <v>117</v>
      </c>
      <c r="D19" s="83" t="s">
        <v>44</v>
      </c>
      <c r="E19" s="23">
        <f>SUM(F19:G19)</f>
        <v>8700</v>
      </c>
      <c r="F19" s="23">
        <v>8700</v>
      </c>
      <c r="G19" s="23">
        <v>0</v>
      </c>
      <c r="H19" s="23">
        <v>0</v>
      </c>
      <c r="I19" s="23">
        <v>0</v>
      </c>
      <c r="J19" s="23">
        <f>SUM(K19:L19)</f>
        <v>7910</v>
      </c>
      <c r="K19" s="23">
        <f>8251-341</f>
        <v>7910</v>
      </c>
      <c r="L19" s="23">
        <v>0</v>
      </c>
      <c r="M19" s="23">
        <v>0</v>
      </c>
      <c r="N19" s="23">
        <v>0</v>
      </c>
      <c r="O19" s="23">
        <f>SUM(P19:Q19)</f>
        <v>0</v>
      </c>
      <c r="P19" s="23">
        <v>0</v>
      </c>
      <c r="Q19" s="23">
        <v>0</v>
      </c>
      <c r="R19" s="23">
        <v>0</v>
      </c>
      <c r="S19" s="23">
        <v>0</v>
      </c>
      <c r="T19" s="23">
        <f t="shared" si="2"/>
        <v>16003</v>
      </c>
      <c r="U19" s="23">
        <v>16003</v>
      </c>
      <c r="V19" s="23">
        <v>0</v>
      </c>
      <c r="W19" s="23">
        <v>0</v>
      </c>
      <c r="X19" s="23">
        <v>0</v>
      </c>
      <c r="Y19" s="23">
        <f t="shared" si="3"/>
        <v>3364</v>
      </c>
      <c r="Z19" s="23">
        <f>1008+2356</f>
        <v>3364</v>
      </c>
      <c r="AA19" s="23">
        <v>0</v>
      </c>
      <c r="AB19" s="23">
        <v>0</v>
      </c>
      <c r="AC19" s="23">
        <v>0</v>
      </c>
      <c r="AD19" s="33">
        <f>SUM(Y19,T19,O19,J19,E19)</f>
        <v>35977</v>
      </c>
      <c r="AE19" s="27"/>
    </row>
    <row r="20" spans="1:31" s="1" customFormat="1" ht="71.25" customHeight="1" x14ac:dyDescent="0.25">
      <c r="A20" s="84" t="s">
        <v>47</v>
      </c>
      <c r="B20" s="88" t="s">
        <v>46</v>
      </c>
      <c r="C20" s="84" t="s">
        <v>310</v>
      </c>
      <c r="D20" s="83" t="s">
        <v>303</v>
      </c>
      <c r="E20" s="23">
        <f t="shared" si="0"/>
        <v>0</v>
      </c>
      <c r="F20" s="23">
        <v>0</v>
      </c>
      <c r="G20" s="23">
        <v>0</v>
      </c>
      <c r="H20" s="23">
        <v>0</v>
      </c>
      <c r="I20" s="23">
        <v>0</v>
      </c>
      <c r="J20" s="23">
        <f t="shared" si="1"/>
        <v>297</v>
      </c>
      <c r="K20" s="23">
        <v>297</v>
      </c>
      <c r="L20" s="23">
        <v>0</v>
      </c>
      <c r="M20" s="23">
        <v>0</v>
      </c>
      <c r="N20" s="23">
        <v>0</v>
      </c>
      <c r="O20" s="23">
        <f t="shared" ref="O20:O24" si="7">SUM(P20:S20)</f>
        <v>837</v>
      </c>
      <c r="P20" s="33">
        <f>591+246</f>
        <v>837</v>
      </c>
      <c r="Q20" s="33">
        <v>0</v>
      </c>
      <c r="R20" s="33">
        <v>0</v>
      </c>
      <c r="S20" s="33">
        <v>0</v>
      </c>
      <c r="T20" s="23">
        <f t="shared" si="2"/>
        <v>499</v>
      </c>
      <c r="U20" s="23">
        <f>574-75</f>
        <v>499</v>
      </c>
      <c r="V20" s="23">
        <v>0</v>
      </c>
      <c r="W20" s="23">
        <v>0</v>
      </c>
      <c r="X20" s="23">
        <v>0</v>
      </c>
      <c r="Y20" s="23">
        <f t="shared" si="3"/>
        <v>0</v>
      </c>
      <c r="Z20" s="23">
        <v>0</v>
      </c>
      <c r="AA20" s="23">
        <v>0</v>
      </c>
      <c r="AB20" s="23">
        <v>0</v>
      </c>
      <c r="AC20" s="23">
        <v>0</v>
      </c>
      <c r="AD20" s="33">
        <f t="shared" si="6"/>
        <v>1633</v>
      </c>
      <c r="AE20" s="27"/>
    </row>
    <row r="21" spans="1:31" s="1" customFormat="1" ht="37.9" customHeight="1" x14ac:dyDescent="0.25">
      <c r="A21" s="84" t="s">
        <v>48</v>
      </c>
      <c r="B21" s="88" t="s">
        <v>164</v>
      </c>
      <c r="C21" s="84" t="s">
        <v>75</v>
      </c>
      <c r="D21" s="83" t="s">
        <v>227</v>
      </c>
      <c r="E21" s="23">
        <f t="shared" si="0"/>
        <v>0</v>
      </c>
      <c r="F21" s="23">
        <v>0</v>
      </c>
      <c r="G21" s="23">
        <v>0</v>
      </c>
      <c r="H21" s="23">
        <v>0</v>
      </c>
      <c r="I21" s="23">
        <v>0</v>
      </c>
      <c r="J21" s="23">
        <f t="shared" si="1"/>
        <v>0</v>
      </c>
      <c r="K21" s="23">
        <v>0</v>
      </c>
      <c r="L21" s="23">
        <v>0</v>
      </c>
      <c r="M21" s="23">
        <v>0</v>
      </c>
      <c r="N21" s="23">
        <v>0</v>
      </c>
      <c r="O21" s="23">
        <f t="shared" si="7"/>
        <v>0</v>
      </c>
      <c r="P21" s="33">
        <v>0</v>
      </c>
      <c r="Q21" s="33">
        <v>0</v>
      </c>
      <c r="R21" s="33">
        <v>0</v>
      </c>
      <c r="S21" s="33">
        <v>0</v>
      </c>
      <c r="T21" s="23">
        <f t="shared" si="2"/>
        <v>0</v>
      </c>
      <c r="U21" s="23">
        <v>0</v>
      </c>
      <c r="V21" s="23">
        <v>0</v>
      </c>
      <c r="W21" s="23">
        <v>0</v>
      </c>
      <c r="X21" s="23">
        <v>0</v>
      </c>
      <c r="Y21" s="23">
        <f t="shared" si="3"/>
        <v>0</v>
      </c>
      <c r="Z21" s="23">
        <v>0</v>
      </c>
      <c r="AA21" s="23">
        <v>0</v>
      </c>
      <c r="AB21" s="23">
        <v>0</v>
      </c>
      <c r="AC21" s="23">
        <v>0</v>
      </c>
      <c r="AD21" s="33">
        <f t="shared" si="6"/>
        <v>0</v>
      </c>
      <c r="AE21" s="27"/>
    </row>
    <row r="22" spans="1:31" s="1" customFormat="1" ht="283.5" customHeight="1" x14ac:dyDescent="0.25">
      <c r="A22" s="100" t="s">
        <v>49</v>
      </c>
      <c r="B22" s="88" t="s">
        <v>264</v>
      </c>
      <c r="C22" s="84" t="s">
        <v>315</v>
      </c>
      <c r="D22" s="83" t="s">
        <v>44</v>
      </c>
      <c r="E22" s="23">
        <v>0</v>
      </c>
      <c r="F22" s="23">
        <v>0</v>
      </c>
      <c r="G22" s="23">
        <v>0</v>
      </c>
      <c r="H22" s="23">
        <v>0</v>
      </c>
      <c r="I22" s="23">
        <v>0</v>
      </c>
      <c r="J22" s="23">
        <f>SUM(K22:N22)</f>
        <v>0</v>
      </c>
      <c r="K22" s="23">
        <v>0</v>
      </c>
      <c r="L22" s="82"/>
      <c r="M22" s="23">
        <v>0</v>
      </c>
      <c r="N22" s="23">
        <v>0</v>
      </c>
      <c r="O22" s="23">
        <v>563.99</v>
      </c>
      <c r="P22" s="33">
        <v>563.99</v>
      </c>
      <c r="Q22" s="33">
        <v>0</v>
      </c>
      <c r="R22" s="33">
        <v>0</v>
      </c>
      <c r="S22" s="33">
        <v>0</v>
      </c>
      <c r="T22" s="23">
        <f>SUM(U22:W22)</f>
        <v>44.97</v>
      </c>
      <c r="U22" s="23">
        <v>44.97</v>
      </c>
      <c r="V22" s="23">
        <v>0</v>
      </c>
      <c r="W22" s="23">
        <v>0</v>
      </c>
      <c r="X22" s="23">
        <v>0</v>
      </c>
      <c r="Y22" s="73">
        <f>SUM(Z22:AC22)</f>
        <v>1994</v>
      </c>
      <c r="Z22" s="73">
        <v>1994</v>
      </c>
      <c r="AA22" s="23">
        <v>0</v>
      </c>
      <c r="AB22" s="23">
        <v>0</v>
      </c>
      <c r="AC22" s="23">
        <v>0</v>
      </c>
      <c r="AD22" s="33">
        <f t="shared" si="6"/>
        <v>2602.96</v>
      </c>
      <c r="AE22" s="27"/>
    </row>
    <row r="23" spans="1:31" s="1" customFormat="1" ht="92.25" customHeight="1" x14ac:dyDescent="0.25">
      <c r="A23" s="105"/>
      <c r="B23" s="88" t="s">
        <v>285</v>
      </c>
      <c r="C23" s="84" t="s">
        <v>316</v>
      </c>
      <c r="D23" s="83" t="s">
        <v>269</v>
      </c>
      <c r="E23" s="23"/>
      <c r="F23" s="23"/>
      <c r="G23" s="23"/>
      <c r="H23" s="23"/>
      <c r="I23" s="23"/>
      <c r="J23" s="23">
        <f>SUM(K23:N23)</f>
        <v>5736</v>
      </c>
      <c r="K23" s="23">
        <v>574</v>
      </c>
      <c r="L23" s="23">
        <v>723</v>
      </c>
      <c r="M23" s="23">
        <v>4439</v>
      </c>
      <c r="N23" s="23">
        <v>0</v>
      </c>
      <c r="O23" s="23"/>
      <c r="P23" s="33"/>
      <c r="Q23" s="33"/>
      <c r="R23" s="33"/>
      <c r="S23" s="33"/>
      <c r="T23" s="23">
        <f>SUM(U23:W23)</f>
        <v>5735.32</v>
      </c>
      <c r="U23" s="23">
        <f>574-0.47</f>
        <v>573.53</v>
      </c>
      <c r="V23" s="23">
        <v>722.65</v>
      </c>
      <c r="W23" s="23">
        <v>4439.1400000000003</v>
      </c>
      <c r="X23" s="23">
        <v>0</v>
      </c>
      <c r="Y23" s="23"/>
      <c r="Z23" s="23"/>
      <c r="AA23" s="23"/>
      <c r="AB23" s="23"/>
      <c r="AC23" s="23"/>
      <c r="AD23" s="33">
        <f t="shared" si="6"/>
        <v>11471.32</v>
      </c>
      <c r="AE23" s="64"/>
    </row>
    <row r="24" spans="1:31" s="1" customFormat="1" ht="71.25" customHeight="1" x14ac:dyDescent="0.25">
      <c r="A24" s="84" t="s">
        <v>131</v>
      </c>
      <c r="B24" s="88" t="s">
        <v>124</v>
      </c>
      <c r="C24" s="84" t="s">
        <v>78</v>
      </c>
      <c r="D24" s="83" t="s">
        <v>223</v>
      </c>
      <c r="E24" s="23">
        <f t="shared" si="0"/>
        <v>240</v>
      </c>
      <c r="F24" s="23">
        <v>240</v>
      </c>
      <c r="G24" s="23">
        <v>0</v>
      </c>
      <c r="H24" s="23">
        <v>0</v>
      </c>
      <c r="I24" s="23">
        <v>0</v>
      </c>
      <c r="J24" s="23">
        <f t="shared" si="1"/>
        <v>0</v>
      </c>
      <c r="K24" s="23">
        <f>150-150</f>
        <v>0</v>
      </c>
      <c r="L24" s="23">
        <v>0</v>
      </c>
      <c r="M24" s="23">
        <v>0</v>
      </c>
      <c r="N24" s="23">
        <v>0</v>
      </c>
      <c r="O24" s="23">
        <f t="shared" si="7"/>
        <v>0</v>
      </c>
      <c r="P24" s="33">
        <v>0</v>
      </c>
      <c r="Q24" s="33">
        <v>0</v>
      </c>
      <c r="R24" s="33">
        <v>0</v>
      </c>
      <c r="S24" s="33">
        <v>0</v>
      </c>
      <c r="T24" s="23">
        <f t="shared" si="2"/>
        <v>0</v>
      </c>
      <c r="U24" s="33">
        <v>0</v>
      </c>
      <c r="V24" s="33">
        <v>0</v>
      </c>
      <c r="W24" s="33">
        <v>0</v>
      </c>
      <c r="X24" s="33">
        <v>0</v>
      </c>
      <c r="Y24" s="23">
        <f t="shared" si="3"/>
        <v>0</v>
      </c>
      <c r="Z24" s="33">
        <v>0</v>
      </c>
      <c r="AA24" s="33">
        <v>0</v>
      </c>
      <c r="AB24" s="33">
        <v>0</v>
      </c>
      <c r="AC24" s="33">
        <v>0</v>
      </c>
      <c r="AD24" s="33">
        <f>SUM(Y24,T24,O24,J24,E24)</f>
        <v>240</v>
      </c>
      <c r="AE24" s="27"/>
    </row>
    <row r="25" spans="1:31" s="1" customFormat="1" ht="82.9" customHeight="1" x14ac:dyDescent="0.25">
      <c r="A25" s="84" t="s">
        <v>132</v>
      </c>
      <c r="B25" s="88" t="s">
        <v>165</v>
      </c>
      <c r="C25" s="84" t="s">
        <v>262</v>
      </c>
      <c r="D25" s="83" t="s">
        <v>44</v>
      </c>
      <c r="E25" s="23">
        <f t="shared" ref="E25" si="8">SUM(F25:I25)</f>
        <v>0</v>
      </c>
      <c r="F25" s="23">
        <v>0</v>
      </c>
      <c r="G25" s="23">
        <v>0</v>
      </c>
      <c r="H25" s="23">
        <v>0</v>
      </c>
      <c r="I25" s="23">
        <v>0</v>
      </c>
      <c r="J25" s="23">
        <f t="shared" ref="J25" si="9">SUM(K25:N25)</f>
        <v>0</v>
      </c>
      <c r="K25" s="23">
        <v>0</v>
      </c>
      <c r="L25" s="23">
        <v>0</v>
      </c>
      <c r="M25" s="23">
        <v>0</v>
      </c>
      <c r="N25" s="23">
        <v>0</v>
      </c>
      <c r="O25" s="23">
        <f t="shared" ref="O25" si="10">SUM(P25:S25)</f>
        <v>0</v>
      </c>
      <c r="P25" s="33">
        <v>0</v>
      </c>
      <c r="Q25" s="33">
        <v>0</v>
      </c>
      <c r="R25" s="33">
        <v>0</v>
      </c>
      <c r="S25" s="33">
        <v>0</v>
      </c>
      <c r="T25" s="23">
        <f t="shared" ref="T25:T26" si="11">SUM(U25:X25)</f>
        <v>0</v>
      </c>
      <c r="U25" s="33">
        <v>0</v>
      </c>
      <c r="V25" s="33">
        <v>0</v>
      </c>
      <c r="W25" s="33">
        <v>0</v>
      </c>
      <c r="X25" s="33">
        <v>0</v>
      </c>
      <c r="Y25" s="23">
        <f t="shared" ref="Y25:Y26" si="12">SUM(Z25:AC25)</f>
        <v>0</v>
      </c>
      <c r="Z25" s="33">
        <v>0</v>
      </c>
      <c r="AA25" s="33">
        <v>0</v>
      </c>
      <c r="AB25" s="33">
        <v>0</v>
      </c>
      <c r="AC25" s="33">
        <v>0</v>
      </c>
      <c r="AD25" s="33">
        <f t="shared" ref="AD25:AD26" si="13">SUM(Y25,T25,O25,J25,E25)</f>
        <v>0</v>
      </c>
      <c r="AE25" s="27"/>
    </row>
    <row r="26" spans="1:31" s="1" customFormat="1" ht="82.9" customHeight="1" x14ac:dyDescent="0.25">
      <c r="A26" s="84" t="s">
        <v>254</v>
      </c>
      <c r="B26" s="88" t="s">
        <v>255</v>
      </c>
      <c r="C26" s="84" t="s">
        <v>33</v>
      </c>
      <c r="D26" s="83" t="s">
        <v>227</v>
      </c>
      <c r="E26" s="23"/>
      <c r="F26" s="23"/>
      <c r="G26" s="23"/>
      <c r="H26" s="23"/>
      <c r="I26" s="23"/>
      <c r="J26" s="23"/>
      <c r="K26" s="23"/>
      <c r="L26" s="23"/>
      <c r="M26" s="23"/>
      <c r="N26" s="23"/>
      <c r="O26" s="23"/>
      <c r="P26" s="33"/>
      <c r="Q26" s="33"/>
      <c r="R26" s="33"/>
      <c r="S26" s="33"/>
      <c r="T26" s="23">
        <f t="shared" si="11"/>
        <v>587.66</v>
      </c>
      <c r="U26" s="33">
        <f>2916-2300-28.34</f>
        <v>587.66</v>
      </c>
      <c r="V26" s="33">
        <v>0</v>
      </c>
      <c r="W26" s="33">
        <v>0</v>
      </c>
      <c r="X26" s="33">
        <v>0</v>
      </c>
      <c r="Y26" s="23">
        <f t="shared" si="12"/>
        <v>1602</v>
      </c>
      <c r="Z26" s="33">
        <f>5831-2292-906-1031</f>
        <v>1602</v>
      </c>
      <c r="AA26" s="33">
        <v>0</v>
      </c>
      <c r="AB26" s="33">
        <v>0</v>
      </c>
      <c r="AC26" s="33">
        <v>0</v>
      </c>
      <c r="AD26" s="33">
        <f t="shared" si="13"/>
        <v>2189.66</v>
      </c>
      <c r="AE26" s="27"/>
    </row>
    <row r="27" spans="1:31" s="3" customFormat="1" ht="28.9" customHeight="1" x14ac:dyDescent="0.25">
      <c r="A27" s="35"/>
      <c r="B27" s="85" t="s">
        <v>72</v>
      </c>
      <c r="C27" s="85"/>
      <c r="D27" s="36"/>
      <c r="E27" s="32">
        <f t="shared" ref="E27:S27" si="14">SUM(E13:E25)</f>
        <v>826317.6</v>
      </c>
      <c r="F27" s="32">
        <f t="shared" si="14"/>
        <v>582371.6</v>
      </c>
      <c r="G27" s="32">
        <f t="shared" si="14"/>
        <v>243946</v>
      </c>
      <c r="H27" s="32">
        <f t="shared" si="14"/>
        <v>0</v>
      </c>
      <c r="I27" s="32">
        <f t="shared" si="14"/>
        <v>0</v>
      </c>
      <c r="J27" s="32">
        <f t="shared" si="14"/>
        <v>897054</v>
      </c>
      <c r="K27" s="32">
        <f t="shared" si="14"/>
        <v>891892</v>
      </c>
      <c r="L27" s="32">
        <f t="shared" si="14"/>
        <v>723</v>
      </c>
      <c r="M27" s="32">
        <f t="shared" si="14"/>
        <v>4439</v>
      </c>
      <c r="N27" s="32">
        <f t="shared" si="14"/>
        <v>0</v>
      </c>
      <c r="O27" s="32">
        <f t="shared" si="14"/>
        <v>965849.47</v>
      </c>
      <c r="P27" s="32">
        <f t="shared" si="14"/>
        <v>965849.47</v>
      </c>
      <c r="Q27" s="32">
        <f t="shared" si="14"/>
        <v>0</v>
      </c>
      <c r="R27" s="32">
        <f t="shared" si="14"/>
        <v>0</v>
      </c>
      <c r="S27" s="32">
        <f t="shared" si="14"/>
        <v>0</v>
      </c>
      <c r="T27" s="32">
        <f t="shared" ref="T27:AC27" si="15">SUM(T13:T26)</f>
        <v>981004.8899999999</v>
      </c>
      <c r="U27" s="32">
        <f t="shared" si="15"/>
        <v>975843.1</v>
      </c>
      <c r="V27" s="32">
        <f t="shared" si="15"/>
        <v>722.65</v>
      </c>
      <c r="W27" s="32">
        <f t="shared" si="15"/>
        <v>4439.1400000000003</v>
      </c>
      <c r="X27" s="32">
        <f t="shared" si="15"/>
        <v>0</v>
      </c>
      <c r="Y27" s="32">
        <f t="shared" si="15"/>
        <v>1034907</v>
      </c>
      <c r="Z27" s="32">
        <f t="shared" si="15"/>
        <v>1034907</v>
      </c>
      <c r="AA27" s="32">
        <f t="shared" si="15"/>
        <v>0</v>
      </c>
      <c r="AB27" s="32">
        <f t="shared" si="15"/>
        <v>0</v>
      </c>
      <c r="AC27" s="32">
        <f t="shared" si="15"/>
        <v>0</v>
      </c>
      <c r="AD27" s="33">
        <f>SUM(Y27,T27,O27,J27,E27)</f>
        <v>4705132.96</v>
      </c>
      <c r="AE27" s="37"/>
    </row>
    <row r="28" spans="1:31" s="1" customFormat="1" ht="47.45" customHeight="1" x14ac:dyDescent="0.25">
      <c r="A28" s="29"/>
      <c r="B28" s="118" t="s">
        <v>111</v>
      </c>
      <c r="C28" s="118"/>
      <c r="D28" s="86"/>
      <c r="E28" s="32"/>
      <c r="F28" s="32"/>
      <c r="G28" s="32"/>
      <c r="H28" s="32"/>
      <c r="I28" s="32"/>
      <c r="J28" s="32"/>
      <c r="K28" s="32"/>
      <c r="L28" s="32"/>
      <c r="M28" s="32"/>
      <c r="N28" s="32"/>
      <c r="O28" s="32"/>
      <c r="P28" s="33"/>
      <c r="Q28" s="33"/>
      <c r="R28" s="33"/>
      <c r="S28" s="33"/>
      <c r="T28" s="33"/>
      <c r="U28" s="33"/>
      <c r="V28" s="33"/>
      <c r="W28" s="33"/>
      <c r="X28" s="33"/>
      <c r="Y28" s="33"/>
      <c r="Z28" s="33"/>
      <c r="AA28" s="33"/>
      <c r="AB28" s="33"/>
      <c r="AC28" s="33"/>
      <c r="AD28" s="33"/>
      <c r="AE28" s="27"/>
    </row>
    <row r="29" spans="1:31" s="1" customFormat="1" ht="127.5" customHeight="1" x14ac:dyDescent="0.25">
      <c r="A29" s="38" t="s">
        <v>3</v>
      </c>
      <c r="B29" s="88" t="s">
        <v>50</v>
      </c>
      <c r="C29" s="84" t="s">
        <v>317</v>
      </c>
      <c r="D29" s="83" t="s">
        <v>44</v>
      </c>
      <c r="E29" s="23">
        <f>SUM(F29:I29)</f>
        <v>0</v>
      </c>
      <c r="F29" s="23">
        <v>0</v>
      </c>
      <c r="G29" s="23">
        <v>0</v>
      </c>
      <c r="H29" s="23">
        <v>0</v>
      </c>
      <c r="I29" s="23">
        <v>0</v>
      </c>
      <c r="J29" s="23">
        <f>SUM(K29:N29)</f>
        <v>0</v>
      </c>
      <c r="K29" s="23">
        <v>0</v>
      </c>
      <c r="L29" s="23">
        <v>0</v>
      </c>
      <c r="M29" s="23">
        <v>0</v>
      </c>
      <c r="N29" s="23">
        <v>0</v>
      </c>
      <c r="O29" s="23">
        <f>SUM(P29:S29)</f>
        <v>0</v>
      </c>
      <c r="P29" s="23">
        <v>0</v>
      </c>
      <c r="Q29" s="23">
        <v>0</v>
      </c>
      <c r="R29" s="23">
        <v>0</v>
      </c>
      <c r="S29" s="23">
        <v>0</v>
      </c>
      <c r="T29" s="23">
        <f>SUM(U29:X29)</f>
        <v>0</v>
      </c>
      <c r="U29" s="23">
        <v>0</v>
      </c>
      <c r="V29" s="23">
        <v>0</v>
      </c>
      <c r="W29" s="23">
        <v>0</v>
      </c>
      <c r="X29" s="23">
        <v>0</v>
      </c>
      <c r="Y29" s="23">
        <f>SUM(Z29:AC29)</f>
        <v>0</v>
      </c>
      <c r="Z29" s="23">
        <v>0</v>
      </c>
      <c r="AA29" s="23">
        <v>0</v>
      </c>
      <c r="AB29" s="23">
        <v>0</v>
      </c>
      <c r="AC29" s="23">
        <v>0</v>
      </c>
      <c r="AD29" s="33">
        <f>SUM(Y29,T29,O29,J29,E29)</f>
        <v>0</v>
      </c>
      <c r="AE29" s="27"/>
    </row>
    <row r="30" spans="1:31" s="1" customFormat="1" ht="95.25" customHeight="1" x14ac:dyDescent="0.25">
      <c r="A30" s="84" t="s">
        <v>4</v>
      </c>
      <c r="B30" s="88" t="s">
        <v>118</v>
      </c>
      <c r="C30" s="84" t="s">
        <v>75</v>
      </c>
      <c r="D30" s="83" t="s">
        <v>44</v>
      </c>
      <c r="E30" s="23">
        <f>SUM(F30:I30)</f>
        <v>0</v>
      </c>
      <c r="F30" s="23">
        <v>0</v>
      </c>
      <c r="G30" s="23">
        <v>0</v>
      </c>
      <c r="H30" s="23">
        <v>0</v>
      </c>
      <c r="I30" s="23">
        <v>0</v>
      </c>
      <c r="J30" s="23">
        <f>SUM(K30:N30)</f>
        <v>0</v>
      </c>
      <c r="K30" s="23">
        <v>0</v>
      </c>
      <c r="L30" s="23">
        <v>0</v>
      </c>
      <c r="M30" s="23">
        <v>0</v>
      </c>
      <c r="N30" s="23">
        <v>0</v>
      </c>
      <c r="O30" s="23">
        <f>SUM(P30:S30)</f>
        <v>0</v>
      </c>
      <c r="P30" s="23">
        <v>0</v>
      </c>
      <c r="Q30" s="23">
        <v>0</v>
      </c>
      <c r="R30" s="23">
        <v>0</v>
      </c>
      <c r="S30" s="23">
        <v>0</v>
      </c>
      <c r="T30" s="23">
        <f>SUM(U30:X30)</f>
        <v>0</v>
      </c>
      <c r="U30" s="23">
        <v>0</v>
      </c>
      <c r="V30" s="23">
        <v>0</v>
      </c>
      <c r="W30" s="23">
        <v>0</v>
      </c>
      <c r="X30" s="23">
        <v>0</v>
      </c>
      <c r="Y30" s="23">
        <f>SUM(Z30:AC30)</f>
        <v>0</v>
      </c>
      <c r="Z30" s="23">
        <v>0</v>
      </c>
      <c r="AA30" s="23">
        <v>0</v>
      </c>
      <c r="AB30" s="23">
        <v>0</v>
      </c>
      <c r="AC30" s="23">
        <v>0</v>
      </c>
      <c r="AD30" s="33">
        <f>SUM(Y30,T30,O30,J30,E30)</f>
        <v>0</v>
      </c>
      <c r="AE30" s="27"/>
    </row>
    <row r="31" spans="1:31" s="1" customFormat="1" ht="73.5" customHeight="1" x14ac:dyDescent="0.25">
      <c r="A31" s="84" t="s">
        <v>5</v>
      </c>
      <c r="B31" s="88" t="s">
        <v>88</v>
      </c>
      <c r="C31" s="84" t="s">
        <v>125</v>
      </c>
      <c r="D31" s="83" t="s">
        <v>44</v>
      </c>
      <c r="E31" s="23">
        <v>0</v>
      </c>
      <c r="F31" s="23">
        <v>0</v>
      </c>
      <c r="G31" s="23">
        <v>0</v>
      </c>
      <c r="H31" s="23">
        <v>0</v>
      </c>
      <c r="I31" s="23">
        <v>0</v>
      </c>
      <c r="J31" s="23">
        <v>0</v>
      </c>
      <c r="K31" s="23">
        <v>0</v>
      </c>
      <c r="L31" s="23">
        <v>0</v>
      </c>
      <c r="M31" s="23">
        <v>0</v>
      </c>
      <c r="N31" s="23">
        <v>0</v>
      </c>
      <c r="O31" s="23">
        <f>SUM(P31:S31)</f>
        <v>0</v>
      </c>
      <c r="P31" s="23">
        <v>0</v>
      </c>
      <c r="Q31" s="23">
        <v>0</v>
      </c>
      <c r="R31" s="23">
        <v>0</v>
      </c>
      <c r="S31" s="23">
        <v>0</v>
      </c>
      <c r="T31" s="23">
        <f>SUM(U31:X31)</f>
        <v>0</v>
      </c>
      <c r="U31" s="23">
        <v>0</v>
      </c>
      <c r="V31" s="23">
        <v>0</v>
      </c>
      <c r="W31" s="23">
        <v>0</v>
      </c>
      <c r="X31" s="23">
        <v>0</v>
      </c>
      <c r="Y31" s="23">
        <f>SUM(Z31:AC31)</f>
        <v>0</v>
      </c>
      <c r="Z31" s="23">
        <v>0</v>
      </c>
      <c r="AA31" s="23">
        <v>0</v>
      </c>
      <c r="AB31" s="23">
        <v>0</v>
      </c>
      <c r="AC31" s="23">
        <v>0</v>
      </c>
      <c r="AD31" s="33">
        <f>SUM(Y31,T31,O31,J31,E31)</f>
        <v>0</v>
      </c>
      <c r="AE31" s="27"/>
    </row>
    <row r="32" spans="1:31" s="1" customFormat="1" ht="85.15" customHeight="1" x14ac:dyDescent="0.25">
      <c r="A32" s="84" t="s">
        <v>6</v>
      </c>
      <c r="B32" s="88" t="s">
        <v>166</v>
      </c>
      <c r="C32" s="84" t="s">
        <v>167</v>
      </c>
      <c r="D32" s="83" t="s">
        <v>44</v>
      </c>
      <c r="E32" s="23">
        <f>SUM(F32:I32)</f>
        <v>0</v>
      </c>
      <c r="F32" s="23">
        <v>0</v>
      </c>
      <c r="G32" s="23">
        <v>0</v>
      </c>
      <c r="H32" s="23">
        <v>0</v>
      </c>
      <c r="I32" s="23">
        <v>0</v>
      </c>
      <c r="J32" s="23">
        <f>SUM(K32:N32)</f>
        <v>0</v>
      </c>
      <c r="K32" s="23">
        <v>0</v>
      </c>
      <c r="L32" s="23">
        <v>0</v>
      </c>
      <c r="M32" s="23">
        <v>0</v>
      </c>
      <c r="N32" s="23">
        <v>0</v>
      </c>
      <c r="O32" s="23">
        <f>SUM(P32:S32)</f>
        <v>0</v>
      </c>
      <c r="P32" s="23">
        <v>0</v>
      </c>
      <c r="Q32" s="23">
        <v>0</v>
      </c>
      <c r="R32" s="23">
        <v>0</v>
      </c>
      <c r="S32" s="23">
        <v>0</v>
      </c>
      <c r="T32" s="23">
        <f>SUM(U32:X32)</f>
        <v>0</v>
      </c>
      <c r="U32" s="23">
        <v>0</v>
      </c>
      <c r="V32" s="23">
        <v>0</v>
      </c>
      <c r="W32" s="23">
        <v>0</v>
      </c>
      <c r="X32" s="23">
        <v>0</v>
      </c>
      <c r="Y32" s="23">
        <f>SUM(Z32:AC32)</f>
        <v>0</v>
      </c>
      <c r="Z32" s="23">
        <v>0</v>
      </c>
      <c r="AA32" s="23">
        <v>0</v>
      </c>
      <c r="AB32" s="23">
        <v>0</v>
      </c>
      <c r="AC32" s="23">
        <v>0</v>
      </c>
      <c r="AD32" s="33">
        <f>SUM(Y32,T32,O32,J32,E32)</f>
        <v>0</v>
      </c>
      <c r="AE32" s="27"/>
    </row>
    <row r="33" spans="1:31" s="3" customFormat="1" ht="30" customHeight="1" x14ac:dyDescent="0.25">
      <c r="A33" s="39"/>
      <c r="B33" s="40" t="s">
        <v>73</v>
      </c>
      <c r="C33" s="36"/>
      <c r="D33" s="41"/>
      <c r="E33" s="32">
        <f>SUM(E29:E32)</f>
        <v>0</v>
      </c>
      <c r="F33" s="32">
        <f t="shared" ref="F33:AC33" si="16">SUM(F29:F32)</f>
        <v>0</v>
      </c>
      <c r="G33" s="32">
        <f t="shared" si="16"/>
        <v>0</v>
      </c>
      <c r="H33" s="32">
        <f t="shared" si="16"/>
        <v>0</v>
      </c>
      <c r="I33" s="32">
        <f t="shared" si="16"/>
        <v>0</v>
      </c>
      <c r="J33" s="32">
        <f t="shared" si="16"/>
        <v>0</v>
      </c>
      <c r="K33" s="32">
        <f t="shared" si="16"/>
        <v>0</v>
      </c>
      <c r="L33" s="32">
        <f t="shared" si="16"/>
        <v>0</v>
      </c>
      <c r="M33" s="32">
        <f t="shared" si="16"/>
        <v>0</v>
      </c>
      <c r="N33" s="32">
        <f t="shared" si="16"/>
        <v>0</v>
      </c>
      <c r="O33" s="32">
        <f t="shared" si="16"/>
        <v>0</v>
      </c>
      <c r="P33" s="32">
        <f t="shared" si="16"/>
        <v>0</v>
      </c>
      <c r="Q33" s="32">
        <f t="shared" si="16"/>
        <v>0</v>
      </c>
      <c r="R33" s="32">
        <f t="shared" si="16"/>
        <v>0</v>
      </c>
      <c r="S33" s="32">
        <f t="shared" si="16"/>
        <v>0</v>
      </c>
      <c r="T33" s="32">
        <f t="shared" si="16"/>
        <v>0</v>
      </c>
      <c r="U33" s="32">
        <f t="shared" si="16"/>
        <v>0</v>
      </c>
      <c r="V33" s="32">
        <f t="shared" si="16"/>
        <v>0</v>
      </c>
      <c r="W33" s="32">
        <f t="shared" si="16"/>
        <v>0</v>
      </c>
      <c r="X33" s="32">
        <f t="shared" si="16"/>
        <v>0</v>
      </c>
      <c r="Y33" s="32">
        <f t="shared" si="16"/>
        <v>0</v>
      </c>
      <c r="Z33" s="32">
        <f t="shared" si="16"/>
        <v>0</v>
      </c>
      <c r="AA33" s="32">
        <f t="shared" si="16"/>
        <v>0</v>
      </c>
      <c r="AB33" s="32">
        <f t="shared" si="16"/>
        <v>0</v>
      </c>
      <c r="AC33" s="32">
        <f t="shared" si="16"/>
        <v>0</v>
      </c>
      <c r="AD33" s="33">
        <f>SUM(Y33,T33,O33,J33,E33)</f>
        <v>0</v>
      </c>
      <c r="AE33" s="37"/>
    </row>
    <row r="34" spans="1:31" s="1" customFormat="1" ht="37.5" customHeight="1" x14ac:dyDescent="0.25">
      <c r="A34" s="29"/>
      <c r="B34" s="118" t="s">
        <v>112</v>
      </c>
      <c r="C34" s="118"/>
      <c r="D34" s="86"/>
      <c r="E34" s="32"/>
      <c r="F34" s="32"/>
      <c r="G34" s="32"/>
      <c r="H34" s="32"/>
      <c r="I34" s="32"/>
      <c r="J34" s="32"/>
      <c r="K34" s="32"/>
      <c r="L34" s="32"/>
      <c r="M34" s="32"/>
      <c r="N34" s="32"/>
      <c r="O34" s="32"/>
      <c r="P34" s="33"/>
      <c r="Q34" s="33"/>
      <c r="R34" s="33"/>
      <c r="S34" s="33"/>
      <c r="T34" s="33"/>
      <c r="U34" s="33"/>
      <c r="V34" s="33"/>
      <c r="W34" s="33"/>
      <c r="X34" s="33"/>
      <c r="Y34" s="33"/>
      <c r="Z34" s="33"/>
      <c r="AA34" s="33"/>
      <c r="AB34" s="33"/>
      <c r="AC34" s="33"/>
      <c r="AD34" s="33"/>
      <c r="AE34" s="27"/>
    </row>
    <row r="35" spans="1:31" s="1" customFormat="1" ht="72.75" customHeight="1" x14ac:dyDescent="0.25">
      <c r="A35" s="84" t="s">
        <v>7</v>
      </c>
      <c r="B35" s="88" t="s">
        <v>168</v>
      </c>
      <c r="C35" s="84" t="s">
        <v>126</v>
      </c>
      <c r="D35" s="83" t="s">
        <v>44</v>
      </c>
      <c r="E35" s="23">
        <f>SUM(F35:I35)</f>
        <v>0</v>
      </c>
      <c r="F35" s="23">
        <v>0</v>
      </c>
      <c r="G35" s="23">
        <v>0</v>
      </c>
      <c r="H35" s="23">
        <v>0</v>
      </c>
      <c r="I35" s="23">
        <v>0</v>
      </c>
      <c r="J35" s="23">
        <f>SUM(K35:N35)</f>
        <v>0</v>
      </c>
      <c r="K35" s="23">
        <v>0</v>
      </c>
      <c r="L35" s="23">
        <v>0</v>
      </c>
      <c r="M35" s="23">
        <v>0</v>
      </c>
      <c r="N35" s="23">
        <v>0</v>
      </c>
      <c r="O35" s="23">
        <f>SUM(P35:S35)</f>
        <v>0</v>
      </c>
      <c r="P35" s="23">
        <v>0</v>
      </c>
      <c r="Q35" s="23">
        <v>0</v>
      </c>
      <c r="R35" s="23">
        <v>0</v>
      </c>
      <c r="S35" s="23">
        <v>0</v>
      </c>
      <c r="T35" s="23">
        <f>SUM(U35:X35)</f>
        <v>0</v>
      </c>
      <c r="U35" s="23">
        <v>0</v>
      </c>
      <c r="V35" s="23">
        <v>0</v>
      </c>
      <c r="W35" s="23">
        <v>0</v>
      </c>
      <c r="X35" s="23">
        <v>0</v>
      </c>
      <c r="Y35" s="23">
        <f>SUM(Z35:AC35)</f>
        <v>0</v>
      </c>
      <c r="Z35" s="23">
        <v>0</v>
      </c>
      <c r="AA35" s="23">
        <v>0</v>
      </c>
      <c r="AB35" s="23">
        <v>0</v>
      </c>
      <c r="AC35" s="23">
        <v>0</v>
      </c>
      <c r="AD35" s="33">
        <f t="shared" ref="AD35:AD44" si="17">SUM(Y35,T35,O35,J35,E35)</f>
        <v>0</v>
      </c>
      <c r="AE35" s="27"/>
    </row>
    <row r="36" spans="1:31" s="1" customFormat="1" ht="108.75" customHeight="1" x14ac:dyDescent="0.25">
      <c r="A36" s="84" t="s">
        <v>16</v>
      </c>
      <c r="B36" s="88" t="s">
        <v>323</v>
      </c>
      <c r="C36" s="84" t="s">
        <v>127</v>
      </c>
      <c r="D36" s="83">
        <v>2019</v>
      </c>
      <c r="E36" s="23">
        <f t="shared" ref="E36:E55" si="18">SUM(F36:I36)</f>
        <v>0</v>
      </c>
      <c r="F36" s="23">
        <v>0</v>
      </c>
      <c r="G36" s="23">
        <v>0</v>
      </c>
      <c r="H36" s="23">
        <v>0</v>
      </c>
      <c r="I36" s="23">
        <v>0</v>
      </c>
      <c r="J36" s="23">
        <f t="shared" ref="J36:J51" si="19">SUM(K36:N36)</f>
        <v>0</v>
      </c>
      <c r="K36" s="23">
        <v>0</v>
      </c>
      <c r="L36" s="23">
        <v>0</v>
      </c>
      <c r="M36" s="23">
        <v>0</v>
      </c>
      <c r="N36" s="23">
        <v>0</v>
      </c>
      <c r="O36" s="23">
        <f t="shared" ref="O36:O55" si="20">SUM(P36:S36)</f>
        <v>0</v>
      </c>
      <c r="P36" s="23">
        <v>0</v>
      </c>
      <c r="Q36" s="23">
        <v>0</v>
      </c>
      <c r="R36" s="23">
        <v>0</v>
      </c>
      <c r="S36" s="23">
        <v>0</v>
      </c>
      <c r="T36" s="23">
        <f t="shared" ref="T36:T55" si="21">SUM(U36:X36)</f>
        <v>0</v>
      </c>
      <c r="U36" s="23">
        <v>0</v>
      </c>
      <c r="V36" s="23">
        <v>0</v>
      </c>
      <c r="W36" s="23">
        <v>0</v>
      </c>
      <c r="X36" s="23">
        <v>0</v>
      </c>
      <c r="Y36" s="23">
        <f t="shared" ref="Y36:Y66" si="22">SUM(Z36:AC36)</f>
        <v>0</v>
      </c>
      <c r="Z36" s="23">
        <v>0</v>
      </c>
      <c r="AA36" s="23">
        <v>0</v>
      </c>
      <c r="AB36" s="23">
        <v>0</v>
      </c>
      <c r="AC36" s="23">
        <v>0</v>
      </c>
      <c r="AD36" s="33">
        <f t="shared" si="17"/>
        <v>0</v>
      </c>
      <c r="AE36" s="27"/>
    </row>
    <row r="37" spans="1:31" s="2" customFormat="1" ht="105" customHeight="1" x14ac:dyDescent="0.25">
      <c r="A37" s="100" t="s">
        <v>38</v>
      </c>
      <c r="B37" s="88" t="s">
        <v>96</v>
      </c>
      <c r="C37" s="100" t="s">
        <v>309</v>
      </c>
      <c r="D37" s="98" t="s">
        <v>177</v>
      </c>
      <c r="E37" s="23"/>
      <c r="F37" s="33"/>
      <c r="G37" s="23"/>
      <c r="H37" s="23"/>
      <c r="I37" s="23"/>
      <c r="J37" s="23"/>
      <c r="K37" s="33"/>
      <c r="L37" s="33"/>
      <c r="M37" s="33"/>
      <c r="N37" s="33"/>
      <c r="O37" s="23"/>
      <c r="P37" s="23"/>
      <c r="Q37" s="23"/>
      <c r="R37" s="23"/>
      <c r="S37" s="23"/>
      <c r="T37" s="23"/>
      <c r="U37" s="23"/>
      <c r="V37" s="23"/>
      <c r="W37" s="23"/>
      <c r="X37" s="33"/>
      <c r="Y37" s="23"/>
      <c r="Z37" s="33"/>
      <c r="AA37" s="33"/>
      <c r="AB37" s="33"/>
      <c r="AC37" s="33"/>
      <c r="AD37" s="33">
        <f t="shared" si="17"/>
        <v>0</v>
      </c>
      <c r="AE37" s="42"/>
    </row>
    <row r="38" spans="1:31" s="2" customFormat="1" ht="40.15" customHeight="1" x14ac:dyDescent="0.25">
      <c r="A38" s="101"/>
      <c r="B38" s="88" t="s">
        <v>149</v>
      </c>
      <c r="C38" s="104"/>
      <c r="D38" s="121"/>
      <c r="E38" s="23">
        <f>F38+G38</f>
        <v>865</v>
      </c>
      <c r="F38" s="33">
        <v>43</v>
      </c>
      <c r="G38" s="23">
        <v>822</v>
      </c>
      <c r="H38" s="23">
        <v>0</v>
      </c>
      <c r="I38" s="23">
        <v>0</v>
      </c>
      <c r="J38" s="23">
        <v>0</v>
      </c>
      <c r="K38" s="23">
        <v>0</v>
      </c>
      <c r="L38" s="23">
        <v>0</v>
      </c>
      <c r="M38" s="23">
        <v>0</v>
      </c>
      <c r="N38" s="23">
        <v>0</v>
      </c>
      <c r="O38" s="23">
        <v>0</v>
      </c>
      <c r="P38" s="23">
        <v>0</v>
      </c>
      <c r="Q38" s="23">
        <v>0</v>
      </c>
      <c r="R38" s="23">
        <v>0</v>
      </c>
      <c r="S38" s="23">
        <v>0</v>
      </c>
      <c r="T38" s="23">
        <v>0</v>
      </c>
      <c r="U38" s="23">
        <v>0</v>
      </c>
      <c r="V38" s="23">
        <v>0</v>
      </c>
      <c r="W38" s="23">
        <v>0</v>
      </c>
      <c r="X38" s="23">
        <v>0</v>
      </c>
      <c r="Y38" s="23">
        <v>0</v>
      </c>
      <c r="Z38" s="23">
        <v>0</v>
      </c>
      <c r="AA38" s="23">
        <v>0</v>
      </c>
      <c r="AB38" s="23">
        <v>0</v>
      </c>
      <c r="AC38" s="23">
        <v>0</v>
      </c>
      <c r="AD38" s="33">
        <f t="shared" si="17"/>
        <v>865</v>
      </c>
      <c r="AE38" s="42"/>
    </row>
    <row r="39" spans="1:31" s="2" customFormat="1" ht="24.6" customHeight="1" x14ac:dyDescent="0.25">
      <c r="A39" s="101"/>
      <c r="B39" s="88" t="s">
        <v>51</v>
      </c>
      <c r="C39" s="105"/>
      <c r="D39" s="122"/>
      <c r="E39" s="23">
        <f t="shared" si="18"/>
        <v>0</v>
      </c>
      <c r="F39" s="33">
        <v>0</v>
      </c>
      <c r="G39" s="33">
        <v>0</v>
      </c>
      <c r="H39" s="33">
        <v>0</v>
      </c>
      <c r="I39" s="33">
        <v>0</v>
      </c>
      <c r="J39" s="23">
        <f t="shared" si="19"/>
        <v>0</v>
      </c>
      <c r="K39" s="33">
        <v>0</v>
      </c>
      <c r="L39" s="33">
        <v>0</v>
      </c>
      <c r="M39" s="33">
        <v>0</v>
      </c>
      <c r="N39" s="33">
        <v>0</v>
      </c>
      <c r="O39" s="23">
        <f t="shared" si="20"/>
        <v>0</v>
      </c>
      <c r="P39" s="33">
        <v>0</v>
      </c>
      <c r="Q39" s="33">
        <v>0</v>
      </c>
      <c r="R39" s="33">
        <v>0</v>
      </c>
      <c r="S39" s="33">
        <v>0</v>
      </c>
      <c r="T39" s="23">
        <f t="shared" si="21"/>
        <v>0</v>
      </c>
      <c r="U39" s="33">
        <v>0</v>
      </c>
      <c r="V39" s="33">
        <v>0</v>
      </c>
      <c r="W39" s="33">
        <v>0</v>
      </c>
      <c r="X39" s="33">
        <v>0</v>
      </c>
      <c r="Y39" s="23">
        <f t="shared" si="22"/>
        <v>0</v>
      </c>
      <c r="Z39" s="33">
        <v>0</v>
      </c>
      <c r="AA39" s="33">
        <v>0</v>
      </c>
      <c r="AB39" s="33">
        <v>0</v>
      </c>
      <c r="AC39" s="33">
        <v>0</v>
      </c>
      <c r="AD39" s="33">
        <f t="shared" si="17"/>
        <v>0</v>
      </c>
      <c r="AE39" s="42"/>
    </row>
    <row r="40" spans="1:31" s="2" customFormat="1" ht="45.75" customHeight="1" x14ac:dyDescent="0.25">
      <c r="A40" s="101"/>
      <c r="B40" s="88" t="s">
        <v>169</v>
      </c>
      <c r="C40" s="100" t="s">
        <v>215</v>
      </c>
      <c r="D40" s="78">
        <v>2020</v>
      </c>
      <c r="E40" s="23">
        <f t="shared" si="18"/>
        <v>0</v>
      </c>
      <c r="F40" s="33">
        <v>0</v>
      </c>
      <c r="G40" s="33">
        <v>0</v>
      </c>
      <c r="H40" s="33">
        <v>0</v>
      </c>
      <c r="I40" s="33">
        <v>0</v>
      </c>
      <c r="J40" s="23">
        <f t="shared" si="19"/>
        <v>13547</v>
      </c>
      <c r="K40" s="33">
        <f>14277-730</f>
        <v>13547</v>
      </c>
      <c r="L40" s="33">
        <v>0</v>
      </c>
      <c r="M40" s="33">
        <v>0</v>
      </c>
      <c r="N40" s="33">
        <v>0</v>
      </c>
      <c r="O40" s="23">
        <f t="shared" si="20"/>
        <v>0</v>
      </c>
      <c r="P40" s="33">
        <v>0</v>
      </c>
      <c r="Q40" s="33">
        <v>0</v>
      </c>
      <c r="R40" s="33">
        <v>0</v>
      </c>
      <c r="S40" s="33">
        <v>0</v>
      </c>
      <c r="T40" s="23">
        <f t="shared" si="21"/>
        <v>0</v>
      </c>
      <c r="U40" s="33">
        <v>0</v>
      </c>
      <c r="V40" s="33">
        <v>0</v>
      </c>
      <c r="W40" s="33">
        <v>0</v>
      </c>
      <c r="X40" s="33">
        <v>0</v>
      </c>
      <c r="Y40" s="23">
        <f t="shared" si="22"/>
        <v>0</v>
      </c>
      <c r="Z40" s="33">
        <v>0</v>
      </c>
      <c r="AA40" s="33">
        <v>0</v>
      </c>
      <c r="AB40" s="33">
        <v>0</v>
      </c>
      <c r="AC40" s="33">
        <v>0</v>
      </c>
      <c r="AD40" s="33">
        <f t="shared" si="17"/>
        <v>13547</v>
      </c>
      <c r="AE40" s="42"/>
    </row>
    <row r="41" spans="1:31" s="2" customFormat="1" ht="39" customHeight="1" x14ac:dyDescent="0.25">
      <c r="A41" s="101"/>
      <c r="B41" s="88" t="s">
        <v>252</v>
      </c>
      <c r="C41" s="105"/>
      <c r="D41" s="78">
        <v>2021</v>
      </c>
      <c r="E41" s="23">
        <v>0</v>
      </c>
      <c r="F41" s="33">
        <v>0</v>
      </c>
      <c r="G41" s="33">
        <v>0</v>
      </c>
      <c r="H41" s="33">
        <v>0</v>
      </c>
      <c r="I41" s="33">
        <v>0</v>
      </c>
      <c r="J41" s="23">
        <v>0</v>
      </c>
      <c r="K41" s="33">
        <v>0</v>
      </c>
      <c r="L41" s="33">
        <v>0</v>
      </c>
      <c r="M41" s="33">
        <v>0</v>
      </c>
      <c r="N41" s="33">
        <v>0</v>
      </c>
      <c r="O41" s="23">
        <f t="shared" si="20"/>
        <v>211</v>
      </c>
      <c r="P41" s="33">
        <v>211</v>
      </c>
      <c r="Q41" s="33">
        <v>0</v>
      </c>
      <c r="R41" s="33">
        <v>0</v>
      </c>
      <c r="S41" s="33">
        <v>0</v>
      </c>
      <c r="T41" s="23">
        <v>0</v>
      </c>
      <c r="U41" s="33">
        <v>0</v>
      </c>
      <c r="V41" s="33">
        <v>0</v>
      </c>
      <c r="W41" s="33">
        <v>0</v>
      </c>
      <c r="X41" s="33">
        <v>0</v>
      </c>
      <c r="Y41" s="23">
        <v>0</v>
      </c>
      <c r="Z41" s="33">
        <v>0</v>
      </c>
      <c r="AA41" s="33">
        <v>0</v>
      </c>
      <c r="AB41" s="33">
        <v>0</v>
      </c>
      <c r="AC41" s="33">
        <v>0</v>
      </c>
      <c r="AD41" s="33">
        <f t="shared" si="17"/>
        <v>211</v>
      </c>
      <c r="AE41" s="42"/>
    </row>
    <row r="42" spans="1:31" s="2" customFormat="1" ht="36" customHeight="1" x14ac:dyDescent="0.25">
      <c r="A42" s="102"/>
      <c r="B42" s="88" t="s">
        <v>151</v>
      </c>
      <c r="C42" s="77" t="s">
        <v>150</v>
      </c>
      <c r="D42" s="78">
        <v>2021</v>
      </c>
      <c r="E42" s="23">
        <v>0</v>
      </c>
      <c r="F42" s="23">
        <v>0</v>
      </c>
      <c r="G42" s="23">
        <v>0</v>
      </c>
      <c r="H42" s="23">
        <v>0</v>
      </c>
      <c r="I42" s="23">
        <v>0</v>
      </c>
      <c r="J42" s="23">
        <f>SUM(K42:N42)</f>
        <v>0</v>
      </c>
      <c r="K42" s="23">
        <v>0</v>
      </c>
      <c r="L42" s="23">
        <v>0</v>
      </c>
      <c r="M42" s="23">
        <v>0</v>
      </c>
      <c r="N42" s="23">
        <v>0</v>
      </c>
      <c r="O42" s="23">
        <v>0</v>
      </c>
      <c r="P42" s="23">
        <v>0</v>
      </c>
      <c r="Q42" s="23">
        <v>0</v>
      </c>
      <c r="R42" s="23">
        <v>0</v>
      </c>
      <c r="S42" s="23">
        <v>0</v>
      </c>
      <c r="T42" s="23">
        <v>0</v>
      </c>
      <c r="U42" s="23">
        <v>0</v>
      </c>
      <c r="V42" s="23">
        <v>0</v>
      </c>
      <c r="W42" s="23">
        <v>0</v>
      </c>
      <c r="X42" s="23">
        <v>0</v>
      </c>
      <c r="Y42" s="23">
        <v>0</v>
      </c>
      <c r="Z42" s="23">
        <v>0</v>
      </c>
      <c r="AA42" s="23">
        <v>0</v>
      </c>
      <c r="AB42" s="23">
        <v>0</v>
      </c>
      <c r="AC42" s="23">
        <v>0</v>
      </c>
      <c r="AD42" s="33">
        <f t="shared" si="17"/>
        <v>0</v>
      </c>
      <c r="AE42" s="42"/>
    </row>
    <row r="43" spans="1:31" s="2" customFormat="1" ht="57" customHeight="1" x14ac:dyDescent="0.25">
      <c r="A43" s="84" t="s">
        <v>8</v>
      </c>
      <c r="B43" s="88" t="s">
        <v>94</v>
      </c>
      <c r="C43" s="84" t="s">
        <v>95</v>
      </c>
      <c r="D43" s="83">
        <v>2019</v>
      </c>
      <c r="E43" s="23">
        <f t="shared" si="18"/>
        <v>359</v>
      </c>
      <c r="F43" s="33">
        <v>359</v>
      </c>
      <c r="G43" s="33">
        <v>0</v>
      </c>
      <c r="H43" s="33">
        <v>0</v>
      </c>
      <c r="I43" s="33">
        <v>0</v>
      </c>
      <c r="J43" s="23">
        <v>0</v>
      </c>
      <c r="K43" s="33">
        <v>0</v>
      </c>
      <c r="L43" s="33">
        <v>0</v>
      </c>
      <c r="M43" s="33">
        <v>0</v>
      </c>
      <c r="N43" s="33">
        <v>0</v>
      </c>
      <c r="O43" s="23">
        <f t="shared" si="20"/>
        <v>0</v>
      </c>
      <c r="P43" s="33">
        <v>0</v>
      </c>
      <c r="Q43" s="33">
        <v>0</v>
      </c>
      <c r="R43" s="33">
        <v>0</v>
      </c>
      <c r="S43" s="33">
        <v>0</v>
      </c>
      <c r="T43" s="23">
        <f t="shared" si="21"/>
        <v>0</v>
      </c>
      <c r="U43" s="33">
        <v>0</v>
      </c>
      <c r="V43" s="33">
        <v>0</v>
      </c>
      <c r="W43" s="33">
        <v>0</v>
      </c>
      <c r="X43" s="33">
        <v>0</v>
      </c>
      <c r="Y43" s="23">
        <f t="shared" si="22"/>
        <v>0</v>
      </c>
      <c r="Z43" s="33">
        <v>0</v>
      </c>
      <c r="AA43" s="33">
        <v>0</v>
      </c>
      <c r="AB43" s="33">
        <v>0</v>
      </c>
      <c r="AC43" s="33">
        <v>0</v>
      </c>
      <c r="AD43" s="33">
        <f t="shared" si="17"/>
        <v>359</v>
      </c>
      <c r="AE43" s="42"/>
    </row>
    <row r="44" spans="1:31" s="1" customFormat="1" ht="122.25" customHeight="1" x14ac:dyDescent="0.25">
      <c r="A44" s="100" t="s">
        <v>52</v>
      </c>
      <c r="B44" s="88" t="s">
        <v>79</v>
      </c>
      <c r="C44" s="84"/>
      <c r="D44" s="83"/>
      <c r="E44" s="23"/>
      <c r="F44" s="33"/>
      <c r="G44" s="33"/>
      <c r="H44" s="33"/>
      <c r="I44" s="33"/>
      <c r="J44" s="23"/>
      <c r="K44" s="33"/>
      <c r="L44" s="33"/>
      <c r="M44" s="33"/>
      <c r="N44" s="33"/>
      <c r="O44" s="23"/>
      <c r="P44" s="33"/>
      <c r="Q44" s="33"/>
      <c r="R44" s="33"/>
      <c r="S44" s="33"/>
      <c r="T44" s="23"/>
      <c r="U44" s="33"/>
      <c r="V44" s="33"/>
      <c r="W44" s="33"/>
      <c r="X44" s="33"/>
      <c r="Y44" s="23"/>
      <c r="Z44" s="33"/>
      <c r="AA44" s="33"/>
      <c r="AB44" s="33"/>
      <c r="AC44" s="33"/>
      <c r="AD44" s="33">
        <f t="shared" si="17"/>
        <v>0</v>
      </c>
      <c r="AE44" s="27"/>
    </row>
    <row r="45" spans="1:31" s="1" customFormat="1" ht="141.75" customHeight="1" x14ac:dyDescent="0.25">
      <c r="A45" s="101"/>
      <c r="B45" s="88" t="s">
        <v>286</v>
      </c>
      <c r="C45" s="84" t="s">
        <v>158</v>
      </c>
      <c r="D45" s="98" t="s">
        <v>178</v>
      </c>
      <c r="E45" s="23">
        <f t="shared" si="18"/>
        <v>242.2</v>
      </c>
      <c r="F45" s="33">
        <v>0</v>
      </c>
      <c r="G45" s="33">
        <v>84.8</v>
      </c>
      <c r="H45" s="33">
        <v>157.4</v>
      </c>
      <c r="I45" s="33">
        <v>0</v>
      </c>
      <c r="J45" s="23">
        <f t="shared" si="19"/>
        <v>231</v>
      </c>
      <c r="K45" s="33">
        <v>0</v>
      </c>
      <c r="L45" s="33">
        <v>81</v>
      </c>
      <c r="M45" s="33">
        <v>150</v>
      </c>
      <c r="N45" s="33">
        <v>0</v>
      </c>
      <c r="O45" s="23">
        <f t="shared" si="20"/>
        <v>0</v>
      </c>
      <c r="P45" s="33">
        <v>0</v>
      </c>
      <c r="Q45" s="33">
        <v>0</v>
      </c>
      <c r="R45" s="33">
        <v>0</v>
      </c>
      <c r="S45" s="33">
        <v>0</v>
      </c>
      <c r="T45" s="23">
        <f t="shared" si="21"/>
        <v>0</v>
      </c>
      <c r="U45" s="33">
        <v>0</v>
      </c>
      <c r="V45" s="33">
        <v>0</v>
      </c>
      <c r="W45" s="33">
        <v>0</v>
      </c>
      <c r="X45" s="33">
        <v>0</v>
      </c>
      <c r="Y45" s="23">
        <f t="shared" si="22"/>
        <v>0</v>
      </c>
      <c r="Z45" s="33">
        <v>0</v>
      </c>
      <c r="AA45" s="33">
        <v>0</v>
      </c>
      <c r="AB45" s="33">
        <v>0</v>
      </c>
      <c r="AC45" s="33">
        <v>0</v>
      </c>
      <c r="AD45" s="33">
        <f t="shared" ref="AD45:AD50" si="23">SUM(Y45,T45,O45,J45,E45)</f>
        <v>473.2</v>
      </c>
      <c r="AE45" s="27"/>
    </row>
    <row r="46" spans="1:31" s="1" customFormat="1" ht="64.5" customHeight="1" x14ac:dyDescent="0.25">
      <c r="A46" s="101"/>
      <c r="B46" s="88" t="s">
        <v>265</v>
      </c>
      <c r="C46" s="84" t="s">
        <v>238</v>
      </c>
      <c r="D46" s="99"/>
      <c r="E46" s="23">
        <f t="shared" si="18"/>
        <v>0</v>
      </c>
      <c r="F46" s="33">
        <v>0</v>
      </c>
      <c r="G46" s="33">
        <v>0</v>
      </c>
      <c r="H46" s="33">
        <v>0</v>
      </c>
      <c r="I46" s="33">
        <v>0</v>
      </c>
      <c r="J46" s="23">
        <f t="shared" si="19"/>
        <v>350</v>
      </c>
      <c r="K46" s="33">
        <v>350</v>
      </c>
      <c r="L46" s="33">
        <v>0</v>
      </c>
      <c r="M46" s="33">
        <v>0</v>
      </c>
      <c r="N46" s="33">
        <v>0</v>
      </c>
      <c r="O46" s="23">
        <f t="shared" si="20"/>
        <v>350</v>
      </c>
      <c r="P46" s="33">
        <f>350</f>
        <v>350</v>
      </c>
      <c r="Q46" s="33">
        <v>0</v>
      </c>
      <c r="R46" s="33">
        <v>0</v>
      </c>
      <c r="S46" s="33">
        <v>0</v>
      </c>
      <c r="T46" s="23">
        <f t="shared" si="21"/>
        <v>820</v>
      </c>
      <c r="U46" s="33">
        <f>330+470+20</f>
        <v>820</v>
      </c>
      <c r="V46" s="33">
        <v>0</v>
      </c>
      <c r="W46" s="82">
        <v>0</v>
      </c>
      <c r="X46" s="33">
        <v>0</v>
      </c>
      <c r="Y46" s="23">
        <f t="shared" si="22"/>
        <v>2291</v>
      </c>
      <c r="Z46" s="33">
        <f>350+480+1101+470+370-480</f>
        <v>2291</v>
      </c>
      <c r="AA46" s="33">
        <v>0</v>
      </c>
      <c r="AB46" s="33">
        <v>0</v>
      </c>
      <c r="AC46" s="33">
        <v>0</v>
      </c>
      <c r="AD46" s="33">
        <f t="shared" si="23"/>
        <v>3811</v>
      </c>
      <c r="AE46" s="27"/>
    </row>
    <row r="47" spans="1:31" s="1" customFormat="1" ht="86.25" customHeight="1" x14ac:dyDescent="0.25">
      <c r="A47" s="101"/>
      <c r="B47" s="88" t="s">
        <v>287</v>
      </c>
      <c r="C47" s="84" t="s">
        <v>238</v>
      </c>
      <c r="D47" s="99"/>
      <c r="E47" s="23"/>
      <c r="F47" s="33"/>
      <c r="G47" s="33"/>
      <c r="H47" s="33"/>
      <c r="I47" s="33"/>
      <c r="J47" s="23"/>
      <c r="K47" s="33"/>
      <c r="L47" s="33"/>
      <c r="M47" s="33"/>
      <c r="N47" s="33"/>
      <c r="O47" s="23">
        <f t="shared" si="20"/>
        <v>3266</v>
      </c>
      <c r="P47" s="33">
        <v>33</v>
      </c>
      <c r="Q47" s="33">
        <v>1131</v>
      </c>
      <c r="R47" s="33">
        <v>2102</v>
      </c>
      <c r="S47" s="33"/>
      <c r="T47" s="23">
        <f t="shared" si="21"/>
        <v>3243.5699999999997</v>
      </c>
      <c r="U47" s="33">
        <v>32.44</v>
      </c>
      <c r="V47" s="33">
        <f>1156+0.01</f>
        <v>1156.01</v>
      </c>
      <c r="W47" s="33">
        <v>2055.12</v>
      </c>
      <c r="X47" s="33">
        <v>0</v>
      </c>
      <c r="Y47" s="23">
        <f t="shared" si="22"/>
        <v>2878</v>
      </c>
      <c r="Z47" s="33">
        <f>32-3</f>
        <v>29</v>
      </c>
      <c r="AA47" s="33">
        <v>1026</v>
      </c>
      <c r="AB47" s="33">
        <v>1823</v>
      </c>
      <c r="AC47" s="33">
        <v>0</v>
      </c>
      <c r="AD47" s="33">
        <f t="shared" si="23"/>
        <v>9387.57</v>
      </c>
      <c r="AE47" s="64"/>
    </row>
    <row r="48" spans="1:31" s="1" customFormat="1" ht="54.75" customHeight="1" x14ac:dyDescent="0.25">
      <c r="A48" s="101"/>
      <c r="B48" s="88" t="s">
        <v>266</v>
      </c>
      <c r="C48" s="84" t="s">
        <v>261</v>
      </c>
      <c r="D48" s="99"/>
      <c r="E48" s="23">
        <f t="shared" si="18"/>
        <v>0</v>
      </c>
      <c r="F48" s="33">
        <v>0</v>
      </c>
      <c r="G48" s="33">
        <v>0</v>
      </c>
      <c r="H48" s="33">
        <v>0</v>
      </c>
      <c r="I48" s="33">
        <v>0</v>
      </c>
      <c r="J48" s="23">
        <f t="shared" si="19"/>
        <v>379</v>
      </c>
      <c r="K48" s="33">
        <v>379</v>
      </c>
      <c r="L48" s="33">
        <v>0</v>
      </c>
      <c r="M48" s="33">
        <v>0</v>
      </c>
      <c r="N48" s="33">
        <v>0</v>
      </c>
      <c r="O48" s="23">
        <f t="shared" si="20"/>
        <v>0</v>
      </c>
      <c r="P48" s="33">
        <v>0</v>
      </c>
      <c r="Q48" s="33">
        <v>0</v>
      </c>
      <c r="R48" s="33">
        <v>0</v>
      </c>
      <c r="S48" s="33">
        <v>0</v>
      </c>
      <c r="T48" s="23">
        <f t="shared" si="21"/>
        <v>0</v>
      </c>
      <c r="U48" s="33">
        <v>0</v>
      </c>
      <c r="V48" s="33">
        <v>0</v>
      </c>
      <c r="W48" s="33">
        <v>0</v>
      </c>
      <c r="X48" s="33">
        <v>0</v>
      </c>
      <c r="Y48" s="23">
        <f t="shared" si="22"/>
        <v>0</v>
      </c>
      <c r="Z48" s="33">
        <v>0</v>
      </c>
      <c r="AA48" s="33">
        <v>0</v>
      </c>
      <c r="AB48" s="33">
        <v>0</v>
      </c>
      <c r="AC48" s="33">
        <v>0</v>
      </c>
      <c r="AD48" s="33">
        <f t="shared" si="23"/>
        <v>379</v>
      </c>
      <c r="AE48" s="27"/>
    </row>
    <row r="49" spans="1:31" s="1" customFormat="1" ht="177" customHeight="1" x14ac:dyDescent="0.25">
      <c r="A49" s="101"/>
      <c r="B49" s="88" t="s">
        <v>318</v>
      </c>
      <c r="C49" s="84" t="s">
        <v>319</v>
      </c>
      <c r="D49" s="121"/>
      <c r="E49" s="23"/>
      <c r="F49" s="33"/>
      <c r="G49" s="33"/>
      <c r="H49" s="33"/>
      <c r="I49" s="33"/>
      <c r="J49" s="23"/>
      <c r="K49" s="33"/>
      <c r="L49" s="33"/>
      <c r="M49" s="33"/>
      <c r="N49" s="33"/>
      <c r="O49" s="23"/>
      <c r="P49" s="33"/>
      <c r="Q49" s="33"/>
      <c r="R49" s="33"/>
      <c r="S49" s="33"/>
      <c r="T49" s="23">
        <f t="shared" si="21"/>
        <v>2447.98</v>
      </c>
      <c r="U49" s="33">
        <f>110.8+11.6</f>
        <v>122.39999999999999</v>
      </c>
      <c r="V49" s="33">
        <f>105.26+220.32</f>
        <v>325.58</v>
      </c>
      <c r="W49" s="33">
        <v>2000</v>
      </c>
      <c r="X49" s="33">
        <v>0</v>
      </c>
      <c r="Y49" s="23">
        <f t="shared" si="22"/>
        <v>5067</v>
      </c>
      <c r="Z49" s="33">
        <f>157+65+31</f>
        <v>253</v>
      </c>
      <c r="AA49" s="33">
        <f>590+84</f>
        <v>674</v>
      </c>
      <c r="AB49" s="33">
        <f>3626+514</f>
        <v>4140</v>
      </c>
      <c r="AC49" s="33">
        <v>0</v>
      </c>
      <c r="AD49" s="33">
        <f t="shared" si="23"/>
        <v>7514.98</v>
      </c>
      <c r="AE49" s="65"/>
    </row>
    <row r="50" spans="1:31" s="1" customFormat="1" ht="57.75" customHeight="1" x14ac:dyDescent="0.25">
      <c r="A50" s="102"/>
      <c r="B50" s="88" t="s">
        <v>87</v>
      </c>
      <c r="C50" s="84" t="s">
        <v>159</v>
      </c>
      <c r="D50" s="122"/>
      <c r="E50" s="23">
        <f t="shared" si="18"/>
        <v>257</v>
      </c>
      <c r="F50" s="23">
        <v>257</v>
      </c>
      <c r="G50" s="23">
        <v>0</v>
      </c>
      <c r="H50" s="23">
        <v>0</v>
      </c>
      <c r="I50" s="23">
        <v>0</v>
      </c>
      <c r="J50" s="23">
        <f t="shared" si="19"/>
        <v>0</v>
      </c>
      <c r="K50" s="23">
        <v>0</v>
      </c>
      <c r="L50" s="23">
        <v>0</v>
      </c>
      <c r="M50" s="23">
        <v>0</v>
      </c>
      <c r="N50" s="23">
        <v>0</v>
      </c>
      <c r="O50" s="23">
        <f t="shared" si="20"/>
        <v>0</v>
      </c>
      <c r="P50" s="23">
        <v>0</v>
      </c>
      <c r="Q50" s="23">
        <v>0</v>
      </c>
      <c r="R50" s="23">
        <v>0</v>
      </c>
      <c r="S50" s="23">
        <v>0</v>
      </c>
      <c r="T50" s="23">
        <v>0</v>
      </c>
      <c r="U50" s="23">
        <v>0</v>
      </c>
      <c r="V50" s="23">
        <v>0</v>
      </c>
      <c r="W50" s="23">
        <v>0</v>
      </c>
      <c r="X50" s="23">
        <v>0</v>
      </c>
      <c r="Y50" s="23">
        <f t="shared" si="22"/>
        <v>0</v>
      </c>
      <c r="Z50" s="23">
        <v>0</v>
      </c>
      <c r="AA50" s="23">
        <v>0</v>
      </c>
      <c r="AB50" s="23">
        <v>0</v>
      </c>
      <c r="AC50" s="23">
        <v>0</v>
      </c>
      <c r="AD50" s="33">
        <f t="shared" si="23"/>
        <v>257</v>
      </c>
      <c r="AE50" s="27"/>
    </row>
    <row r="51" spans="1:31" s="1" customFormat="1" ht="63" customHeight="1" x14ac:dyDescent="0.25">
      <c r="A51" s="38" t="s">
        <v>53</v>
      </c>
      <c r="B51" s="88" t="s">
        <v>324</v>
      </c>
      <c r="C51" s="84" t="s">
        <v>160</v>
      </c>
      <c r="D51" s="83">
        <v>2020</v>
      </c>
      <c r="E51" s="23">
        <f t="shared" si="18"/>
        <v>0</v>
      </c>
      <c r="F51" s="23">
        <f t="shared" ref="F51" si="24">SUM(G51:J51)</f>
        <v>0</v>
      </c>
      <c r="G51" s="23">
        <f t="shared" ref="G51" si="25">SUM(H51:K51)</f>
        <v>0</v>
      </c>
      <c r="H51" s="23">
        <f t="shared" ref="H51" si="26">SUM(I51:L51)</f>
        <v>0</v>
      </c>
      <c r="I51" s="23">
        <f t="shared" ref="I51:I52" si="27">SUM(J51:M51)</f>
        <v>0</v>
      </c>
      <c r="J51" s="23">
        <f t="shared" si="19"/>
        <v>0</v>
      </c>
      <c r="K51" s="23">
        <f t="shared" ref="K51" si="28">SUM(L51:O51)</f>
        <v>0</v>
      </c>
      <c r="L51" s="23">
        <f t="shared" ref="L51" si="29">SUM(M51:P51)</f>
        <v>0</v>
      </c>
      <c r="M51" s="23">
        <f t="shared" ref="M51" si="30">SUM(N51:Q51)</f>
        <v>0</v>
      </c>
      <c r="N51" s="23">
        <f t="shared" ref="N51" si="31">SUM(O51:R51)</f>
        <v>0</v>
      </c>
      <c r="O51" s="23">
        <f t="shared" si="20"/>
        <v>0</v>
      </c>
      <c r="P51" s="23">
        <f t="shared" ref="P51" si="32">SUM(Q51:T51)</f>
        <v>0</v>
      </c>
      <c r="Q51" s="23">
        <f t="shared" ref="Q51" si="33">SUM(R51:U51)</f>
        <v>0</v>
      </c>
      <c r="R51" s="23">
        <f t="shared" ref="R51" si="34">SUM(S51:V51)</f>
        <v>0</v>
      </c>
      <c r="S51" s="23">
        <v>0</v>
      </c>
      <c r="T51" s="23">
        <f t="shared" si="21"/>
        <v>0</v>
      </c>
      <c r="U51" s="23">
        <v>0</v>
      </c>
      <c r="V51" s="23">
        <v>0</v>
      </c>
      <c r="W51" s="23">
        <v>0</v>
      </c>
      <c r="X51" s="23">
        <v>0</v>
      </c>
      <c r="Y51" s="23">
        <f t="shared" si="22"/>
        <v>0</v>
      </c>
      <c r="Z51" s="23">
        <v>0</v>
      </c>
      <c r="AA51" s="23">
        <v>0</v>
      </c>
      <c r="AB51" s="23">
        <v>0</v>
      </c>
      <c r="AC51" s="23">
        <v>0</v>
      </c>
      <c r="AD51" s="23">
        <f t="shared" ref="AD51:AD55" si="35">SUM(E51,J51,O51,T51,Y51)</f>
        <v>0</v>
      </c>
      <c r="AE51" s="27"/>
    </row>
    <row r="52" spans="1:31" s="1" customFormat="1" ht="52.5" customHeight="1" x14ac:dyDescent="0.25">
      <c r="A52" s="130" t="s">
        <v>54</v>
      </c>
      <c r="B52" s="88" t="s">
        <v>270</v>
      </c>
      <c r="C52" s="84" t="s">
        <v>308</v>
      </c>
      <c r="D52" s="83" t="s">
        <v>222</v>
      </c>
      <c r="E52" s="23">
        <f>SUM(F52:H52)</f>
        <v>1154.5</v>
      </c>
      <c r="F52" s="23">
        <f>1087+67.5</f>
        <v>1154.5</v>
      </c>
      <c r="G52" s="23">
        <v>0</v>
      </c>
      <c r="H52" s="23">
        <v>0</v>
      </c>
      <c r="I52" s="23">
        <f t="shared" si="27"/>
        <v>0</v>
      </c>
      <c r="J52" s="23">
        <v>0</v>
      </c>
      <c r="K52" s="23">
        <v>0</v>
      </c>
      <c r="L52" s="23">
        <v>0</v>
      </c>
      <c r="M52" s="23">
        <v>0</v>
      </c>
      <c r="N52" s="23">
        <v>0</v>
      </c>
      <c r="O52" s="23">
        <f t="shared" si="20"/>
        <v>167</v>
      </c>
      <c r="P52" s="23">
        <v>167</v>
      </c>
      <c r="Q52" s="23">
        <v>0</v>
      </c>
      <c r="R52" s="23">
        <v>0</v>
      </c>
      <c r="S52" s="23">
        <v>0</v>
      </c>
      <c r="T52" s="23">
        <f t="shared" si="21"/>
        <v>0</v>
      </c>
      <c r="U52" s="23">
        <v>0</v>
      </c>
      <c r="V52" s="23">
        <v>0</v>
      </c>
      <c r="W52" s="23">
        <v>0</v>
      </c>
      <c r="X52" s="23">
        <v>0</v>
      </c>
      <c r="Y52" s="23">
        <f t="shared" si="22"/>
        <v>0</v>
      </c>
      <c r="Z52" s="23">
        <v>0</v>
      </c>
      <c r="AA52" s="23">
        <v>0</v>
      </c>
      <c r="AB52" s="23">
        <v>0</v>
      </c>
      <c r="AC52" s="23">
        <v>0</v>
      </c>
      <c r="AD52" s="23">
        <f>SUM(E52,J52,O52,T52,Y52)</f>
        <v>1321.5</v>
      </c>
      <c r="AE52" s="27"/>
    </row>
    <row r="53" spans="1:31" s="1" customFormat="1" ht="98.25" customHeight="1" x14ac:dyDescent="0.25">
      <c r="A53" s="131"/>
      <c r="B53" s="88" t="s">
        <v>288</v>
      </c>
      <c r="C53" s="84" t="s">
        <v>307</v>
      </c>
      <c r="D53" s="83" t="s">
        <v>44</v>
      </c>
      <c r="E53" s="23">
        <f>SUM(F53:H53)</f>
        <v>5000</v>
      </c>
      <c r="F53" s="23">
        <v>0</v>
      </c>
      <c r="G53" s="23">
        <v>0</v>
      </c>
      <c r="H53" s="23">
        <v>5000</v>
      </c>
      <c r="I53" s="23">
        <v>0</v>
      </c>
      <c r="J53" s="23"/>
      <c r="K53" s="23"/>
      <c r="L53" s="23"/>
      <c r="M53" s="23"/>
      <c r="N53" s="23"/>
      <c r="O53" s="23">
        <f t="shared" si="20"/>
        <v>10000</v>
      </c>
      <c r="P53" s="23">
        <v>0</v>
      </c>
      <c r="Q53" s="23">
        <v>0</v>
      </c>
      <c r="R53" s="23">
        <v>10000</v>
      </c>
      <c r="S53" s="23">
        <v>0</v>
      </c>
      <c r="T53" s="23">
        <f t="shared" si="21"/>
        <v>5000</v>
      </c>
      <c r="U53" s="23">
        <v>0</v>
      </c>
      <c r="V53" s="23">
        <v>0</v>
      </c>
      <c r="W53" s="23">
        <v>5000</v>
      </c>
      <c r="X53" s="23">
        <v>0</v>
      </c>
      <c r="Y53" s="23">
        <f t="shared" si="22"/>
        <v>10000</v>
      </c>
      <c r="Z53" s="23">
        <v>0</v>
      </c>
      <c r="AA53" s="23">
        <v>0</v>
      </c>
      <c r="AB53" s="23">
        <v>10000</v>
      </c>
      <c r="AC53" s="23">
        <v>0</v>
      </c>
      <c r="AD53" s="23">
        <f>SUM(E53,J53,O53,T53,Y53)</f>
        <v>30000</v>
      </c>
      <c r="AE53" s="65"/>
    </row>
    <row r="54" spans="1:31" s="1" customFormat="1" ht="110.25" customHeight="1" x14ac:dyDescent="0.25">
      <c r="A54" s="38" t="s">
        <v>55</v>
      </c>
      <c r="B54" s="88" t="s">
        <v>289</v>
      </c>
      <c r="C54" s="84" t="s">
        <v>161</v>
      </c>
      <c r="D54" s="83">
        <v>2019</v>
      </c>
      <c r="E54" s="23">
        <f>SUM(F54:H54)</f>
        <v>5600</v>
      </c>
      <c r="F54" s="23">
        <v>0</v>
      </c>
      <c r="G54" s="23">
        <v>0</v>
      </c>
      <c r="H54" s="23">
        <v>5600</v>
      </c>
      <c r="I54" s="23">
        <v>0</v>
      </c>
      <c r="J54" s="23">
        <v>0</v>
      </c>
      <c r="K54" s="23">
        <v>0</v>
      </c>
      <c r="L54" s="23">
        <v>0</v>
      </c>
      <c r="M54" s="23">
        <v>0</v>
      </c>
      <c r="N54" s="23">
        <v>0</v>
      </c>
      <c r="O54" s="23">
        <v>0</v>
      </c>
      <c r="P54" s="23">
        <v>0</v>
      </c>
      <c r="Q54" s="23">
        <v>0</v>
      </c>
      <c r="R54" s="23">
        <v>0</v>
      </c>
      <c r="S54" s="23">
        <v>0</v>
      </c>
      <c r="T54" s="23">
        <v>0</v>
      </c>
      <c r="U54" s="23">
        <v>0</v>
      </c>
      <c r="V54" s="23">
        <v>0</v>
      </c>
      <c r="W54" s="23">
        <v>0</v>
      </c>
      <c r="X54" s="23">
        <v>0</v>
      </c>
      <c r="Y54" s="23">
        <f t="shared" si="22"/>
        <v>0</v>
      </c>
      <c r="Z54" s="23">
        <v>0</v>
      </c>
      <c r="AA54" s="23">
        <v>0</v>
      </c>
      <c r="AB54" s="23">
        <v>0</v>
      </c>
      <c r="AC54" s="23">
        <v>0</v>
      </c>
      <c r="AD54" s="23">
        <f>SUM(E54,J54,O54,T54,Y54)</f>
        <v>5600</v>
      </c>
      <c r="AE54" s="27"/>
    </row>
    <row r="55" spans="1:31" s="4" customFormat="1" ht="129.75" customHeight="1" x14ac:dyDescent="0.25">
      <c r="A55" s="38" t="s">
        <v>144</v>
      </c>
      <c r="B55" s="88" t="s">
        <v>143</v>
      </c>
      <c r="C55" s="84" t="s">
        <v>162</v>
      </c>
      <c r="D55" s="83">
        <v>2019</v>
      </c>
      <c r="E55" s="23">
        <f t="shared" si="18"/>
        <v>1738.1</v>
      </c>
      <c r="F55" s="23">
        <v>1738.1</v>
      </c>
      <c r="G55" s="23">
        <v>0</v>
      </c>
      <c r="H55" s="23">
        <v>0</v>
      </c>
      <c r="I55" s="23">
        <v>0</v>
      </c>
      <c r="J55" s="23">
        <v>0</v>
      </c>
      <c r="K55" s="23">
        <v>0</v>
      </c>
      <c r="L55" s="23">
        <v>0</v>
      </c>
      <c r="M55" s="23">
        <v>0</v>
      </c>
      <c r="N55" s="33">
        <v>0</v>
      </c>
      <c r="O55" s="23">
        <f t="shared" si="20"/>
        <v>0</v>
      </c>
      <c r="P55" s="33">
        <v>0</v>
      </c>
      <c r="Q55" s="33">
        <v>0</v>
      </c>
      <c r="R55" s="33">
        <v>0</v>
      </c>
      <c r="S55" s="33">
        <v>0</v>
      </c>
      <c r="T55" s="23">
        <f t="shared" si="21"/>
        <v>0</v>
      </c>
      <c r="U55" s="33">
        <v>0</v>
      </c>
      <c r="V55" s="33">
        <v>0</v>
      </c>
      <c r="W55" s="33">
        <v>0</v>
      </c>
      <c r="X55" s="33">
        <v>0</v>
      </c>
      <c r="Y55" s="23">
        <f t="shared" si="22"/>
        <v>0</v>
      </c>
      <c r="Z55" s="33">
        <v>0</v>
      </c>
      <c r="AA55" s="33">
        <v>0</v>
      </c>
      <c r="AB55" s="33">
        <v>0</v>
      </c>
      <c r="AC55" s="33">
        <v>0</v>
      </c>
      <c r="AD55" s="23">
        <f t="shared" si="35"/>
        <v>1738.1</v>
      </c>
      <c r="AE55" s="25"/>
    </row>
    <row r="56" spans="1:31" s="4" customFormat="1" ht="228" customHeight="1" x14ac:dyDescent="0.25">
      <c r="A56" s="116" t="s">
        <v>145</v>
      </c>
      <c r="B56" s="88" t="s">
        <v>148</v>
      </c>
      <c r="C56" s="100" t="s">
        <v>142</v>
      </c>
      <c r="D56" s="98" t="s">
        <v>178</v>
      </c>
      <c r="E56" s="23">
        <f>SUM(F56:I56)</f>
        <v>0</v>
      </c>
      <c r="F56" s="23">
        <v>0</v>
      </c>
      <c r="G56" s="23">
        <v>0</v>
      </c>
      <c r="H56" s="23">
        <v>0</v>
      </c>
      <c r="I56" s="23">
        <v>0</v>
      </c>
      <c r="J56" s="23">
        <f>K56+L56</f>
        <v>2685</v>
      </c>
      <c r="K56" s="23">
        <v>2685</v>
      </c>
      <c r="L56" s="33">
        <v>0</v>
      </c>
      <c r="M56" s="33">
        <v>0</v>
      </c>
      <c r="N56" s="33">
        <v>0</v>
      </c>
      <c r="O56" s="23">
        <f>P56+Q56+R56+S56</f>
        <v>0</v>
      </c>
      <c r="P56" s="33">
        <v>0</v>
      </c>
      <c r="Q56" s="33">
        <v>0</v>
      </c>
      <c r="R56" s="33">
        <v>0</v>
      </c>
      <c r="S56" s="33">
        <v>0</v>
      </c>
      <c r="T56" s="23">
        <f>U56</f>
        <v>0</v>
      </c>
      <c r="U56" s="33">
        <v>0</v>
      </c>
      <c r="V56" s="33">
        <v>0</v>
      </c>
      <c r="W56" s="33">
        <v>0</v>
      </c>
      <c r="X56" s="33">
        <v>0</v>
      </c>
      <c r="Y56" s="23">
        <f t="shared" si="22"/>
        <v>0</v>
      </c>
      <c r="Z56" s="33">
        <v>0</v>
      </c>
      <c r="AA56" s="33">
        <v>0</v>
      </c>
      <c r="AB56" s="33">
        <v>0</v>
      </c>
      <c r="AC56" s="33">
        <v>0</v>
      </c>
      <c r="AD56" s="33">
        <f t="shared" ref="AD56:AD61" si="36">SUM(Y56,T56,O56,J56,E56)</f>
        <v>2685</v>
      </c>
      <c r="AE56" s="25"/>
    </row>
    <row r="57" spans="1:31" s="4" customFormat="1" ht="258.75" customHeight="1" x14ac:dyDescent="0.25">
      <c r="A57" s="117"/>
      <c r="B57" s="88" t="s">
        <v>290</v>
      </c>
      <c r="C57" s="101"/>
      <c r="D57" s="103"/>
      <c r="E57" s="23">
        <f>SUM(F57:I57)</f>
        <v>13950.9</v>
      </c>
      <c r="F57" s="23">
        <v>697.6</v>
      </c>
      <c r="G57" s="23">
        <v>13253.3</v>
      </c>
      <c r="H57" s="23"/>
      <c r="I57" s="23"/>
      <c r="J57" s="23"/>
      <c r="K57" s="23"/>
      <c r="L57" s="33"/>
      <c r="M57" s="33"/>
      <c r="N57" s="33"/>
      <c r="O57" s="23"/>
      <c r="P57" s="33"/>
      <c r="Q57" s="33"/>
      <c r="R57" s="33"/>
      <c r="S57" s="33"/>
      <c r="T57" s="23"/>
      <c r="U57" s="33"/>
      <c r="V57" s="33"/>
      <c r="W57" s="33"/>
      <c r="X57" s="33"/>
      <c r="Y57" s="23">
        <f t="shared" si="22"/>
        <v>0</v>
      </c>
      <c r="Z57" s="33"/>
      <c r="AA57" s="33"/>
      <c r="AB57" s="33"/>
      <c r="AC57" s="33"/>
      <c r="AD57" s="33">
        <f t="shared" si="36"/>
        <v>13950.9</v>
      </c>
      <c r="AE57" s="25"/>
    </row>
    <row r="58" spans="1:31" s="4" customFormat="1" ht="39" customHeight="1" x14ac:dyDescent="0.25">
      <c r="A58" s="105"/>
      <c r="B58" s="88" t="s">
        <v>253</v>
      </c>
      <c r="C58" s="105"/>
      <c r="D58" s="83">
        <v>2022</v>
      </c>
      <c r="E58" s="23">
        <v>0</v>
      </c>
      <c r="F58" s="23">
        <v>0</v>
      </c>
      <c r="G58" s="23">
        <v>0</v>
      </c>
      <c r="H58" s="23">
        <v>0</v>
      </c>
      <c r="I58" s="23">
        <v>0</v>
      </c>
      <c r="J58" s="23">
        <v>0</v>
      </c>
      <c r="K58" s="23">
        <v>0</v>
      </c>
      <c r="L58" s="33">
        <v>0</v>
      </c>
      <c r="M58" s="33">
        <v>0</v>
      </c>
      <c r="N58" s="33">
        <v>0</v>
      </c>
      <c r="O58" s="23">
        <v>0</v>
      </c>
      <c r="P58" s="33">
        <v>0</v>
      </c>
      <c r="Q58" s="33">
        <v>0</v>
      </c>
      <c r="R58" s="33">
        <v>0</v>
      </c>
      <c r="S58" s="33">
        <v>0</v>
      </c>
      <c r="T58" s="23">
        <f>U58</f>
        <v>12272.19</v>
      </c>
      <c r="U58" s="33">
        <v>12272.19</v>
      </c>
      <c r="V58" s="33">
        <v>0</v>
      </c>
      <c r="W58" s="33">
        <v>0</v>
      </c>
      <c r="X58" s="33">
        <v>0</v>
      </c>
      <c r="Y58" s="23">
        <f t="shared" si="22"/>
        <v>0</v>
      </c>
      <c r="Z58" s="33">
        <v>0</v>
      </c>
      <c r="AA58" s="33">
        <v>0</v>
      </c>
      <c r="AB58" s="33">
        <v>0</v>
      </c>
      <c r="AC58" s="33">
        <v>0</v>
      </c>
      <c r="AD58" s="33">
        <f t="shared" si="36"/>
        <v>12272.19</v>
      </c>
      <c r="AE58" s="25"/>
    </row>
    <row r="59" spans="1:31" s="4" customFormat="1" ht="111" customHeight="1" x14ac:dyDescent="0.25">
      <c r="A59" s="43" t="s">
        <v>182</v>
      </c>
      <c r="B59" s="88" t="s">
        <v>184</v>
      </c>
      <c r="C59" s="84" t="s">
        <v>183</v>
      </c>
      <c r="D59" s="83">
        <v>2020</v>
      </c>
      <c r="E59" s="23">
        <f>SUM(F59:I59)</f>
        <v>0</v>
      </c>
      <c r="F59" s="33">
        <v>0</v>
      </c>
      <c r="G59" s="33">
        <v>0</v>
      </c>
      <c r="H59" s="33">
        <v>0</v>
      </c>
      <c r="I59" s="33">
        <v>0</v>
      </c>
      <c r="J59" s="23">
        <f>K59+L59+M59+N59</f>
        <v>15125</v>
      </c>
      <c r="K59" s="23">
        <v>15125</v>
      </c>
      <c r="L59" s="33">
        <v>0</v>
      </c>
      <c r="M59" s="33">
        <v>0</v>
      </c>
      <c r="N59" s="33">
        <v>0</v>
      </c>
      <c r="O59" s="23">
        <f>P59+Q59+R59+S536</f>
        <v>0</v>
      </c>
      <c r="P59" s="33">
        <v>0</v>
      </c>
      <c r="Q59" s="33">
        <v>0</v>
      </c>
      <c r="R59" s="33">
        <v>0</v>
      </c>
      <c r="S59" s="33">
        <v>0</v>
      </c>
      <c r="T59" s="23">
        <v>0</v>
      </c>
      <c r="U59" s="33">
        <v>0</v>
      </c>
      <c r="V59" s="33">
        <v>0</v>
      </c>
      <c r="W59" s="33">
        <v>0</v>
      </c>
      <c r="X59" s="33">
        <v>0</v>
      </c>
      <c r="Y59" s="23">
        <f t="shared" si="22"/>
        <v>0</v>
      </c>
      <c r="Z59" s="33">
        <v>0</v>
      </c>
      <c r="AA59" s="33">
        <v>0</v>
      </c>
      <c r="AB59" s="33">
        <v>0</v>
      </c>
      <c r="AC59" s="33">
        <v>0</v>
      </c>
      <c r="AD59" s="33">
        <f t="shared" si="36"/>
        <v>15125</v>
      </c>
      <c r="AE59" s="25"/>
    </row>
    <row r="60" spans="1:31" s="4" customFormat="1" ht="128.25" customHeight="1" x14ac:dyDescent="0.25">
      <c r="A60" s="116" t="s">
        <v>187</v>
      </c>
      <c r="B60" s="88" t="s">
        <v>291</v>
      </c>
      <c r="C60" s="100" t="s">
        <v>190</v>
      </c>
      <c r="D60" s="83" t="s">
        <v>251</v>
      </c>
      <c r="E60" s="33">
        <v>0</v>
      </c>
      <c r="F60" s="33">
        <v>0</v>
      </c>
      <c r="G60" s="33">
        <v>0</v>
      </c>
      <c r="H60" s="33">
        <v>0</v>
      </c>
      <c r="I60" s="33">
        <v>0</v>
      </c>
      <c r="J60" s="23">
        <f>K60+L60+M60+N60</f>
        <v>69261</v>
      </c>
      <c r="K60" s="23">
        <f>3692-229</f>
        <v>3463</v>
      </c>
      <c r="L60" s="33">
        <f>70149-4351</f>
        <v>65798</v>
      </c>
      <c r="M60" s="33">
        <v>0</v>
      </c>
      <c r="N60" s="33">
        <v>0</v>
      </c>
      <c r="O60" s="90">
        <v>0</v>
      </c>
      <c r="P60" s="91">
        <v>0</v>
      </c>
      <c r="Q60" s="33">
        <v>0</v>
      </c>
      <c r="R60" s="33">
        <v>0</v>
      </c>
      <c r="S60" s="33">
        <v>0</v>
      </c>
      <c r="T60" s="23">
        <v>0</v>
      </c>
      <c r="U60" s="33">
        <v>0</v>
      </c>
      <c r="V60" s="33">
        <v>0</v>
      </c>
      <c r="W60" s="33">
        <v>0</v>
      </c>
      <c r="X60" s="33">
        <v>0</v>
      </c>
      <c r="Y60" s="23">
        <f t="shared" si="22"/>
        <v>0</v>
      </c>
      <c r="Z60" s="33">
        <v>0</v>
      </c>
      <c r="AA60" s="33">
        <v>0</v>
      </c>
      <c r="AB60" s="33">
        <v>0</v>
      </c>
      <c r="AC60" s="33">
        <v>0</v>
      </c>
      <c r="AD60" s="33">
        <f t="shared" si="36"/>
        <v>69261</v>
      </c>
      <c r="AE60" s="25"/>
    </row>
    <row r="61" spans="1:31" s="4" customFormat="1" ht="75" customHeight="1" x14ac:dyDescent="0.25">
      <c r="A61" s="105"/>
      <c r="B61" s="88" t="s">
        <v>292</v>
      </c>
      <c r="C61" s="105"/>
      <c r="D61" s="83">
        <v>2021</v>
      </c>
      <c r="E61" s="33">
        <v>0</v>
      </c>
      <c r="F61" s="33">
        <v>0</v>
      </c>
      <c r="G61" s="33">
        <v>0</v>
      </c>
      <c r="H61" s="33">
        <v>0</v>
      </c>
      <c r="I61" s="33">
        <v>0</v>
      </c>
      <c r="J61" s="23">
        <v>0</v>
      </c>
      <c r="K61" s="23">
        <v>0</v>
      </c>
      <c r="L61" s="33">
        <v>0</v>
      </c>
      <c r="M61" s="33">
        <v>0</v>
      </c>
      <c r="N61" s="33">
        <v>0</v>
      </c>
      <c r="O61" s="23">
        <f>P61+Q61+R61+S61</f>
        <v>13736</v>
      </c>
      <c r="P61" s="33">
        <v>687</v>
      </c>
      <c r="Q61" s="33">
        <v>13049</v>
      </c>
      <c r="R61" s="33">
        <v>0</v>
      </c>
      <c r="S61" s="33">
        <v>0</v>
      </c>
      <c r="T61" s="23">
        <v>0</v>
      </c>
      <c r="U61" s="33">
        <v>0</v>
      </c>
      <c r="V61" s="33">
        <v>0</v>
      </c>
      <c r="W61" s="33">
        <v>0</v>
      </c>
      <c r="X61" s="33">
        <v>0</v>
      </c>
      <c r="Y61" s="23">
        <f t="shared" si="22"/>
        <v>0</v>
      </c>
      <c r="Z61" s="33">
        <v>0</v>
      </c>
      <c r="AA61" s="33">
        <v>0</v>
      </c>
      <c r="AB61" s="33">
        <v>0</v>
      </c>
      <c r="AC61" s="33">
        <v>0</v>
      </c>
      <c r="AD61" s="33">
        <f t="shared" si="36"/>
        <v>13736</v>
      </c>
      <c r="AE61" s="25"/>
    </row>
    <row r="62" spans="1:31" s="4" customFormat="1" ht="44.25" customHeight="1" x14ac:dyDescent="0.25">
      <c r="A62" s="43" t="s">
        <v>188</v>
      </c>
      <c r="B62" s="88" t="s">
        <v>189</v>
      </c>
      <c r="C62" s="84" t="s">
        <v>191</v>
      </c>
      <c r="D62" s="83">
        <v>2020</v>
      </c>
      <c r="E62" s="33">
        <v>0</v>
      </c>
      <c r="F62" s="33">
        <v>0</v>
      </c>
      <c r="G62" s="33">
        <v>0</v>
      </c>
      <c r="H62" s="33">
        <v>0</v>
      </c>
      <c r="I62" s="33">
        <v>0</v>
      </c>
      <c r="J62" s="23">
        <f>K62+L62+M62+N62</f>
        <v>127</v>
      </c>
      <c r="K62" s="23">
        <v>127</v>
      </c>
      <c r="L62" s="33">
        <v>0</v>
      </c>
      <c r="M62" s="33">
        <v>0</v>
      </c>
      <c r="N62" s="33">
        <v>0</v>
      </c>
      <c r="O62" s="23">
        <f>P62+Q62+R62+S538</f>
        <v>0</v>
      </c>
      <c r="P62" s="33">
        <v>0</v>
      </c>
      <c r="Q62" s="33">
        <v>0</v>
      </c>
      <c r="R62" s="33">
        <v>0</v>
      </c>
      <c r="S62" s="33">
        <v>0</v>
      </c>
      <c r="T62" s="23">
        <v>0</v>
      </c>
      <c r="U62" s="33">
        <v>0</v>
      </c>
      <c r="V62" s="33">
        <v>0</v>
      </c>
      <c r="W62" s="33">
        <v>0</v>
      </c>
      <c r="X62" s="33">
        <v>0</v>
      </c>
      <c r="Y62" s="23">
        <f t="shared" si="22"/>
        <v>0</v>
      </c>
      <c r="Z62" s="33">
        <v>0</v>
      </c>
      <c r="AA62" s="33">
        <v>0</v>
      </c>
      <c r="AB62" s="33">
        <v>0</v>
      </c>
      <c r="AC62" s="33">
        <v>0</v>
      </c>
      <c r="AD62" s="33">
        <f t="shared" ref="AD62" si="37">SUM(Y62,T62,O62,J62,E62)</f>
        <v>127</v>
      </c>
      <c r="AE62" s="25"/>
    </row>
    <row r="63" spans="1:31" s="4" customFormat="1" ht="45" customHeight="1" x14ac:dyDescent="0.25">
      <c r="A63" s="43" t="s">
        <v>195</v>
      </c>
      <c r="B63" s="88" t="s">
        <v>196</v>
      </c>
      <c r="C63" s="84" t="s">
        <v>191</v>
      </c>
      <c r="D63" s="83">
        <v>2020</v>
      </c>
      <c r="E63" s="33">
        <v>0</v>
      </c>
      <c r="F63" s="33">
        <v>0</v>
      </c>
      <c r="G63" s="33">
        <v>0</v>
      </c>
      <c r="H63" s="33">
        <v>0</v>
      </c>
      <c r="I63" s="33">
        <v>0</v>
      </c>
      <c r="J63" s="23">
        <f>K63+L63+M63+N63</f>
        <v>810</v>
      </c>
      <c r="K63" s="23">
        <v>810</v>
      </c>
      <c r="L63" s="33">
        <v>0</v>
      </c>
      <c r="M63" s="33">
        <v>0</v>
      </c>
      <c r="N63" s="33">
        <v>0</v>
      </c>
      <c r="O63" s="23">
        <f>P63+Q63+R63+S539</f>
        <v>0</v>
      </c>
      <c r="P63" s="33">
        <v>0</v>
      </c>
      <c r="Q63" s="33">
        <v>0</v>
      </c>
      <c r="R63" s="33">
        <v>0</v>
      </c>
      <c r="S63" s="33">
        <v>0</v>
      </c>
      <c r="T63" s="23">
        <v>0</v>
      </c>
      <c r="U63" s="33">
        <v>0</v>
      </c>
      <c r="V63" s="33">
        <v>0</v>
      </c>
      <c r="W63" s="33">
        <v>0</v>
      </c>
      <c r="X63" s="33">
        <v>0</v>
      </c>
      <c r="Y63" s="23">
        <f t="shared" si="22"/>
        <v>0</v>
      </c>
      <c r="Z63" s="33">
        <v>0</v>
      </c>
      <c r="AA63" s="33">
        <v>0</v>
      </c>
      <c r="AB63" s="33">
        <v>0</v>
      </c>
      <c r="AC63" s="33">
        <v>0</v>
      </c>
      <c r="AD63" s="33">
        <f t="shared" ref="AD63:AD66" si="38">SUM(Y63,T63,O63,J63,E63)</f>
        <v>810</v>
      </c>
      <c r="AE63" s="25"/>
    </row>
    <row r="64" spans="1:31" s="4" customFormat="1" ht="96.75" customHeight="1" x14ac:dyDescent="0.25">
      <c r="A64" s="43" t="s">
        <v>220</v>
      </c>
      <c r="B64" s="88" t="s">
        <v>221</v>
      </c>
      <c r="C64" s="84" t="s">
        <v>260</v>
      </c>
      <c r="D64" s="83">
        <v>2021</v>
      </c>
      <c r="E64" s="44" t="s">
        <v>226</v>
      </c>
      <c r="F64" s="44" t="s">
        <v>226</v>
      </c>
      <c r="G64" s="44" t="s">
        <v>226</v>
      </c>
      <c r="H64" s="44" t="s">
        <v>226</v>
      </c>
      <c r="I64" s="44" t="s">
        <v>226</v>
      </c>
      <c r="J64" s="44" t="s">
        <v>226</v>
      </c>
      <c r="K64" s="44" t="s">
        <v>226</v>
      </c>
      <c r="L64" s="44" t="s">
        <v>226</v>
      </c>
      <c r="M64" s="44" t="s">
        <v>226</v>
      </c>
      <c r="N64" s="44" t="s">
        <v>226</v>
      </c>
      <c r="O64" s="45">
        <f>P64+Q64+R64+S540</f>
        <v>4318</v>
      </c>
      <c r="P64" s="44">
        <v>4318</v>
      </c>
      <c r="Q64" s="44">
        <v>0</v>
      </c>
      <c r="R64" s="44">
        <v>0</v>
      </c>
      <c r="S64" s="44">
        <v>0</v>
      </c>
      <c r="T64" s="44" t="s">
        <v>226</v>
      </c>
      <c r="U64" s="44" t="s">
        <v>226</v>
      </c>
      <c r="V64" s="44" t="s">
        <v>226</v>
      </c>
      <c r="W64" s="44" t="s">
        <v>226</v>
      </c>
      <c r="X64" s="44" t="s">
        <v>226</v>
      </c>
      <c r="Y64" s="23">
        <f t="shared" si="22"/>
        <v>0</v>
      </c>
      <c r="Z64" s="44" t="s">
        <v>226</v>
      </c>
      <c r="AA64" s="44" t="s">
        <v>226</v>
      </c>
      <c r="AB64" s="44" t="s">
        <v>226</v>
      </c>
      <c r="AC64" s="44" t="s">
        <v>226</v>
      </c>
      <c r="AD64" s="33">
        <f t="shared" si="38"/>
        <v>4318</v>
      </c>
      <c r="AE64" s="25"/>
    </row>
    <row r="65" spans="1:31" s="4" customFormat="1" ht="69.75" customHeight="1" x14ac:dyDescent="0.25">
      <c r="A65" s="43" t="s">
        <v>274</v>
      </c>
      <c r="B65" s="88" t="s">
        <v>293</v>
      </c>
      <c r="C65" s="84" t="s">
        <v>275</v>
      </c>
      <c r="D65" s="83">
        <v>2023</v>
      </c>
      <c r="E65" s="44"/>
      <c r="F65" s="44"/>
      <c r="G65" s="44"/>
      <c r="H65" s="44"/>
      <c r="I65" s="44"/>
      <c r="J65" s="44"/>
      <c r="K65" s="44"/>
      <c r="L65" s="44"/>
      <c r="M65" s="44"/>
      <c r="N65" s="44"/>
      <c r="O65" s="45"/>
      <c r="P65" s="44"/>
      <c r="Q65" s="44"/>
      <c r="R65" s="44"/>
      <c r="S65" s="44"/>
      <c r="T65" s="44"/>
      <c r="U65" s="44"/>
      <c r="V65" s="44"/>
      <c r="W65" s="44"/>
      <c r="X65" s="44"/>
      <c r="Y65" s="70">
        <f t="shared" si="22"/>
        <v>46447</v>
      </c>
      <c r="Z65" s="44">
        <f>2323</f>
        <v>2323</v>
      </c>
      <c r="AA65" s="44">
        <v>15885</v>
      </c>
      <c r="AB65" s="44">
        <v>28239</v>
      </c>
      <c r="AC65" s="44">
        <v>0</v>
      </c>
      <c r="AD65" s="33">
        <f t="shared" si="38"/>
        <v>46447</v>
      </c>
      <c r="AE65" s="25"/>
    </row>
    <row r="66" spans="1:31" s="4" customFormat="1" ht="96.75" customHeight="1" x14ac:dyDescent="0.25">
      <c r="A66" s="80" t="s">
        <v>282</v>
      </c>
      <c r="B66" s="88" t="s">
        <v>325</v>
      </c>
      <c r="C66" s="84" t="s">
        <v>283</v>
      </c>
      <c r="D66" s="83">
        <v>2023</v>
      </c>
      <c r="E66" s="44"/>
      <c r="F66" s="44"/>
      <c r="G66" s="44"/>
      <c r="H66" s="44"/>
      <c r="I66" s="44"/>
      <c r="J66" s="44"/>
      <c r="K66" s="44"/>
      <c r="L66" s="44"/>
      <c r="M66" s="44"/>
      <c r="N66" s="44"/>
      <c r="O66" s="45"/>
      <c r="P66" s="44"/>
      <c r="Q66" s="44"/>
      <c r="R66" s="44"/>
      <c r="S66" s="44"/>
      <c r="T66" s="44"/>
      <c r="U66" s="44"/>
      <c r="V66" s="44"/>
      <c r="W66" s="44"/>
      <c r="X66" s="44"/>
      <c r="Y66" s="70">
        <f t="shared" si="22"/>
        <v>18360</v>
      </c>
      <c r="Z66" s="44">
        <v>918</v>
      </c>
      <c r="AA66" s="44">
        <v>2442</v>
      </c>
      <c r="AB66" s="44">
        <v>15000</v>
      </c>
      <c r="AC66" s="44">
        <v>0</v>
      </c>
      <c r="AD66" s="33">
        <f t="shared" si="38"/>
        <v>18360</v>
      </c>
      <c r="AE66" s="25"/>
    </row>
    <row r="67" spans="1:31" s="3" customFormat="1" ht="42.75" customHeight="1" x14ac:dyDescent="0.25">
      <c r="A67" s="46"/>
      <c r="B67" s="85" t="s">
        <v>213</v>
      </c>
      <c r="C67" s="47"/>
      <c r="D67" s="35"/>
      <c r="E67" s="32">
        <f>SUM(E35:E59)</f>
        <v>29166.7</v>
      </c>
      <c r="F67" s="32">
        <f>SUM(F35:F59)</f>
        <v>4249.2</v>
      </c>
      <c r="G67" s="32">
        <f>SUM(G35:G59)</f>
        <v>14160.099999999999</v>
      </c>
      <c r="H67" s="32">
        <f>SUM(H35:H59)</f>
        <v>10757.4</v>
      </c>
      <c r="I67" s="32">
        <f>SUM(I35:I55)</f>
        <v>0</v>
      </c>
      <c r="J67" s="32">
        <f>SUM(J35:J63)</f>
        <v>102515</v>
      </c>
      <c r="K67" s="32">
        <f>SUM(K35:K63)</f>
        <v>36486</v>
      </c>
      <c r="L67" s="32">
        <f>SUM(L35:L63)</f>
        <v>65879</v>
      </c>
      <c r="M67" s="32">
        <f>SUM(M35:M63)</f>
        <v>150</v>
      </c>
      <c r="N67" s="32">
        <f>SUM(N35:N63)</f>
        <v>0</v>
      </c>
      <c r="O67" s="32">
        <f>SUM(O35:O63)-O41-O61+O64</f>
        <v>18101</v>
      </c>
      <c r="P67" s="32">
        <f>SUM(P35:P63)-P41-P61+P64</f>
        <v>4868</v>
      </c>
      <c r="Q67" s="32">
        <f>SUM(Q35:Q63)-Q40-Q61+Q64</f>
        <v>1131</v>
      </c>
      <c r="R67" s="32">
        <f>SUM(R35:R63)-R40-R61+R64</f>
        <v>12102</v>
      </c>
      <c r="S67" s="32">
        <f>SUM(S35:S63)-S40-S60+S64</f>
        <v>0</v>
      </c>
      <c r="T67" s="32">
        <f>U67+V67+W67+X67</f>
        <v>11511.55</v>
      </c>
      <c r="U67" s="32">
        <f>SUM(U35:U65)-U58</f>
        <v>974.84000000000015</v>
      </c>
      <c r="V67" s="32">
        <f>SUM(V35:V65)-V56</f>
        <v>1481.59</v>
      </c>
      <c r="W67" s="32">
        <f>SUM(W35:W65)-W56</f>
        <v>9055.119999999999</v>
      </c>
      <c r="X67" s="32">
        <f>SUM(X35:X63)</f>
        <v>0</v>
      </c>
      <c r="Y67" s="32">
        <f>SUM(Y35:Y66)</f>
        <v>85043</v>
      </c>
      <c r="Z67" s="32">
        <f>SUM(Z35:Z66)</f>
        <v>5814</v>
      </c>
      <c r="AA67" s="32">
        <f>SUM(AA35:AA66)</f>
        <v>20027</v>
      </c>
      <c r="AB67" s="32">
        <f>SUM(AB35:AB66)</f>
        <v>59202</v>
      </c>
      <c r="AC67" s="32">
        <f>SUM(AC35:AC63)</f>
        <v>0</v>
      </c>
      <c r="AD67" s="32">
        <f>SUM(AD35:AD66)-AD68</f>
        <v>246337.25</v>
      </c>
      <c r="AE67" s="37"/>
    </row>
    <row r="68" spans="1:31" s="3" customFormat="1" ht="40.5" customHeight="1" x14ac:dyDescent="0.25">
      <c r="A68" s="46"/>
      <c r="B68" s="85" t="s">
        <v>214</v>
      </c>
      <c r="C68" s="47"/>
      <c r="D68" s="83" t="s">
        <v>44</v>
      </c>
      <c r="E68" s="32">
        <v>0</v>
      </c>
      <c r="F68" s="32">
        <v>0</v>
      </c>
      <c r="G68" s="32">
        <v>0</v>
      </c>
      <c r="H68" s="32">
        <v>0</v>
      </c>
      <c r="I68" s="32">
        <v>0</v>
      </c>
      <c r="J68" s="32">
        <v>0</v>
      </c>
      <c r="K68" s="32">
        <v>0</v>
      </c>
      <c r="L68" s="32">
        <v>0</v>
      </c>
      <c r="M68" s="32">
        <v>0</v>
      </c>
      <c r="N68" s="32">
        <v>0</v>
      </c>
      <c r="O68" s="32">
        <f>O61+O41</f>
        <v>13947</v>
      </c>
      <c r="P68" s="32">
        <f>P61+P41</f>
        <v>898</v>
      </c>
      <c r="Q68" s="32">
        <f>Q61+Q40</f>
        <v>13049</v>
      </c>
      <c r="R68" s="32">
        <f>R60+R40</f>
        <v>0</v>
      </c>
      <c r="S68" s="32">
        <f>S60+S40</f>
        <v>0</v>
      </c>
      <c r="T68" s="32">
        <f>U68+V68+V68+W68+X68</f>
        <v>12272.19</v>
      </c>
      <c r="U68" s="32">
        <f>U60+U40+U58</f>
        <v>12272.19</v>
      </c>
      <c r="V68" s="32">
        <f>V60+V40</f>
        <v>0</v>
      </c>
      <c r="W68" s="32">
        <f>W60+W40</f>
        <v>0</v>
      </c>
      <c r="X68" s="32">
        <v>0</v>
      </c>
      <c r="Y68" s="32">
        <v>0</v>
      </c>
      <c r="Z68" s="32">
        <v>0</v>
      </c>
      <c r="AA68" s="32">
        <v>0</v>
      </c>
      <c r="AB68" s="32">
        <v>0</v>
      </c>
      <c r="AC68" s="32">
        <v>0</v>
      </c>
      <c r="AD68" s="66">
        <f>SUM(Y68,T68,O68,J68,E68)</f>
        <v>26219.190000000002</v>
      </c>
      <c r="AE68" s="37"/>
    </row>
    <row r="69" spans="1:31" s="1" customFormat="1" ht="40.15" customHeight="1" x14ac:dyDescent="0.25">
      <c r="A69" s="38"/>
      <c r="B69" s="118" t="s">
        <v>113</v>
      </c>
      <c r="C69" s="119"/>
      <c r="D69" s="29"/>
      <c r="E69" s="23"/>
      <c r="F69" s="23"/>
      <c r="G69" s="23"/>
      <c r="H69" s="23"/>
      <c r="I69" s="23"/>
      <c r="J69" s="33"/>
      <c r="K69" s="33"/>
      <c r="L69" s="33"/>
      <c r="M69" s="33"/>
      <c r="N69" s="33"/>
      <c r="O69" s="23"/>
      <c r="P69" s="33"/>
      <c r="Q69" s="23"/>
      <c r="R69" s="23"/>
      <c r="S69" s="23"/>
      <c r="T69" s="33"/>
      <c r="U69" s="33"/>
      <c r="V69" s="23"/>
      <c r="W69" s="23"/>
      <c r="X69" s="33"/>
      <c r="Y69" s="33"/>
      <c r="Z69" s="33"/>
      <c r="AA69" s="33"/>
      <c r="AB69" s="33"/>
      <c r="AC69" s="33"/>
      <c r="AD69" s="33"/>
      <c r="AE69" s="27"/>
    </row>
    <row r="70" spans="1:31" s="1" customFormat="1" ht="71.25" customHeight="1" x14ac:dyDescent="0.25">
      <c r="A70" s="38" t="s">
        <v>9</v>
      </c>
      <c r="B70" s="88" t="s">
        <v>170</v>
      </c>
      <c r="C70" s="84" t="s">
        <v>128</v>
      </c>
      <c r="D70" s="83" t="s">
        <v>44</v>
      </c>
      <c r="E70" s="23">
        <f t="shared" ref="E70:E77" si="39">SUM(F70:I70)</f>
        <v>0</v>
      </c>
      <c r="F70" s="23">
        <v>0</v>
      </c>
      <c r="G70" s="23">
        <v>0</v>
      </c>
      <c r="H70" s="23">
        <v>0</v>
      </c>
      <c r="I70" s="23">
        <v>0</v>
      </c>
      <c r="J70" s="23">
        <f t="shared" ref="J70:J77" si="40">SUM(K70:N70)</f>
        <v>0</v>
      </c>
      <c r="K70" s="23">
        <v>0</v>
      </c>
      <c r="L70" s="23">
        <v>0</v>
      </c>
      <c r="M70" s="23">
        <v>0</v>
      </c>
      <c r="N70" s="23">
        <v>0</v>
      </c>
      <c r="O70" s="23">
        <f t="shared" ref="O70:O77" si="41">SUM(P70:S70)</f>
        <v>0</v>
      </c>
      <c r="P70" s="23">
        <v>0</v>
      </c>
      <c r="Q70" s="23">
        <v>0</v>
      </c>
      <c r="R70" s="23">
        <v>0</v>
      </c>
      <c r="S70" s="23">
        <v>0</v>
      </c>
      <c r="T70" s="23">
        <f t="shared" ref="T70:T80" si="42">SUM(U70:X70)</f>
        <v>0</v>
      </c>
      <c r="U70" s="23">
        <v>0</v>
      </c>
      <c r="V70" s="23">
        <v>0</v>
      </c>
      <c r="W70" s="23">
        <v>0</v>
      </c>
      <c r="X70" s="23">
        <v>0</v>
      </c>
      <c r="Y70" s="23">
        <f t="shared" ref="Y70:Y76" si="43">SUM(Z70:AC70)</f>
        <v>0</v>
      </c>
      <c r="Z70" s="23">
        <v>0</v>
      </c>
      <c r="AA70" s="23">
        <v>0</v>
      </c>
      <c r="AB70" s="23">
        <v>0</v>
      </c>
      <c r="AC70" s="23">
        <v>0</v>
      </c>
      <c r="AD70" s="33">
        <f t="shared" ref="AD70:AD80" si="44">SUM(Y70,T70,O70,J70,E70)</f>
        <v>0</v>
      </c>
      <c r="AE70" s="27"/>
    </row>
    <row r="71" spans="1:31" s="1" customFormat="1" ht="122.25" customHeight="1" x14ac:dyDescent="0.25">
      <c r="A71" s="38" t="s">
        <v>10</v>
      </c>
      <c r="B71" s="88" t="s">
        <v>81</v>
      </c>
      <c r="C71" s="84" t="s">
        <v>146</v>
      </c>
      <c r="D71" s="83" t="s">
        <v>228</v>
      </c>
      <c r="E71" s="23">
        <f t="shared" si="39"/>
        <v>0</v>
      </c>
      <c r="F71" s="23">
        <v>0</v>
      </c>
      <c r="G71" s="23">
        <v>0</v>
      </c>
      <c r="H71" s="23">
        <v>0</v>
      </c>
      <c r="I71" s="23">
        <v>0</v>
      </c>
      <c r="J71" s="23">
        <f t="shared" si="40"/>
        <v>0</v>
      </c>
      <c r="K71" s="33">
        <v>0</v>
      </c>
      <c r="L71" s="33">
        <v>0</v>
      </c>
      <c r="M71" s="33">
        <v>0</v>
      </c>
      <c r="N71" s="33">
        <v>0</v>
      </c>
      <c r="O71" s="23">
        <f t="shared" si="41"/>
        <v>1000</v>
      </c>
      <c r="P71" s="33">
        <v>1000</v>
      </c>
      <c r="Q71" s="33">
        <v>0</v>
      </c>
      <c r="R71" s="33">
        <v>0</v>
      </c>
      <c r="S71" s="33">
        <v>0</v>
      </c>
      <c r="T71" s="23">
        <f t="shared" si="42"/>
        <v>1000</v>
      </c>
      <c r="U71" s="33">
        <v>1000</v>
      </c>
      <c r="V71" s="23">
        <v>0</v>
      </c>
      <c r="W71" s="23">
        <v>0</v>
      </c>
      <c r="X71" s="23">
        <v>0</v>
      </c>
      <c r="Y71" s="23">
        <f t="shared" si="43"/>
        <v>1000</v>
      </c>
      <c r="Z71" s="33">
        <v>1000</v>
      </c>
      <c r="AA71" s="23">
        <v>0</v>
      </c>
      <c r="AB71" s="23">
        <v>0</v>
      </c>
      <c r="AC71" s="23">
        <v>0</v>
      </c>
      <c r="AD71" s="33">
        <f t="shared" si="44"/>
        <v>3000</v>
      </c>
      <c r="AE71" s="27"/>
    </row>
    <row r="72" spans="1:31" s="1" customFormat="1" ht="105" customHeight="1" x14ac:dyDescent="0.25">
      <c r="A72" s="38" t="s">
        <v>57</v>
      </c>
      <c r="B72" s="34" t="s">
        <v>294</v>
      </c>
      <c r="C72" s="84" t="s">
        <v>122</v>
      </c>
      <c r="D72" s="83" t="s">
        <v>44</v>
      </c>
      <c r="E72" s="23">
        <f>SUM(F72:I72)</f>
        <v>13539.8</v>
      </c>
      <c r="F72" s="23">
        <v>677</v>
      </c>
      <c r="G72" s="23">
        <v>4502</v>
      </c>
      <c r="H72" s="23">
        <v>8360.7999999999993</v>
      </c>
      <c r="I72" s="23">
        <v>0</v>
      </c>
      <c r="J72" s="23">
        <f t="shared" si="40"/>
        <v>11086</v>
      </c>
      <c r="K72" s="33">
        <v>555</v>
      </c>
      <c r="L72" s="33">
        <v>3686</v>
      </c>
      <c r="M72" s="33">
        <v>6845</v>
      </c>
      <c r="N72" s="33">
        <v>0</v>
      </c>
      <c r="O72" s="23">
        <f>SUM(P72:S72)</f>
        <v>9578</v>
      </c>
      <c r="P72" s="33">
        <f>554-75</f>
        <v>479</v>
      </c>
      <c r="Q72" s="33">
        <f>3685.85-993.85+492.45</f>
        <v>3184.45</v>
      </c>
      <c r="R72" s="33">
        <f>6845.15-1845.15+914.55</f>
        <v>5914.55</v>
      </c>
      <c r="S72" s="33">
        <v>0</v>
      </c>
      <c r="T72" s="23">
        <f t="shared" si="42"/>
        <v>6172.98</v>
      </c>
      <c r="U72" s="23">
        <f>563-194-26.89-33.46</f>
        <v>308.65000000000003</v>
      </c>
      <c r="V72" s="23">
        <f>2340-228.84</f>
        <v>2111.16</v>
      </c>
      <c r="W72" s="23">
        <f>4160-406.83</f>
        <v>3753.17</v>
      </c>
      <c r="X72" s="23">
        <v>0</v>
      </c>
      <c r="Y72" s="23">
        <f t="shared" si="43"/>
        <v>6869</v>
      </c>
      <c r="Z72" s="23">
        <f>316+28</f>
        <v>344</v>
      </c>
      <c r="AA72" s="23">
        <v>2349</v>
      </c>
      <c r="AB72" s="23">
        <v>4176</v>
      </c>
      <c r="AC72" s="23">
        <v>0</v>
      </c>
      <c r="AD72" s="33">
        <f>SUM(Y72,T72,O72,J72,E72)</f>
        <v>47245.78</v>
      </c>
      <c r="AE72" s="27"/>
    </row>
    <row r="73" spans="1:31" s="1" customFormat="1" ht="90.75" customHeight="1" x14ac:dyDescent="0.25">
      <c r="A73" s="38" t="s">
        <v>58</v>
      </c>
      <c r="B73" s="88" t="s">
        <v>56</v>
      </c>
      <c r="C73" s="84" t="s">
        <v>75</v>
      </c>
      <c r="D73" s="83" t="s">
        <v>44</v>
      </c>
      <c r="E73" s="23">
        <f t="shared" si="39"/>
        <v>0</v>
      </c>
      <c r="F73" s="23">
        <v>0</v>
      </c>
      <c r="G73" s="23">
        <v>0</v>
      </c>
      <c r="H73" s="23">
        <v>0</v>
      </c>
      <c r="I73" s="23">
        <v>0</v>
      </c>
      <c r="J73" s="23">
        <f t="shared" si="40"/>
        <v>0</v>
      </c>
      <c r="K73" s="23">
        <v>0</v>
      </c>
      <c r="L73" s="23">
        <v>0</v>
      </c>
      <c r="M73" s="23">
        <v>0</v>
      </c>
      <c r="N73" s="23">
        <v>0</v>
      </c>
      <c r="O73" s="23">
        <f>SUM(P73:S73)</f>
        <v>0</v>
      </c>
      <c r="P73" s="23">
        <v>0</v>
      </c>
      <c r="Q73" s="23">
        <v>0</v>
      </c>
      <c r="R73" s="23">
        <v>0</v>
      </c>
      <c r="S73" s="23">
        <v>0</v>
      </c>
      <c r="T73" s="23">
        <f t="shared" si="42"/>
        <v>0</v>
      </c>
      <c r="U73" s="23">
        <v>0</v>
      </c>
      <c r="V73" s="23">
        <v>0</v>
      </c>
      <c r="W73" s="23">
        <v>0</v>
      </c>
      <c r="X73" s="23">
        <v>0</v>
      </c>
      <c r="Y73" s="23">
        <f t="shared" si="43"/>
        <v>0</v>
      </c>
      <c r="Z73" s="23">
        <v>0</v>
      </c>
      <c r="AA73" s="23">
        <v>0</v>
      </c>
      <c r="AB73" s="23">
        <v>0</v>
      </c>
      <c r="AC73" s="23">
        <v>0</v>
      </c>
      <c r="AD73" s="33">
        <f t="shared" si="44"/>
        <v>0</v>
      </c>
      <c r="AE73" s="27"/>
    </row>
    <row r="74" spans="1:31" s="1" customFormat="1" ht="136.5" customHeight="1" x14ac:dyDescent="0.25">
      <c r="A74" s="38" t="s">
        <v>60</v>
      </c>
      <c r="B74" s="88" t="s">
        <v>59</v>
      </c>
      <c r="C74" s="84" t="s">
        <v>75</v>
      </c>
      <c r="D74" s="83" t="s">
        <v>304</v>
      </c>
      <c r="E74" s="23">
        <f t="shared" si="39"/>
        <v>0</v>
      </c>
      <c r="F74" s="23">
        <v>0</v>
      </c>
      <c r="G74" s="23">
        <v>0</v>
      </c>
      <c r="H74" s="23">
        <v>0</v>
      </c>
      <c r="I74" s="23">
        <v>0</v>
      </c>
      <c r="J74" s="23">
        <f t="shared" si="40"/>
        <v>0</v>
      </c>
      <c r="K74" s="23">
        <v>0</v>
      </c>
      <c r="L74" s="33">
        <v>0</v>
      </c>
      <c r="M74" s="33">
        <v>0</v>
      </c>
      <c r="N74" s="33">
        <v>0</v>
      </c>
      <c r="O74" s="23">
        <f t="shared" si="41"/>
        <v>2500</v>
      </c>
      <c r="P74" s="23">
        <v>2500</v>
      </c>
      <c r="Q74" s="23">
        <v>0</v>
      </c>
      <c r="R74" s="23">
        <v>0</v>
      </c>
      <c r="S74" s="23">
        <v>0</v>
      </c>
      <c r="T74" s="23">
        <f t="shared" si="42"/>
        <v>2218</v>
      </c>
      <c r="U74" s="23">
        <f>2500-178-104</f>
        <v>2218</v>
      </c>
      <c r="V74" s="23">
        <v>0</v>
      </c>
      <c r="W74" s="23">
        <v>0</v>
      </c>
      <c r="X74" s="23">
        <v>0</v>
      </c>
      <c r="Y74" s="23">
        <f t="shared" si="43"/>
        <v>0</v>
      </c>
      <c r="Z74" s="23">
        <v>0</v>
      </c>
      <c r="AA74" s="33">
        <v>0</v>
      </c>
      <c r="AB74" s="33">
        <v>0</v>
      </c>
      <c r="AC74" s="33">
        <v>0</v>
      </c>
      <c r="AD74" s="33">
        <f t="shared" si="44"/>
        <v>4718</v>
      </c>
      <c r="AE74" s="27"/>
    </row>
    <row r="75" spans="1:31" s="1" customFormat="1" ht="72.75" customHeight="1" x14ac:dyDescent="0.25">
      <c r="A75" s="38" t="s">
        <v>61</v>
      </c>
      <c r="B75" s="88" t="s">
        <v>116</v>
      </c>
      <c r="C75" s="84" t="s">
        <v>33</v>
      </c>
      <c r="D75" s="83" t="s">
        <v>44</v>
      </c>
      <c r="E75" s="23">
        <f t="shared" si="39"/>
        <v>0</v>
      </c>
      <c r="F75" s="23">
        <v>0</v>
      </c>
      <c r="G75" s="23">
        <v>0</v>
      </c>
      <c r="H75" s="23">
        <v>0</v>
      </c>
      <c r="I75" s="23">
        <v>0</v>
      </c>
      <c r="J75" s="23">
        <f t="shared" si="40"/>
        <v>0</v>
      </c>
      <c r="K75" s="23">
        <v>0</v>
      </c>
      <c r="L75" s="23">
        <v>0</v>
      </c>
      <c r="M75" s="23">
        <v>0</v>
      </c>
      <c r="N75" s="23">
        <v>0</v>
      </c>
      <c r="O75" s="23">
        <f t="shared" si="41"/>
        <v>0</v>
      </c>
      <c r="P75" s="23">
        <v>0</v>
      </c>
      <c r="Q75" s="23">
        <v>0</v>
      </c>
      <c r="R75" s="23">
        <v>0</v>
      </c>
      <c r="S75" s="23">
        <v>0</v>
      </c>
      <c r="T75" s="23">
        <f t="shared" si="42"/>
        <v>0</v>
      </c>
      <c r="U75" s="23">
        <v>0</v>
      </c>
      <c r="V75" s="23">
        <v>0</v>
      </c>
      <c r="W75" s="23">
        <v>0</v>
      </c>
      <c r="X75" s="23">
        <v>0</v>
      </c>
      <c r="Y75" s="23">
        <f t="shared" si="43"/>
        <v>0</v>
      </c>
      <c r="Z75" s="23">
        <v>0</v>
      </c>
      <c r="AA75" s="23">
        <v>0</v>
      </c>
      <c r="AB75" s="23">
        <v>0</v>
      </c>
      <c r="AC75" s="23">
        <v>0</v>
      </c>
      <c r="AD75" s="33">
        <f t="shared" si="44"/>
        <v>0</v>
      </c>
      <c r="AE75" s="27"/>
    </row>
    <row r="76" spans="1:31" s="1" customFormat="1" ht="102.75" customHeight="1" x14ac:dyDescent="0.25">
      <c r="A76" s="38" t="s">
        <v>63</v>
      </c>
      <c r="B76" s="88" t="s">
        <v>62</v>
      </c>
      <c r="C76" s="84" t="s">
        <v>163</v>
      </c>
      <c r="D76" s="83" t="s">
        <v>44</v>
      </c>
      <c r="E76" s="23">
        <f t="shared" si="39"/>
        <v>0</v>
      </c>
      <c r="F76" s="23">
        <v>0</v>
      </c>
      <c r="G76" s="23">
        <v>0</v>
      </c>
      <c r="H76" s="23">
        <v>0</v>
      </c>
      <c r="I76" s="23">
        <v>0</v>
      </c>
      <c r="J76" s="23">
        <f t="shared" si="40"/>
        <v>0</v>
      </c>
      <c r="K76" s="23">
        <v>0</v>
      </c>
      <c r="L76" s="23">
        <v>0</v>
      </c>
      <c r="M76" s="23">
        <v>0</v>
      </c>
      <c r="N76" s="23">
        <v>0</v>
      </c>
      <c r="O76" s="23">
        <f t="shared" si="41"/>
        <v>0</v>
      </c>
      <c r="P76" s="23">
        <v>0</v>
      </c>
      <c r="Q76" s="23">
        <v>0</v>
      </c>
      <c r="R76" s="23">
        <v>0</v>
      </c>
      <c r="S76" s="23">
        <v>0</v>
      </c>
      <c r="T76" s="23">
        <f t="shared" si="42"/>
        <v>0</v>
      </c>
      <c r="U76" s="23">
        <v>0</v>
      </c>
      <c r="V76" s="23">
        <v>0</v>
      </c>
      <c r="W76" s="23">
        <v>0</v>
      </c>
      <c r="X76" s="23">
        <v>0</v>
      </c>
      <c r="Y76" s="23">
        <f t="shared" si="43"/>
        <v>0</v>
      </c>
      <c r="Z76" s="23">
        <v>0</v>
      </c>
      <c r="AA76" s="23">
        <v>0</v>
      </c>
      <c r="AB76" s="23">
        <v>0</v>
      </c>
      <c r="AC76" s="23">
        <v>0</v>
      </c>
      <c r="AD76" s="33">
        <f t="shared" si="44"/>
        <v>0</v>
      </c>
      <c r="AE76" s="27"/>
    </row>
    <row r="77" spans="1:31" s="1" customFormat="1" ht="72.599999999999994" customHeight="1" x14ac:dyDescent="0.25">
      <c r="A77" s="84" t="s">
        <v>123</v>
      </c>
      <c r="B77" s="88" t="s">
        <v>133</v>
      </c>
      <c r="C77" s="84" t="s">
        <v>107</v>
      </c>
      <c r="D77" s="83">
        <v>2019.2022999999999</v>
      </c>
      <c r="E77" s="23">
        <f t="shared" si="39"/>
        <v>273</v>
      </c>
      <c r="F77" s="23">
        <f>347-74</f>
        <v>273</v>
      </c>
      <c r="G77" s="23">
        <v>0</v>
      </c>
      <c r="H77" s="23">
        <v>0</v>
      </c>
      <c r="I77" s="23">
        <v>0</v>
      </c>
      <c r="J77" s="23">
        <f t="shared" si="40"/>
        <v>0</v>
      </c>
      <c r="K77" s="23">
        <v>0</v>
      </c>
      <c r="L77" s="23">
        <v>0</v>
      </c>
      <c r="M77" s="23">
        <v>0</v>
      </c>
      <c r="N77" s="23">
        <v>0</v>
      </c>
      <c r="O77" s="23">
        <f t="shared" si="41"/>
        <v>0</v>
      </c>
      <c r="P77" s="23">
        <f>49-49</f>
        <v>0</v>
      </c>
      <c r="Q77" s="23">
        <v>0</v>
      </c>
      <c r="R77" s="23">
        <v>0</v>
      </c>
      <c r="S77" s="23">
        <v>0</v>
      </c>
      <c r="T77" s="23">
        <f t="shared" si="42"/>
        <v>0</v>
      </c>
      <c r="U77" s="23">
        <v>0</v>
      </c>
      <c r="V77" s="23">
        <v>0</v>
      </c>
      <c r="W77" s="23">
        <v>0</v>
      </c>
      <c r="X77" s="23">
        <v>0</v>
      </c>
      <c r="Y77" s="23">
        <v>0</v>
      </c>
      <c r="Z77" s="23">
        <v>0</v>
      </c>
      <c r="AA77" s="23">
        <v>0</v>
      </c>
      <c r="AB77" s="23">
        <v>0</v>
      </c>
      <c r="AC77" s="23">
        <v>0</v>
      </c>
      <c r="AD77" s="33">
        <f t="shared" si="44"/>
        <v>273</v>
      </c>
      <c r="AE77" s="27"/>
    </row>
    <row r="78" spans="1:31" s="1" customFormat="1" ht="72.599999999999994" customHeight="1" x14ac:dyDescent="0.25">
      <c r="A78" s="84" t="s">
        <v>172</v>
      </c>
      <c r="B78" s="88" t="s">
        <v>171</v>
      </c>
      <c r="C78" s="84" t="s">
        <v>33</v>
      </c>
      <c r="D78" s="83" t="s">
        <v>44</v>
      </c>
      <c r="E78" s="23">
        <v>74</v>
      </c>
      <c r="F78" s="23">
        <v>74</v>
      </c>
      <c r="G78" s="23">
        <v>0</v>
      </c>
      <c r="H78" s="23">
        <v>0</v>
      </c>
      <c r="I78" s="23">
        <v>0</v>
      </c>
      <c r="J78" s="23">
        <f t="shared" ref="J78" si="45">SUM(K78:N78)</f>
        <v>74</v>
      </c>
      <c r="K78" s="23">
        <v>74</v>
      </c>
      <c r="L78" s="23">
        <v>0</v>
      </c>
      <c r="M78" s="23">
        <v>0</v>
      </c>
      <c r="N78" s="23">
        <v>0</v>
      </c>
      <c r="O78" s="23">
        <v>74</v>
      </c>
      <c r="P78" s="23">
        <v>74</v>
      </c>
      <c r="Q78" s="23">
        <v>0</v>
      </c>
      <c r="R78" s="23">
        <v>0</v>
      </c>
      <c r="S78" s="23">
        <v>0</v>
      </c>
      <c r="T78" s="23">
        <f t="shared" si="42"/>
        <v>102.35</v>
      </c>
      <c r="U78" s="23">
        <f>74+28.35</f>
        <v>102.35</v>
      </c>
      <c r="V78" s="23">
        <v>0</v>
      </c>
      <c r="W78" s="23">
        <v>0</v>
      </c>
      <c r="X78" s="23">
        <v>0</v>
      </c>
      <c r="Y78" s="23">
        <f t="shared" ref="Y78" si="46">SUM(Z78:AC78)</f>
        <v>74</v>
      </c>
      <c r="Z78" s="23">
        <v>74</v>
      </c>
      <c r="AA78" s="23">
        <v>0</v>
      </c>
      <c r="AB78" s="23">
        <v>0</v>
      </c>
      <c r="AC78" s="23">
        <v>0</v>
      </c>
      <c r="AD78" s="33">
        <f t="shared" ref="AD78" si="47">SUM(Y78,T78,O78,J78,E78)</f>
        <v>398.35</v>
      </c>
      <c r="AE78" s="27"/>
    </row>
    <row r="79" spans="1:31" s="1" customFormat="1" ht="53.25" customHeight="1" x14ac:dyDescent="0.25">
      <c r="A79" s="84" t="s">
        <v>210</v>
      </c>
      <c r="B79" s="88" t="s">
        <v>211</v>
      </c>
      <c r="C79" s="84" t="s">
        <v>33</v>
      </c>
      <c r="D79" s="83" t="s">
        <v>228</v>
      </c>
      <c r="E79" s="23">
        <v>0</v>
      </c>
      <c r="F79" s="23">
        <v>0</v>
      </c>
      <c r="G79" s="23">
        <v>0</v>
      </c>
      <c r="H79" s="23">
        <v>0</v>
      </c>
      <c r="I79" s="23">
        <v>0</v>
      </c>
      <c r="J79" s="23">
        <v>0</v>
      </c>
      <c r="K79" s="23">
        <v>0</v>
      </c>
      <c r="L79" s="23">
        <v>0</v>
      </c>
      <c r="M79" s="23">
        <v>0</v>
      </c>
      <c r="N79" s="23">
        <v>0</v>
      </c>
      <c r="O79" s="23">
        <v>0</v>
      </c>
      <c r="P79" s="23">
        <v>0</v>
      </c>
      <c r="Q79" s="23">
        <v>0</v>
      </c>
      <c r="R79" s="23">
        <v>0</v>
      </c>
      <c r="S79" s="23">
        <v>0</v>
      </c>
      <c r="T79" s="23">
        <f t="shared" si="42"/>
        <v>0</v>
      </c>
      <c r="U79" s="23">
        <v>0</v>
      </c>
      <c r="V79" s="23">
        <v>0</v>
      </c>
      <c r="W79" s="23">
        <v>0</v>
      </c>
      <c r="X79" s="23">
        <v>0</v>
      </c>
      <c r="Y79" s="23">
        <v>0</v>
      </c>
      <c r="Z79" s="23">
        <v>0</v>
      </c>
      <c r="AA79" s="23">
        <v>0</v>
      </c>
      <c r="AB79" s="23">
        <v>0</v>
      </c>
      <c r="AC79" s="23">
        <v>0</v>
      </c>
      <c r="AD79" s="33">
        <f t="shared" si="44"/>
        <v>0</v>
      </c>
      <c r="AE79" s="27"/>
    </row>
    <row r="80" spans="1:31" s="1" customFormat="1" ht="156" customHeight="1" x14ac:dyDescent="0.25">
      <c r="A80" s="84" t="s">
        <v>256</v>
      </c>
      <c r="B80" s="88" t="s">
        <v>295</v>
      </c>
      <c r="C80" s="84" t="s">
        <v>257</v>
      </c>
      <c r="D80" s="83">
        <v>2022</v>
      </c>
      <c r="E80" s="23"/>
      <c r="F80" s="23"/>
      <c r="G80" s="23"/>
      <c r="H80" s="23"/>
      <c r="I80" s="23"/>
      <c r="J80" s="23"/>
      <c r="K80" s="23"/>
      <c r="L80" s="23"/>
      <c r="M80" s="23"/>
      <c r="N80" s="23"/>
      <c r="O80" s="23"/>
      <c r="P80" s="23"/>
      <c r="Q80" s="23"/>
      <c r="R80" s="23"/>
      <c r="S80" s="23"/>
      <c r="T80" s="23">
        <f t="shared" si="42"/>
        <v>1500</v>
      </c>
      <c r="U80" s="23">
        <v>0</v>
      </c>
      <c r="V80" s="23">
        <v>1500</v>
      </c>
      <c r="W80" s="23">
        <v>0</v>
      </c>
      <c r="X80" s="23">
        <v>0</v>
      </c>
      <c r="Y80" s="23">
        <v>0</v>
      </c>
      <c r="Z80" s="23">
        <v>0</v>
      </c>
      <c r="AA80" s="23">
        <v>0</v>
      </c>
      <c r="AB80" s="23">
        <v>0</v>
      </c>
      <c r="AC80" s="23">
        <v>0</v>
      </c>
      <c r="AD80" s="33">
        <f t="shared" si="44"/>
        <v>1500</v>
      </c>
      <c r="AE80" s="27"/>
    </row>
    <row r="81" spans="1:31" s="3" customFormat="1" ht="22.9" customHeight="1" x14ac:dyDescent="0.25">
      <c r="A81" s="48"/>
      <c r="B81" s="85" t="s">
        <v>35</v>
      </c>
      <c r="C81" s="85"/>
      <c r="D81" s="49"/>
      <c r="E81" s="32">
        <f>SUM(F81:I81)</f>
        <v>13886.8</v>
      </c>
      <c r="F81" s="32">
        <f>SUM(F70:F79)</f>
        <v>1024</v>
      </c>
      <c r="G81" s="32">
        <f t="shared" ref="G81:I81" si="48">SUM(G70:G79)</f>
        <v>4502</v>
      </c>
      <c r="H81" s="32">
        <f t="shared" si="48"/>
        <v>8360.7999999999993</v>
      </c>
      <c r="I81" s="32">
        <f t="shared" si="48"/>
        <v>0</v>
      </c>
      <c r="J81" s="32">
        <f>SUM(J70:J79)</f>
        <v>11160</v>
      </c>
      <c r="K81" s="32">
        <f>SUM(K70:K79)</f>
        <v>629</v>
      </c>
      <c r="L81" s="32">
        <f>SUM(L70:L79)</f>
        <v>3686</v>
      </c>
      <c r="M81" s="32">
        <f>SUM(M70:M79)</f>
        <v>6845</v>
      </c>
      <c r="N81" s="32">
        <f t="shared" ref="N81" si="49">SUM(N70:N77)</f>
        <v>0</v>
      </c>
      <c r="O81" s="32">
        <f>SUM(P81:S81)</f>
        <v>13152</v>
      </c>
      <c r="P81" s="32">
        <f>SUM(P70:P79)</f>
        <v>4053</v>
      </c>
      <c r="Q81" s="32">
        <f>SUM(Q70:Q79)</f>
        <v>3184.45</v>
      </c>
      <c r="R81" s="32">
        <f>SUM(R70:R79)</f>
        <v>5914.55</v>
      </c>
      <c r="S81" s="32">
        <f>SUM(S70:S79)</f>
        <v>0</v>
      </c>
      <c r="T81" s="32">
        <f>SUM(U81:X81)</f>
        <v>10993.33</v>
      </c>
      <c r="U81" s="52">
        <f>SUM(U70:U80)</f>
        <v>3629</v>
      </c>
      <c r="V81" s="32">
        <f>SUM(V70:V80)</f>
        <v>3611.16</v>
      </c>
      <c r="W81" s="32">
        <f>SUM(W70:W80)</f>
        <v>3753.17</v>
      </c>
      <c r="X81" s="32">
        <f>SUM(X70:X80)</f>
        <v>0</v>
      </c>
      <c r="Y81" s="32">
        <f>SUM(Y70:Y79)</f>
        <v>7943</v>
      </c>
      <c r="Z81" s="32">
        <f>SUM(Z70:Z79)</f>
        <v>1418</v>
      </c>
      <c r="AA81" s="32">
        <f t="shared" ref="AA81:AC81" si="50">SUM(AA70:AA79)</f>
        <v>2349</v>
      </c>
      <c r="AB81" s="32">
        <f t="shared" si="50"/>
        <v>4176</v>
      </c>
      <c r="AC81" s="32">
        <f t="shared" si="50"/>
        <v>0</v>
      </c>
      <c r="AD81" s="66">
        <f>SUM(AD70:AD80)</f>
        <v>57135.13</v>
      </c>
      <c r="AE81" s="37"/>
    </row>
    <row r="82" spans="1:31" s="1" customFormat="1" ht="46.15" customHeight="1" x14ac:dyDescent="0.25">
      <c r="A82" s="50"/>
      <c r="B82" s="118" t="s">
        <v>114</v>
      </c>
      <c r="C82" s="120"/>
      <c r="D82" s="31"/>
      <c r="E82" s="23"/>
      <c r="F82" s="23"/>
      <c r="G82" s="23"/>
      <c r="H82" s="23"/>
      <c r="I82" s="23"/>
      <c r="J82" s="33"/>
      <c r="K82" s="33"/>
      <c r="L82" s="33"/>
      <c r="M82" s="33"/>
      <c r="N82" s="33"/>
      <c r="O82" s="33"/>
      <c r="P82" s="33"/>
      <c r="Q82" s="23"/>
      <c r="R82" s="23"/>
      <c r="S82" s="23"/>
      <c r="T82" s="23"/>
      <c r="U82" s="23"/>
      <c r="V82" s="23"/>
      <c r="W82" s="23"/>
      <c r="X82" s="33"/>
      <c r="Y82" s="33"/>
      <c r="Z82" s="33"/>
      <c r="AA82" s="33"/>
      <c r="AB82" s="33"/>
      <c r="AC82" s="33"/>
      <c r="AD82" s="33"/>
      <c r="AE82" s="27"/>
    </row>
    <row r="83" spans="1:31" s="1" customFormat="1" ht="62.25" customHeight="1" x14ac:dyDescent="0.25">
      <c r="A83" s="84" t="s">
        <v>11</v>
      </c>
      <c r="B83" s="88" t="s">
        <v>76</v>
      </c>
      <c r="C83" s="84" t="s">
        <v>75</v>
      </c>
      <c r="D83" s="83" t="s">
        <v>224</v>
      </c>
      <c r="E83" s="23">
        <f t="shared" ref="E83:E97" si="51">SUM(F83:I83)</f>
        <v>0</v>
      </c>
      <c r="F83" s="23">
        <v>0</v>
      </c>
      <c r="G83" s="23">
        <v>0</v>
      </c>
      <c r="H83" s="23">
        <v>0</v>
      </c>
      <c r="I83" s="23">
        <v>0</v>
      </c>
      <c r="J83" s="23">
        <v>0</v>
      </c>
      <c r="K83" s="23">
        <v>0</v>
      </c>
      <c r="L83" s="23">
        <v>0</v>
      </c>
      <c r="M83" s="23">
        <v>0</v>
      </c>
      <c r="N83" s="23">
        <v>0</v>
      </c>
      <c r="O83" s="23">
        <v>0</v>
      </c>
      <c r="P83" s="23">
        <v>0</v>
      </c>
      <c r="Q83" s="23">
        <v>0</v>
      </c>
      <c r="R83" s="23">
        <v>0</v>
      </c>
      <c r="S83" s="23">
        <v>0</v>
      </c>
      <c r="T83" s="23">
        <f t="shared" ref="T83:T100" si="52">SUM(U83:X83)</f>
        <v>0</v>
      </c>
      <c r="U83" s="23">
        <v>0</v>
      </c>
      <c r="V83" s="23">
        <v>0</v>
      </c>
      <c r="W83" s="23">
        <v>0</v>
      </c>
      <c r="X83" s="23">
        <v>0</v>
      </c>
      <c r="Y83" s="23">
        <f t="shared" ref="Y83:Y100" si="53">SUM(Z83:AC83)</f>
        <v>0</v>
      </c>
      <c r="Z83" s="23">
        <v>0</v>
      </c>
      <c r="AA83" s="23">
        <v>0</v>
      </c>
      <c r="AB83" s="23">
        <v>0</v>
      </c>
      <c r="AC83" s="23">
        <v>0</v>
      </c>
      <c r="AD83" s="33">
        <f t="shared" ref="AD83:AD89" si="54">SUM(Y83,T83,O83,J83,E83)</f>
        <v>0</v>
      </c>
      <c r="AE83" s="27"/>
    </row>
    <row r="84" spans="1:31" s="2" customFormat="1" ht="330.75" customHeight="1" x14ac:dyDescent="0.25">
      <c r="A84" s="84" t="s">
        <v>12</v>
      </c>
      <c r="B84" s="88" t="s">
        <v>64</v>
      </c>
      <c r="C84" s="84" t="s">
        <v>320</v>
      </c>
      <c r="D84" s="83" t="s">
        <v>44</v>
      </c>
      <c r="E84" s="23">
        <f t="shared" si="51"/>
        <v>167984.2</v>
      </c>
      <c r="F84" s="23">
        <v>0</v>
      </c>
      <c r="G84" s="23">
        <v>0</v>
      </c>
      <c r="H84" s="23">
        <v>0</v>
      </c>
      <c r="I84" s="33">
        <v>167984.2</v>
      </c>
      <c r="J84" s="23">
        <f t="shared" ref="J84:J96" si="55">SUM(K84:N84)</f>
        <v>144287.70000000001</v>
      </c>
      <c r="K84" s="23">
        <v>0</v>
      </c>
      <c r="L84" s="23">
        <v>0</v>
      </c>
      <c r="M84" s="23">
        <v>0</v>
      </c>
      <c r="N84" s="33">
        <f>156096-11808.3</f>
        <v>144287.70000000001</v>
      </c>
      <c r="O84" s="23">
        <f t="shared" ref="O84:O99" si="56">SUM(P84:S84)</f>
        <v>174143</v>
      </c>
      <c r="P84" s="23">
        <v>0</v>
      </c>
      <c r="Q84" s="23">
        <v>0</v>
      </c>
      <c r="R84" s="23">
        <v>0</v>
      </c>
      <c r="S84" s="33">
        <v>174143</v>
      </c>
      <c r="T84" s="23">
        <f t="shared" si="52"/>
        <v>184860.38</v>
      </c>
      <c r="U84" s="23">
        <v>0</v>
      </c>
      <c r="V84" s="23">
        <v>0</v>
      </c>
      <c r="W84" s="23">
        <v>0</v>
      </c>
      <c r="X84" s="33">
        <v>184860.38</v>
      </c>
      <c r="Y84" s="23">
        <f t="shared" si="53"/>
        <v>157270</v>
      </c>
      <c r="Z84" s="23">
        <v>0</v>
      </c>
      <c r="AA84" s="23">
        <v>0</v>
      </c>
      <c r="AB84" s="23">
        <v>0</v>
      </c>
      <c r="AC84" s="33">
        <v>157270</v>
      </c>
      <c r="AD84" s="33">
        <f t="shared" si="54"/>
        <v>828545.28</v>
      </c>
      <c r="AE84" s="42"/>
    </row>
    <row r="85" spans="1:31" s="1" customFormat="1" ht="102.75" customHeight="1" x14ac:dyDescent="0.25">
      <c r="A85" s="84" t="s">
        <v>17</v>
      </c>
      <c r="B85" s="88" t="s">
        <v>197</v>
      </c>
      <c r="C85" s="84" t="s">
        <v>129</v>
      </c>
      <c r="D85" s="83">
        <v>2020</v>
      </c>
      <c r="E85" s="23">
        <f t="shared" si="51"/>
        <v>0</v>
      </c>
      <c r="F85" s="51">
        <v>0</v>
      </c>
      <c r="G85" s="51">
        <v>0</v>
      </c>
      <c r="H85" s="51">
        <v>0</v>
      </c>
      <c r="I85" s="51">
        <v>0</v>
      </c>
      <c r="J85" s="23">
        <f t="shared" si="55"/>
        <v>1300</v>
      </c>
      <c r="K85" s="23">
        <f>2000-700</f>
        <v>1300</v>
      </c>
      <c r="L85" s="23">
        <v>0</v>
      </c>
      <c r="M85" s="23">
        <v>0</v>
      </c>
      <c r="N85" s="33">
        <v>0</v>
      </c>
      <c r="O85" s="23">
        <f t="shared" si="56"/>
        <v>0</v>
      </c>
      <c r="P85" s="33">
        <v>0</v>
      </c>
      <c r="Q85" s="33">
        <v>0</v>
      </c>
      <c r="R85" s="33">
        <v>0</v>
      </c>
      <c r="S85" s="33">
        <v>0</v>
      </c>
      <c r="T85" s="23">
        <f t="shared" si="52"/>
        <v>0</v>
      </c>
      <c r="U85" s="33">
        <v>0</v>
      </c>
      <c r="V85" s="33">
        <v>0</v>
      </c>
      <c r="W85" s="33">
        <v>0</v>
      </c>
      <c r="X85" s="33">
        <v>0</v>
      </c>
      <c r="Y85" s="23">
        <f t="shared" si="53"/>
        <v>0</v>
      </c>
      <c r="Z85" s="33">
        <v>0</v>
      </c>
      <c r="AA85" s="33">
        <v>0</v>
      </c>
      <c r="AB85" s="33">
        <v>0</v>
      </c>
      <c r="AC85" s="33">
        <v>0</v>
      </c>
      <c r="AD85" s="33">
        <f t="shared" si="54"/>
        <v>1300</v>
      </c>
      <c r="AE85" s="27"/>
    </row>
    <row r="86" spans="1:31" s="1" customFormat="1" ht="42.75" customHeight="1" x14ac:dyDescent="0.25">
      <c r="A86" s="84" t="s">
        <v>37</v>
      </c>
      <c r="B86" s="88" t="s">
        <v>80</v>
      </c>
      <c r="C86" s="84" t="s">
        <v>212</v>
      </c>
      <c r="D86" s="83">
        <v>2020</v>
      </c>
      <c r="E86" s="23">
        <f t="shared" si="51"/>
        <v>0</v>
      </c>
      <c r="F86" s="51">
        <v>0</v>
      </c>
      <c r="G86" s="51">
        <v>0</v>
      </c>
      <c r="H86" s="51">
        <v>0</v>
      </c>
      <c r="I86" s="51">
        <v>0</v>
      </c>
      <c r="J86" s="23">
        <f t="shared" si="55"/>
        <v>0</v>
      </c>
      <c r="K86" s="23">
        <f>150-150</f>
        <v>0</v>
      </c>
      <c r="L86" s="23">
        <v>0</v>
      </c>
      <c r="M86" s="33">
        <v>0</v>
      </c>
      <c r="N86" s="33">
        <v>0</v>
      </c>
      <c r="O86" s="23">
        <f t="shared" si="56"/>
        <v>0</v>
      </c>
      <c r="P86" s="33">
        <v>0</v>
      </c>
      <c r="Q86" s="33">
        <v>0</v>
      </c>
      <c r="R86" s="33">
        <v>0</v>
      </c>
      <c r="S86" s="33">
        <v>0</v>
      </c>
      <c r="T86" s="23">
        <f t="shared" si="52"/>
        <v>0</v>
      </c>
      <c r="U86" s="33">
        <v>0</v>
      </c>
      <c r="V86" s="33">
        <v>0</v>
      </c>
      <c r="W86" s="33">
        <v>0</v>
      </c>
      <c r="X86" s="33">
        <v>0</v>
      </c>
      <c r="Y86" s="23">
        <f t="shared" si="53"/>
        <v>0</v>
      </c>
      <c r="Z86" s="33">
        <v>0</v>
      </c>
      <c r="AA86" s="33">
        <v>0</v>
      </c>
      <c r="AB86" s="33">
        <v>0</v>
      </c>
      <c r="AC86" s="33">
        <v>0</v>
      </c>
      <c r="AD86" s="33">
        <f t="shared" si="54"/>
        <v>0</v>
      </c>
      <c r="AE86" s="27"/>
    </row>
    <row r="87" spans="1:31" s="1" customFormat="1" ht="86.25" customHeight="1" x14ac:dyDescent="0.25">
      <c r="A87" s="84" t="s">
        <v>66</v>
      </c>
      <c r="B87" s="88" t="s">
        <v>65</v>
      </c>
      <c r="C87" s="84" t="s">
        <v>129</v>
      </c>
      <c r="D87" s="83">
        <v>2019</v>
      </c>
      <c r="E87" s="23">
        <f t="shared" si="51"/>
        <v>100</v>
      </c>
      <c r="F87" s="23">
        <v>100</v>
      </c>
      <c r="G87" s="23">
        <v>0</v>
      </c>
      <c r="H87" s="51">
        <v>0</v>
      </c>
      <c r="I87" s="51">
        <v>0</v>
      </c>
      <c r="J87" s="23">
        <f t="shared" si="55"/>
        <v>0</v>
      </c>
      <c r="K87" s="51">
        <v>0</v>
      </c>
      <c r="L87" s="51">
        <v>0</v>
      </c>
      <c r="M87" s="51">
        <v>0</v>
      </c>
      <c r="N87" s="51">
        <v>0</v>
      </c>
      <c r="O87" s="23">
        <f t="shared" si="56"/>
        <v>0</v>
      </c>
      <c r="P87" s="51">
        <v>0</v>
      </c>
      <c r="Q87" s="51">
        <v>0</v>
      </c>
      <c r="R87" s="51">
        <v>0</v>
      </c>
      <c r="S87" s="51">
        <v>0</v>
      </c>
      <c r="T87" s="23">
        <f t="shared" si="52"/>
        <v>0</v>
      </c>
      <c r="U87" s="51">
        <v>0</v>
      </c>
      <c r="V87" s="51">
        <v>0</v>
      </c>
      <c r="W87" s="51">
        <v>0</v>
      </c>
      <c r="X87" s="51">
        <v>0</v>
      </c>
      <c r="Y87" s="23">
        <f t="shared" si="53"/>
        <v>0</v>
      </c>
      <c r="Z87" s="51">
        <v>0</v>
      </c>
      <c r="AA87" s="51">
        <v>0</v>
      </c>
      <c r="AB87" s="51">
        <v>0</v>
      </c>
      <c r="AC87" s="51">
        <v>0</v>
      </c>
      <c r="AD87" s="33">
        <f t="shared" si="54"/>
        <v>100</v>
      </c>
      <c r="AE87" s="27"/>
    </row>
    <row r="88" spans="1:31" s="1" customFormat="1" ht="69.75" customHeight="1" x14ac:dyDescent="0.25">
      <c r="A88" s="115" t="s">
        <v>67</v>
      </c>
      <c r="B88" s="88" t="s">
        <v>219</v>
      </c>
      <c r="C88" s="100" t="s">
        <v>218</v>
      </c>
      <c r="D88" s="98" t="s">
        <v>225</v>
      </c>
      <c r="E88" s="23"/>
      <c r="F88" s="23"/>
      <c r="G88" s="23"/>
      <c r="H88" s="23"/>
      <c r="I88" s="23"/>
      <c r="J88" s="23"/>
      <c r="K88" s="33"/>
      <c r="L88" s="33"/>
      <c r="M88" s="33"/>
      <c r="N88" s="33"/>
      <c r="O88" s="23">
        <f t="shared" si="56"/>
        <v>0</v>
      </c>
      <c r="P88" s="23"/>
      <c r="Q88" s="23"/>
      <c r="R88" s="23"/>
      <c r="S88" s="23"/>
      <c r="T88" s="23"/>
      <c r="U88" s="23"/>
      <c r="V88" s="23"/>
      <c r="W88" s="23"/>
      <c r="X88" s="33"/>
      <c r="Y88" s="23">
        <f t="shared" si="53"/>
        <v>0</v>
      </c>
      <c r="Z88" s="33"/>
      <c r="AA88" s="33"/>
      <c r="AB88" s="33"/>
      <c r="AC88" s="33"/>
      <c r="AD88" s="33">
        <f t="shared" si="54"/>
        <v>0</v>
      </c>
      <c r="AE88" s="27"/>
    </row>
    <row r="89" spans="1:31" s="1" customFormat="1" ht="44.25" customHeight="1" x14ac:dyDescent="0.25">
      <c r="A89" s="115"/>
      <c r="B89" s="88" t="s">
        <v>201</v>
      </c>
      <c r="C89" s="101"/>
      <c r="D89" s="99"/>
      <c r="E89" s="23">
        <f t="shared" si="51"/>
        <v>100</v>
      </c>
      <c r="F89" s="23">
        <v>100</v>
      </c>
      <c r="G89" s="23">
        <v>0</v>
      </c>
      <c r="H89" s="23">
        <v>0</v>
      </c>
      <c r="I89" s="23">
        <v>0</v>
      </c>
      <c r="J89" s="23">
        <f t="shared" si="55"/>
        <v>0</v>
      </c>
      <c r="K89" s="33">
        <f>100-100</f>
        <v>0</v>
      </c>
      <c r="L89" s="33">
        <v>0</v>
      </c>
      <c r="M89" s="33">
        <v>0</v>
      </c>
      <c r="N89" s="33">
        <v>0</v>
      </c>
      <c r="O89" s="23">
        <f t="shared" si="56"/>
        <v>49</v>
      </c>
      <c r="P89" s="23">
        <v>49</v>
      </c>
      <c r="Q89" s="23">
        <v>0</v>
      </c>
      <c r="R89" s="23">
        <v>0</v>
      </c>
      <c r="S89" s="23">
        <v>0</v>
      </c>
      <c r="T89" s="23">
        <f t="shared" si="52"/>
        <v>232</v>
      </c>
      <c r="U89" s="23">
        <f>256-24</f>
        <v>232</v>
      </c>
      <c r="V89" s="23">
        <v>0</v>
      </c>
      <c r="W89" s="23">
        <v>0</v>
      </c>
      <c r="X89" s="23">
        <v>0</v>
      </c>
      <c r="Y89" s="23">
        <f t="shared" si="53"/>
        <v>293</v>
      </c>
      <c r="Z89" s="33">
        <f>256+37</f>
        <v>293</v>
      </c>
      <c r="AA89" s="33">
        <v>0</v>
      </c>
      <c r="AB89" s="33">
        <v>0</v>
      </c>
      <c r="AC89" s="33">
        <v>0</v>
      </c>
      <c r="AD89" s="33">
        <f t="shared" si="54"/>
        <v>674</v>
      </c>
      <c r="AE89" s="27"/>
    </row>
    <row r="90" spans="1:31" s="1" customFormat="1" ht="35.25" customHeight="1" x14ac:dyDescent="0.25">
      <c r="A90" s="115"/>
      <c r="B90" s="88" t="s">
        <v>202</v>
      </c>
      <c r="C90" s="101"/>
      <c r="D90" s="99"/>
      <c r="E90" s="23">
        <f t="shared" si="51"/>
        <v>300</v>
      </c>
      <c r="F90" s="23">
        <v>300</v>
      </c>
      <c r="G90" s="23">
        <v>0</v>
      </c>
      <c r="H90" s="23">
        <v>0</v>
      </c>
      <c r="I90" s="23">
        <v>0</v>
      </c>
      <c r="J90" s="23">
        <f t="shared" si="55"/>
        <v>0</v>
      </c>
      <c r="K90" s="33">
        <f>303-303</f>
        <v>0</v>
      </c>
      <c r="L90" s="33">
        <v>0</v>
      </c>
      <c r="M90" s="33">
        <v>0</v>
      </c>
      <c r="N90" s="33">
        <v>0</v>
      </c>
      <c r="O90" s="23">
        <f t="shared" si="56"/>
        <v>0</v>
      </c>
      <c r="P90" s="23">
        <v>0</v>
      </c>
      <c r="Q90" s="23">
        <v>0</v>
      </c>
      <c r="R90" s="23">
        <v>0</v>
      </c>
      <c r="S90" s="23">
        <v>0</v>
      </c>
      <c r="T90" s="23">
        <f t="shared" si="52"/>
        <v>0</v>
      </c>
      <c r="U90" s="23">
        <v>0</v>
      </c>
      <c r="V90" s="23">
        <v>0</v>
      </c>
      <c r="W90" s="23">
        <v>0</v>
      </c>
      <c r="X90" s="23">
        <v>0</v>
      </c>
      <c r="Y90" s="23">
        <f t="shared" si="53"/>
        <v>0</v>
      </c>
      <c r="Z90" s="33">
        <v>0</v>
      </c>
      <c r="AA90" s="33">
        <v>0</v>
      </c>
      <c r="AB90" s="33">
        <v>0</v>
      </c>
      <c r="AC90" s="33">
        <v>0</v>
      </c>
      <c r="AD90" s="33">
        <f t="shared" ref="AD90:AD96" si="57">SUM(Y90,T90,O90,J90,E90)</f>
        <v>300</v>
      </c>
      <c r="AE90" s="27"/>
    </row>
    <row r="91" spans="1:31" s="1" customFormat="1" ht="36" customHeight="1" x14ac:dyDescent="0.25">
      <c r="A91" s="115"/>
      <c r="B91" s="88" t="s">
        <v>203</v>
      </c>
      <c r="C91" s="101"/>
      <c r="D91" s="99"/>
      <c r="E91" s="23">
        <f t="shared" si="51"/>
        <v>73</v>
      </c>
      <c r="F91" s="23">
        <v>73</v>
      </c>
      <c r="G91" s="23">
        <v>0</v>
      </c>
      <c r="H91" s="23">
        <v>0</v>
      </c>
      <c r="I91" s="23">
        <v>0</v>
      </c>
      <c r="J91" s="23">
        <f t="shared" si="55"/>
        <v>0</v>
      </c>
      <c r="K91" s="33">
        <v>0</v>
      </c>
      <c r="L91" s="33">
        <v>0</v>
      </c>
      <c r="M91" s="33">
        <v>0</v>
      </c>
      <c r="N91" s="33">
        <v>0</v>
      </c>
      <c r="O91" s="23">
        <f t="shared" si="56"/>
        <v>0</v>
      </c>
      <c r="P91" s="23">
        <v>0</v>
      </c>
      <c r="Q91" s="23">
        <v>0</v>
      </c>
      <c r="R91" s="23">
        <v>0</v>
      </c>
      <c r="S91" s="23">
        <v>0</v>
      </c>
      <c r="T91" s="23">
        <f t="shared" si="52"/>
        <v>0</v>
      </c>
      <c r="U91" s="23">
        <v>0</v>
      </c>
      <c r="V91" s="23">
        <v>0</v>
      </c>
      <c r="W91" s="23">
        <v>0</v>
      </c>
      <c r="X91" s="23">
        <v>0</v>
      </c>
      <c r="Y91" s="23">
        <f t="shared" si="53"/>
        <v>0</v>
      </c>
      <c r="Z91" s="33">
        <v>0</v>
      </c>
      <c r="AA91" s="33">
        <v>0</v>
      </c>
      <c r="AB91" s="33">
        <v>0</v>
      </c>
      <c r="AC91" s="33">
        <v>0</v>
      </c>
      <c r="AD91" s="33">
        <f t="shared" si="57"/>
        <v>73</v>
      </c>
      <c r="AE91" s="27"/>
    </row>
    <row r="92" spans="1:31" s="1" customFormat="1" ht="26.45" customHeight="1" x14ac:dyDescent="0.25">
      <c r="A92" s="115"/>
      <c r="B92" s="88" t="s">
        <v>204</v>
      </c>
      <c r="C92" s="101"/>
      <c r="D92" s="99"/>
      <c r="E92" s="23">
        <f t="shared" si="51"/>
        <v>0</v>
      </c>
      <c r="F92" s="23">
        <v>0</v>
      </c>
      <c r="G92" s="23">
        <v>0</v>
      </c>
      <c r="H92" s="23">
        <v>0</v>
      </c>
      <c r="I92" s="23">
        <v>0</v>
      </c>
      <c r="J92" s="23">
        <f t="shared" si="55"/>
        <v>0</v>
      </c>
      <c r="K92" s="23">
        <v>0</v>
      </c>
      <c r="L92" s="23">
        <v>0</v>
      </c>
      <c r="M92" s="23">
        <v>0</v>
      </c>
      <c r="N92" s="23">
        <v>0</v>
      </c>
      <c r="O92" s="23">
        <f t="shared" si="56"/>
        <v>0</v>
      </c>
      <c r="P92" s="23">
        <v>0</v>
      </c>
      <c r="Q92" s="23">
        <v>0</v>
      </c>
      <c r="R92" s="23">
        <v>0</v>
      </c>
      <c r="S92" s="23">
        <v>0</v>
      </c>
      <c r="T92" s="23">
        <f t="shared" si="52"/>
        <v>0</v>
      </c>
      <c r="U92" s="23">
        <v>0</v>
      </c>
      <c r="V92" s="23">
        <v>0</v>
      </c>
      <c r="W92" s="23">
        <v>0</v>
      </c>
      <c r="X92" s="23">
        <v>0</v>
      </c>
      <c r="Y92" s="23">
        <f t="shared" si="53"/>
        <v>0</v>
      </c>
      <c r="Z92" s="33">
        <v>0</v>
      </c>
      <c r="AA92" s="33">
        <v>0</v>
      </c>
      <c r="AB92" s="33">
        <v>0</v>
      </c>
      <c r="AC92" s="33">
        <v>0</v>
      </c>
      <c r="AD92" s="33">
        <f t="shared" si="57"/>
        <v>0</v>
      </c>
      <c r="AE92" s="27"/>
    </row>
    <row r="93" spans="1:31" s="1" customFormat="1" ht="26.45" customHeight="1" x14ac:dyDescent="0.25">
      <c r="A93" s="115"/>
      <c r="B93" s="88" t="s">
        <v>205</v>
      </c>
      <c r="C93" s="101"/>
      <c r="D93" s="99"/>
      <c r="E93" s="23">
        <f t="shared" ref="E93" si="58">SUM(F93:I93)</f>
        <v>0</v>
      </c>
      <c r="F93" s="23">
        <v>0</v>
      </c>
      <c r="G93" s="23">
        <v>0</v>
      </c>
      <c r="H93" s="23">
        <v>0</v>
      </c>
      <c r="I93" s="23">
        <v>0</v>
      </c>
      <c r="J93" s="23">
        <f t="shared" ref="J93" si="59">SUM(K93:N93)</f>
        <v>0</v>
      </c>
      <c r="K93" s="23">
        <v>0</v>
      </c>
      <c r="L93" s="23">
        <v>0</v>
      </c>
      <c r="M93" s="23">
        <v>0</v>
      </c>
      <c r="N93" s="23">
        <v>0</v>
      </c>
      <c r="O93" s="23">
        <f t="shared" ref="O93" si="60">SUM(P93:S93)</f>
        <v>0</v>
      </c>
      <c r="P93" s="23">
        <v>0</v>
      </c>
      <c r="Q93" s="23">
        <v>0</v>
      </c>
      <c r="R93" s="23">
        <v>0</v>
      </c>
      <c r="S93" s="23">
        <v>0</v>
      </c>
      <c r="T93" s="23">
        <f t="shared" ref="T93" si="61">SUM(U93:X93)</f>
        <v>0</v>
      </c>
      <c r="U93" s="23">
        <v>0</v>
      </c>
      <c r="V93" s="23">
        <v>0</v>
      </c>
      <c r="W93" s="23">
        <v>0</v>
      </c>
      <c r="X93" s="23">
        <v>0</v>
      </c>
      <c r="Y93" s="23">
        <f t="shared" si="53"/>
        <v>0</v>
      </c>
      <c r="Z93" s="33">
        <v>0</v>
      </c>
      <c r="AA93" s="33">
        <v>0</v>
      </c>
      <c r="AB93" s="33">
        <v>0</v>
      </c>
      <c r="AC93" s="33">
        <v>0</v>
      </c>
      <c r="AD93" s="33">
        <f t="shared" ref="AD93" si="62">SUM(Y93,T93,O93,J93,E93)</f>
        <v>0</v>
      </c>
      <c r="AE93" s="27"/>
    </row>
    <row r="94" spans="1:31" s="1" customFormat="1" ht="23.45" customHeight="1" x14ac:dyDescent="0.25">
      <c r="A94" s="115"/>
      <c r="B94" s="88" t="s">
        <v>217</v>
      </c>
      <c r="C94" s="102"/>
      <c r="D94" s="103"/>
      <c r="E94" s="23">
        <f t="shared" si="51"/>
        <v>0</v>
      </c>
      <c r="F94" s="23">
        <v>0</v>
      </c>
      <c r="G94" s="23">
        <v>0</v>
      </c>
      <c r="H94" s="23">
        <v>0</v>
      </c>
      <c r="I94" s="23">
        <v>0</v>
      </c>
      <c r="J94" s="23">
        <f t="shared" si="55"/>
        <v>0</v>
      </c>
      <c r="K94" s="23">
        <v>0</v>
      </c>
      <c r="L94" s="23">
        <v>0</v>
      </c>
      <c r="M94" s="23">
        <v>0</v>
      </c>
      <c r="N94" s="23">
        <v>0</v>
      </c>
      <c r="O94" s="23">
        <f t="shared" si="56"/>
        <v>0</v>
      </c>
      <c r="P94" s="23">
        <v>0</v>
      </c>
      <c r="Q94" s="23">
        <v>0</v>
      </c>
      <c r="R94" s="23">
        <v>0</v>
      </c>
      <c r="S94" s="23">
        <v>0</v>
      </c>
      <c r="T94" s="23">
        <f t="shared" si="52"/>
        <v>0</v>
      </c>
      <c r="U94" s="23">
        <v>0</v>
      </c>
      <c r="V94" s="23">
        <v>0</v>
      </c>
      <c r="W94" s="23">
        <v>0</v>
      </c>
      <c r="X94" s="23">
        <v>0</v>
      </c>
      <c r="Y94" s="23">
        <f t="shared" si="53"/>
        <v>0</v>
      </c>
      <c r="Z94" s="33">
        <v>0</v>
      </c>
      <c r="AA94" s="33">
        <v>0</v>
      </c>
      <c r="AB94" s="33">
        <v>0</v>
      </c>
      <c r="AC94" s="33">
        <v>0</v>
      </c>
      <c r="AD94" s="33">
        <f t="shared" si="57"/>
        <v>0</v>
      </c>
      <c r="AE94" s="27"/>
    </row>
    <row r="95" spans="1:31" s="1" customFormat="1" ht="45.75" customHeight="1" x14ac:dyDescent="0.25">
      <c r="A95" s="84" t="s">
        <v>68</v>
      </c>
      <c r="B95" s="88" t="s">
        <v>173</v>
      </c>
      <c r="C95" s="77" t="s">
        <v>174</v>
      </c>
      <c r="D95" s="78">
        <v>2020</v>
      </c>
      <c r="E95" s="23">
        <v>0</v>
      </c>
      <c r="F95" s="23">
        <v>0</v>
      </c>
      <c r="G95" s="23">
        <v>0</v>
      </c>
      <c r="H95" s="23">
        <v>0</v>
      </c>
      <c r="I95" s="23">
        <v>0</v>
      </c>
      <c r="J95" s="23">
        <f t="shared" si="55"/>
        <v>400</v>
      </c>
      <c r="K95" s="23">
        <v>400</v>
      </c>
      <c r="L95" s="23">
        <v>0</v>
      </c>
      <c r="M95" s="23">
        <v>0</v>
      </c>
      <c r="N95" s="23">
        <v>0</v>
      </c>
      <c r="O95" s="23">
        <f t="shared" si="56"/>
        <v>0</v>
      </c>
      <c r="P95" s="23">
        <v>0</v>
      </c>
      <c r="Q95" s="23">
        <v>0</v>
      </c>
      <c r="R95" s="23">
        <v>0</v>
      </c>
      <c r="S95" s="23">
        <v>0</v>
      </c>
      <c r="T95" s="23">
        <v>0</v>
      </c>
      <c r="U95" s="23">
        <v>0</v>
      </c>
      <c r="V95" s="23">
        <v>0</v>
      </c>
      <c r="W95" s="23">
        <v>0</v>
      </c>
      <c r="X95" s="23">
        <v>0</v>
      </c>
      <c r="Y95" s="23">
        <f t="shared" si="53"/>
        <v>0</v>
      </c>
      <c r="Z95" s="33">
        <v>0</v>
      </c>
      <c r="AA95" s="33">
        <v>0</v>
      </c>
      <c r="AB95" s="33">
        <v>0</v>
      </c>
      <c r="AC95" s="33">
        <v>0</v>
      </c>
      <c r="AD95" s="33">
        <f t="shared" si="57"/>
        <v>400</v>
      </c>
      <c r="AE95" s="27"/>
    </row>
    <row r="96" spans="1:31" s="1" customFormat="1" ht="102" customHeight="1" x14ac:dyDescent="0.25">
      <c r="A96" s="84" t="s">
        <v>77</v>
      </c>
      <c r="B96" s="88" t="s">
        <v>157</v>
      </c>
      <c r="C96" s="84" t="s">
        <v>156</v>
      </c>
      <c r="D96" s="83">
        <v>2019</v>
      </c>
      <c r="E96" s="23">
        <f t="shared" si="51"/>
        <v>627.20000000000005</v>
      </c>
      <c r="F96" s="23">
        <v>627.20000000000005</v>
      </c>
      <c r="G96" s="23">
        <v>0</v>
      </c>
      <c r="H96" s="23">
        <v>0</v>
      </c>
      <c r="I96" s="23">
        <v>0</v>
      </c>
      <c r="J96" s="23">
        <f t="shared" si="55"/>
        <v>0</v>
      </c>
      <c r="K96" s="23">
        <v>0</v>
      </c>
      <c r="L96" s="23">
        <v>0</v>
      </c>
      <c r="M96" s="23">
        <v>0</v>
      </c>
      <c r="N96" s="23">
        <v>0</v>
      </c>
      <c r="O96" s="23">
        <f t="shared" si="56"/>
        <v>0</v>
      </c>
      <c r="P96" s="23">
        <v>0</v>
      </c>
      <c r="Q96" s="23">
        <v>0</v>
      </c>
      <c r="R96" s="23">
        <v>0</v>
      </c>
      <c r="S96" s="23">
        <v>0</v>
      </c>
      <c r="T96" s="23">
        <f t="shared" si="52"/>
        <v>0</v>
      </c>
      <c r="U96" s="23">
        <v>0</v>
      </c>
      <c r="V96" s="23">
        <v>0</v>
      </c>
      <c r="W96" s="23">
        <v>0</v>
      </c>
      <c r="X96" s="23">
        <v>0</v>
      </c>
      <c r="Y96" s="23">
        <f t="shared" si="53"/>
        <v>0</v>
      </c>
      <c r="Z96" s="23">
        <v>0</v>
      </c>
      <c r="AA96" s="23">
        <v>0</v>
      </c>
      <c r="AB96" s="23">
        <v>0</v>
      </c>
      <c r="AC96" s="23">
        <v>0</v>
      </c>
      <c r="AD96" s="33">
        <f t="shared" si="57"/>
        <v>627.20000000000005</v>
      </c>
      <c r="AE96" s="27"/>
    </row>
    <row r="97" spans="1:31" s="1" customFormat="1" ht="51.75" customHeight="1" x14ac:dyDescent="0.25">
      <c r="A97" s="84" t="s">
        <v>175</v>
      </c>
      <c r="B97" s="88" t="s">
        <v>134</v>
      </c>
      <c r="C97" s="84" t="s">
        <v>130</v>
      </c>
      <c r="D97" s="83" t="s">
        <v>44</v>
      </c>
      <c r="E97" s="23">
        <f t="shared" si="51"/>
        <v>0</v>
      </c>
      <c r="F97" s="23">
        <v>0</v>
      </c>
      <c r="G97" s="23">
        <v>0</v>
      </c>
      <c r="H97" s="23">
        <v>0</v>
      </c>
      <c r="I97" s="23">
        <v>0</v>
      </c>
      <c r="J97" s="23">
        <f>SUM(K97:N97)</f>
        <v>0</v>
      </c>
      <c r="K97" s="23">
        <v>0</v>
      </c>
      <c r="L97" s="23">
        <v>0</v>
      </c>
      <c r="M97" s="23">
        <v>0</v>
      </c>
      <c r="N97" s="23">
        <v>0</v>
      </c>
      <c r="O97" s="23">
        <f t="shared" si="56"/>
        <v>0</v>
      </c>
      <c r="P97" s="23">
        <v>0</v>
      </c>
      <c r="Q97" s="23">
        <v>0</v>
      </c>
      <c r="R97" s="23">
        <v>0</v>
      </c>
      <c r="S97" s="23">
        <v>0</v>
      </c>
      <c r="T97" s="23">
        <f t="shared" si="52"/>
        <v>0</v>
      </c>
      <c r="U97" s="23">
        <v>0</v>
      </c>
      <c r="V97" s="23">
        <v>0</v>
      </c>
      <c r="W97" s="23">
        <v>0</v>
      </c>
      <c r="X97" s="23">
        <v>0</v>
      </c>
      <c r="Y97" s="23">
        <f t="shared" si="53"/>
        <v>0</v>
      </c>
      <c r="Z97" s="23">
        <v>0</v>
      </c>
      <c r="AA97" s="23">
        <v>0</v>
      </c>
      <c r="AB97" s="23">
        <v>0</v>
      </c>
      <c r="AC97" s="23">
        <v>0</v>
      </c>
      <c r="AD97" s="33">
        <f>SUM(Y97,T97,O97,J97,E97)</f>
        <v>0</v>
      </c>
      <c r="AE97" s="27"/>
    </row>
    <row r="98" spans="1:31" s="1" customFormat="1" ht="72.75" customHeight="1" x14ac:dyDescent="0.25">
      <c r="A98" s="84" t="s">
        <v>176</v>
      </c>
      <c r="B98" s="88" t="s">
        <v>179</v>
      </c>
      <c r="C98" s="84" t="s">
        <v>107</v>
      </c>
      <c r="D98" s="83">
        <v>2020</v>
      </c>
      <c r="E98" s="23">
        <v>0</v>
      </c>
      <c r="F98" s="23">
        <v>0</v>
      </c>
      <c r="G98" s="23">
        <v>0</v>
      </c>
      <c r="H98" s="23">
        <v>0</v>
      </c>
      <c r="I98" s="23">
        <v>0</v>
      </c>
      <c r="J98" s="23">
        <f>SUM(K98:N98)</f>
        <v>0</v>
      </c>
      <c r="K98" s="23">
        <f>280-280</f>
        <v>0</v>
      </c>
      <c r="L98" s="23">
        <v>0</v>
      </c>
      <c r="M98" s="23">
        <v>0</v>
      </c>
      <c r="N98" s="23">
        <v>0</v>
      </c>
      <c r="O98" s="23">
        <f t="shared" si="56"/>
        <v>0</v>
      </c>
      <c r="P98" s="23">
        <v>0</v>
      </c>
      <c r="Q98" s="23">
        <v>0</v>
      </c>
      <c r="R98" s="23">
        <v>0</v>
      </c>
      <c r="S98" s="23">
        <v>0</v>
      </c>
      <c r="T98" s="23">
        <f t="shared" si="52"/>
        <v>0</v>
      </c>
      <c r="U98" s="23">
        <v>0</v>
      </c>
      <c r="V98" s="23">
        <v>0</v>
      </c>
      <c r="W98" s="23">
        <v>0</v>
      </c>
      <c r="X98" s="23">
        <v>0</v>
      </c>
      <c r="Y98" s="23">
        <f t="shared" si="53"/>
        <v>0</v>
      </c>
      <c r="Z98" s="23">
        <v>0</v>
      </c>
      <c r="AA98" s="23">
        <v>0</v>
      </c>
      <c r="AB98" s="23">
        <v>0</v>
      </c>
      <c r="AC98" s="23">
        <v>0</v>
      </c>
      <c r="AD98" s="33">
        <f>SUM(Y98,T98,O98,J98,E98)</f>
        <v>0</v>
      </c>
      <c r="AE98" s="27"/>
    </row>
    <row r="99" spans="1:31" s="1" customFormat="1" ht="130.5" customHeight="1" x14ac:dyDescent="0.25">
      <c r="A99" s="84" t="s">
        <v>185</v>
      </c>
      <c r="B99" s="88" t="s">
        <v>273</v>
      </c>
      <c r="C99" s="84" t="s">
        <v>259</v>
      </c>
      <c r="D99" s="83" t="s">
        <v>305</v>
      </c>
      <c r="E99" s="23">
        <v>0</v>
      </c>
      <c r="F99" s="23">
        <v>0</v>
      </c>
      <c r="G99" s="23">
        <v>0</v>
      </c>
      <c r="H99" s="23">
        <v>0</v>
      </c>
      <c r="I99" s="23">
        <v>0</v>
      </c>
      <c r="J99" s="92">
        <f>SUM(K99:N99)</f>
        <v>9552</v>
      </c>
      <c r="K99" s="92">
        <f>2289+626.545+1.455-130</f>
        <v>2787</v>
      </c>
      <c r="L99" s="23">
        <f>5628+1527.3-0.3-390</f>
        <v>6765</v>
      </c>
      <c r="M99" s="23">
        <v>0</v>
      </c>
      <c r="N99" s="23">
        <v>0</v>
      </c>
      <c r="O99" s="23">
        <f t="shared" si="56"/>
        <v>25424</v>
      </c>
      <c r="P99" s="23">
        <f>6134-338</f>
        <v>5796</v>
      </c>
      <c r="Q99" s="23">
        <f>20825-1197</f>
        <v>19628</v>
      </c>
      <c r="R99" s="23">
        <v>0</v>
      </c>
      <c r="S99" s="23">
        <v>0</v>
      </c>
      <c r="T99" s="23">
        <f t="shared" si="52"/>
        <v>7520.4329200000011</v>
      </c>
      <c r="U99" s="23">
        <f>1782.54+354.18-9.92-0.1-195+0.1</f>
        <v>1931.7999999999997</v>
      </c>
      <c r="V99" s="23">
        <f>6315.1-34.85708-692.12+0.12+0.39</f>
        <v>5588.6329200000009</v>
      </c>
      <c r="W99" s="23">
        <v>0</v>
      </c>
      <c r="X99" s="23">
        <v>0</v>
      </c>
      <c r="Y99" s="23">
        <f t="shared" si="53"/>
        <v>0</v>
      </c>
      <c r="Z99" s="23">
        <v>0</v>
      </c>
      <c r="AA99" s="23">
        <v>0</v>
      </c>
      <c r="AB99" s="23">
        <v>0</v>
      </c>
      <c r="AC99" s="23">
        <v>0</v>
      </c>
      <c r="AD99" s="71">
        <f>SUM(Y99,T99,O99,J99,E99)</f>
        <v>42496.432919999999</v>
      </c>
      <c r="AE99" s="27"/>
    </row>
    <row r="100" spans="1:31" s="1" customFormat="1" ht="43.5" customHeight="1" x14ac:dyDescent="0.25">
      <c r="A100" s="84" t="s">
        <v>249</v>
      </c>
      <c r="B100" s="88" t="s">
        <v>250</v>
      </c>
      <c r="C100" s="84" t="s">
        <v>75</v>
      </c>
      <c r="D100" s="83" t="s">
        <v>237</v>
      </c>
      <c r="E100" s="23"/>
      <c r="F100" s="23"/>
      <c r="G100" s="23"/>
      <c r="H100" s="23"/>
      <c r="I100" s="23"/>
      <c r="J100" s="92"/>
      <c r="K100" s="92"/>
      <c r="L100" s="23"/>
      <c r="M100" s="23"/>
      <c r="N100" s="23"/>
      <c r="O100" s="23"/>
      <c r="P100" s="23"/>
      <c r="Q100" s="23"/>
      <c r="R100" s="23"/>
      <c r="S100" s="23"/>
      <c r="T100" s="23">
        <f t="shared" si="52"/>
        <v>6739</v>
      </c>
      <c r="U100" s="23">
        <f>6750.38-12.46+1.08</f>
        <v>6739</v>
      </c>
      <c r="V100" s="23">
        <v>0</v>
      </c>
      <c r="W100" s="23">
        <v>0</v>
      </c>
      <c r="X100" s="23">
        <v>0</v>
      </c>
      <c r="Y100" s="23">
        <f t="shared" si="53"/>
        <v>600</v>
      </c>
      <c r="Z100" s="23">
        <v>600</v>
      </c>
      <c r="AA100" s="23">
        <v>0</v>
      </c>
      <c r="AB100" s="23">
        <v>0</v>
      </c>
      <c r="AC100" s="23">
        <v>0</v>
      </c>
      <c r="AD100" s="71">
        <f>SUM(Y100,T100,O100,J100,E100)</f>
        <v>7339</v>
      </c>
      <c r="AE100" s="27"/>
    </row>
    <row r="101" spans="1:31" s="3" customFormat="1" ht="25.15" customHeight="1" x14ac:dyDescent="0.25">
      <c r="A101" s="49"/>
      <c r="B101" s="85" t="s">
        <v>34</v>
      </c>
      <c r="C101" s="85"/>
      <c r="D101" s="49"/>
      <c r="E101" s="32">
        <f t="shared" ref="E101:S101" si="63">SUM(E83:E99)</f>
        <v>169184.40000000002</v>
      </c>
      <c r="F101" s="32">
        <f t="shared" si="63"/>
        <v>1200.2</v>
      </c>
      <c r="G101" s="32">
        <f t="shared" si="63"/>
        <v>0</v>
      </c>
      <c r="H101" s="32">
        <f t="shared" si="63"/>
        <v>0</v>
      </c>
      <c r="I101" s="32">
        <f t="shared" si="63"/>
        <v>167984.2</v>
      </c>
      <c r="J101" s="52">
        <f t="shared" si="63"/>
        <v>155539.70000000001</v>
      </c>
      <c r="K101" s="52">
        <f t="shared" si="63"/>
        <v>4487</v>
      </c>
      <c r="L101" s="32">
        <f t="shared" si="63"/>
        <v>6765</v>
      </c>
      <c r="M101" s="32">
        <f t="shared" si="63"/>
        <v>0</v>
      </c>
      <c r="N101" s="32">
        <f t="shared" si="63"/>
        <v>144287.70000000001</v>
      </c>
      <c r="O101" s="32">
        <f t="shared" si="63"/>
        <v>199616</v>
      </c>
      <c r="P101" s="32">
        <f t="shared" si="63"/>
        <v>5845</v>
      </c>
      <c r="Q101" s="32">
        <f t="shared" si="63"/>
        <v>19628</v>
      </c>
      <c r="R101" s="32">
        <f t="shared" si="63"/>
        <v>0</v>
      </c>
      <c r="S101" s="32">
        <f t="shared" si="63"/>
        <v>174143</v>
      </c>
      <c r="T101" s="32">
        <f t="shared" ref="T101:Z101" si="64">SUM(T83:T100)</f>
        <v>199351.81292</v>
      </c>
      <c r="U101" s="32">
        <f t="shared" si="64"/>
        <v>8902.7999999999993</v>
      </c>
      <c r="V101" s="32">
        <f t="shared" si="64"/>
        <v>5588.6329200000009</v>
      </c>
      <c r="W101" s="32">
        <f t="shared" si="64"/>
        <v>0</v>
      </c>
      <c r="X101" s="32">
        <f t="shared" si="64"/>
        <v>184860.38</v>
      </c>
      <c r="Y101" s="32">
        <f t="shared" si="64"/>
        <v>158163</v>
      </c>
      <c r="Z101" s="32">
        <f t="shared" si="64"/>
        <v>893</v>
      </c>
      <c r="AA101" s="32">
        <f>SUM(AA83:AA100)</f>
        <v>0</v>
      </c>
      <c r="AB101" s="32">
        <f>SUM(AB83:AB99)</f>
        <v>0</v>
      </c>
      <c r="AC101" s="32">
        <f>SUM(AC83:AC100)</f>
        <v>157270</v>
      </c>
      <c r="AD101" s="72">
        <f>SUM(Y101,T101,O101,J101,E101)</f>
        <v>881854.91291999992</v>
      </c>
      <c r="AE101" s="37"/>
    </row>
    <row r="102" spans="1:31" s="1" customFormat="1" ht="65.25" customHeight="1" x14ac:dyDescent="0.25">
      <c r="A102" s="84"/>
      <c r="B102" s="118" t="s">
        <v>115</v>
      </c>
      <c r="C102" s="119"/>
      <c r="D102" s="84"/>
      <c r="E102" s="32"/>
      <c r="F102" s="23"/>
      <c r="G102" s="23"/>
      <c r="H102" s="23"/>
      <c r="I102" s="23"/>
      <c r="J102" s="33"/>
      <c r="K102" s="33"/>
      <c r="L102" s="33"/>
      <c r="M102" s="33"/>
      <c r="N102" s="33"/>
      <c r="O102" s="23"/>
      <c r="P102" s="23"/>
      <c r="Q102" s="33"/>
      <c r="R102" s="23"/>
      <c r="S102" s="23"/>
      <c r="T102" s="23"/>
      <c r="U102" s="23"/>
      <c r="V102" s="23"/>
      <c r="W102" s="23"/>
      <c r="X102" s="33"/>
      <c r="Y102" s="33"/>
      <c r="Z102" s="33"/>
      <c r="AA102" s="33"/>
      <c r="AB102" s="33"/>
      <c r="AC102" s="33"/>
      <c r="AD102" s="33"/>
      <c r="AE102" s="27"/>
    </row>
    <row r="103" spans="1:31" s="1" customFormat="1" ht="144.75" customHeight="1" x14ac:dyDescent="0.25">
      <c r="A103" s="100" t="s">
        <v>13</v>
      </c>
      <c r="B103" s="88" t="s">
        <v>82</v>
      </c>
      <c r="C103" s="100" t="s">
        <v>101</v>
      </c>
      <c r="D103" s="83"/>
      <c r="E103" s="23"/>
      <c r="F103" s="23"/>
      <c r="G103" s="23"/>
      <c r="H103" s="23"/>
      <c r="I103" s="23"/>
      <c r="J103" s="33"/>
      <c r="K103" s="33"/>
      <c r="L103" s="33"/>
      <c r="M103" s="33"/>
      <c r="N103" s="33"/>
      <c r="O103" s="23"/>
      <c r="P103" s="23"/>
      <c r="Q103" s="23"/>
      <c r="R103" s="23"/>
      <c r="S103" s="23"/>
      <c r="T103" s="23"/>
      <c r="U103" s="23"/>
      <c r="V103" s="23"/>
      <c r="W103" s="23"/>
      <c r="X103" s="33"/>
      <c r="Y103" s="33"/>
      <c r="Z103" s="33"/>
      <c r="AA103" s="33"/>
      <c r="AB103" s="33"/>
      <c r="AC103" s="33"/>
      <c r="AD103" s="33"/>
      <c r="AE103" s="27"/>
    </row>
    <row r="104" spans="1:31" s="1" customFormat="1" ht="110.25" customHeight="1" x14ac:dyDescent="0.25">
      <c r="A104" s="101"/>
      <c r="B104" s="88" t="s">
        <v>296</v>
      </c>
      <c r="C104" s="101"/>
      <c r="D104" s="84">
        <v>2019</v>
      </c>
      <c r="E104" s="23">
        <f t="shared" ref="E104:E110" si="65">SUM(F104:I104)</f>
        <v>25085.3</v>
      </c>
      <c r="F104" s="23">
        <v>1383.7</v>
      </c>
      <c r="G104" s="23">
        <v>23701.599999999999</v>
      </c>
      <c r="H104" s="23">
        <v>0</v>
      </c>
      <c r="I104" s="23">
        <v>0</v>
      </c>
      <c r="J104" s="23">
        <f t="shared" ref="J104:J145" si="66">SUM(K104:N104)</f>
        <v>0</v>
      </c>
      <c r="K104" s="33">
        <v>0</v>
      </c>
      <c r="L104" s="33">
        <v>0</v>
      </c>
      <c r="M104" s="33">
        <v>0</v>
      </c>
      <c r="N104" s="33">
        <v>0</v>
      </c>
      <c r="O104" s="23">
        <f t="shared" ref="O104:O144" si="67">SUM(P104:S104)</f>
        <v>0</v>
      </c>
      <c r="P104" s="23">
        <v>0</v>
      </c>
      <c r="Q104" s="33">
        <v>0</v>
      </c>
      <c r="R104" s="33">
        <v>0</v>
      </c>
      <c r="S104" s="33">
        <v>0</v>
      </c>
      <c r="T104" s="23">
        <f t="shared" ref="T104:T149" si="68">SUM(U104:X104)</f>
        <v>0</v>
      </c>
      <c r="U104" s="33">
        <v>0</v>
      </c>
      <c r="V104" s="33">
        <v>0</v>
      </c>
      <c r="W104" s="33">
        <v>0</v>
      </c>
      <c r="X104" s="33">
        <v>0</v>
      </c>
      <c r="Y104" s="23">
        <f t="shared" ref="Y104:Y149" si="69">SUM(Z104:AC104)</f>
        <v>0</v>
      </c>
      <c r="Z104" s="33">
        <v>0</v>
      </c>
      <c r="AA104" s="33">
        <v>0</v>
      </c>
      <c r="AB104" s="33">
        <v>0</v>
      </c>
      <c r="AC104" s="33">
        <v>0</v>
      </c>
      <c r="AD104" s="33">
        <f>SUM(E104,J104,O104,T104,Y104)</f>
        <v>25085.3</v>
      </c>
      <c r="AE104" s="27"/>
    </row>
    <row r="105" spans="1:31" s="1" customFormat="1" ht="44.25" customHeight="1" x14ac:dyDescent="0.25">
      <c r="A105" s="101"/>
      <c r="B105" s="88" t="s">
        <v>119</v>
      </c>
      <c r="C105" s="101"/>
      <c r="D105" s="84">
        <v>2022</v>
      </c>
      <c r="E105" s="23">
        <f t="shared" si="65"/>
        <v>0</v>
      </c>
      <c r="F105" s="33">
        <v>0</v>
      </c>
      <c r="G105" s="23">
        <v>0</v>
      </c>
      <c r="H105" s="23">
        <v>0</v>
      </c>
      <c r="I105" s="23">
        <v>0</v>
      </c>
      <c r="J105" s="23">
        <f t="shared" si="66"/>
        <v>0</v>
      </c>
      <c r="K105" s="23">
        <v>0</v>
      </c>
      <c r="L105" s="23">
        <v>0</v>
      </c>
      <c r="M105" s="23">
        <v>0</v>
      </c>
      <c r="N105" s="23">
        <v>0</v>
      </c>
      <c r="O105" s="23">
        <f t="shared" si="67"/>
        <v>0</v>
      </c>
      <c r="P105" s="23"/>
      <c r="Q105" s="33">
        <v>0</v>
      </c>
      <c r="R105" s="33">
        <v>0</v>
      </c>
      <c r="S105" s="33">
        <v>0</v>
      </c>
      <c r="T105" s="23">
        <f t="shared" si="68"/>
        <v>345.14</v>
      </c>
      <c r="U105" s="33">
        <v>345.14</v>
      </c>
      <c r="V105" s="33">
        <v>0</v>
      </c>
      <c r="W105" s="33">
        <v>0</v>
      </c>
      <c r="X105" s="33">
        <v>0</v>
      </c>
      <c r="Y105" s="23">
        <f t="shared" si="69"/>
        <v>0</v>
      </c>
      <c r="Z105" s="33">
        <v>0</v>
      </c>
      <c r="AA105" s="33">
        <v>0</v>
      </c>
      <c r="AB105" s="33">
        <v>0</v>
      </c>
      <c r="AC105" s="33">
        <v>0</v>
      </c>
      <c r="AD105" s="33">
        <f t="shared" ref="AD105:AD145" si="70">SUM(E105,J105,O105,T105,Y105)</f>
        <v>345.14</v>
      </c>
      <c r="AE105" s="27"/>
    </row>
    <row r="106" spans="1:31" s="1" customFormat="1" ht="37.15" customHeight="1" x14ac:dyDescent="0.25">
      <c r="A106" s="101"/>
      <c r="B106" s="34" t="s">
        <v>271</v>
      </c>
      <c r="C106" s="101"/>
      <c r="D106" s="84" t="s">
        <v>227</v>
      </c>
      <c r="E106" s="23">
        <f t="shared" si="65"/>
        <v>0</v>
      </c>
      <c r="F106" s="33">
        <v>0</v>
      </c>
      <c r="G106" s="23">
        <v>0</v>
      </c>
      <c r="H106" s="23">
        <v>0</v>
      </c>
      <c r="I106" s="23">
        <v>0</v>
      </c>
      <c r="J106" s="23">
        <f t="shared" si="66"/>
        <v>0</v>
      </c>
      <c r="K106" s="33">
        <v>0</v>
      </c>
      <c r="L106" s="23">
        <v>0</v>
      </c>
      <c r="M106" s="23">
        <v>0</v>
      </c>
      <c r="N106" s="23">
        <v>0</v>
      </c>
      <c r="O106" s="23">
        <f t="shared" si="67"/>
        <v>0</v>
      </c>
      <c r="P106" s="23">
        <v>0</v>
      </c>
      <c r="Q106" s="33">
        <v>0</v>
      </c>
      <c r="R106" s="33">
        <v>0</v>
      </c>
      <c r="S106" s="33">
        <v>0</v>
      </c>
      <c r="T106" s="23">
        <f t="shared" si="68"/>
        <v>382</v>
      </c>
      <c r="U106" s="23">
        <v>382</v>
      </c>
      <c r="V106" s="33">
        <v>0</v>
      </c>
      <c r="W106" s="33">
        <v>0</v>
      </c>
      <c r="X106" s="33">
        <v>0</v>
      </c>
      <c r="Y106" s="73">
        <f t="shared" si="69"/>
        <v>5510</v>
      </c>
      <c r="Z106" s="74">
        <f>3000+1898+431+181</f>
        <v>5510</v>
      </c>
      <c r="AA106" s="33">
        <v>0</v>
      </c>
      <c r="AB106" s="33">
        <v>0</v>
      </c>
      <c r="AC106" s="33">
        <v>0</v>
      </c>
      <c r="AD106" s="74">
        <f t="shared" si="70"/>
        <v>5892</v>
      </c>
      <c r="AE106" s="27"/>
    </row>
    <row r="107" spans="1:31" s="1" customFormat="1" ht="75" customHeight="1" x14ac:dyDescent="0.25">
      <c r="A107" s="101"/>
      <c r="B107" s="34" t="s">
        <v>297</v>
      </c>
      <c r="C107" s="101"/>
      <c r="D107" s="84">
        <v>2019</v>
      </c>
      <c r="E107" s="23">
        <f t="shared" si="65"/>
        <v>342.8</v>
      </c>
      <c r="F107" s="33">
        <v>11.3</v>
      </c>
      <c r="G107" s="23">
        <v>331.5</v>
      </c>
      <c r="H107" s="23">
        <v>0</v>
      </c>
      <c r="I107" s="23">
        <v>0</v>
      </c>
      <c r="J107" s="23">
        <v>0</v>
      </c>
      <c r="K107" s="33">
        <v>0</v>
      </c>
      <c r="L107" s="23">
        <v>0</v>
      </c>
      <c r="M107" s="23">
        <v>0</v>
      </c>
      <c r="N107" s="23">
        <v>0</v>
      </c>
      <c r="O107" s="23">
        <v>0</v>
      </c>
      <c r="P107" s="23">
        <v>0</v>
      </c>
      <c r="Q107" s="33">
        <v>0</v>
      </c>
      <c r="R107" s="33">
        <v>0</v>
      </c>
      <c r="S107" s="33">
        <v>0</v>
      </c>
      <c r="T107" s="23">
        <v>0</v>
      </c>
      <c r="U107" s="23">
        <v>0</v>
      </c>
      <c r="V107" s="33">
        <v>0</v>
      </c>
      <c r="W107" s="33">
        <v>0</v>
      </c>
      <c r="X107" s="33">
        <v>0</v>
      </c>
      <c r="Y107" s="23">
        <v>0</v>
      </c>
      <c r="Z107" s="33">
        <v>0</v>
      </c>
      <c r="AA107" s="33">
        <v>0</v>
      </c>
      <c r="AB107" s="33">
        <v>0</v>
      </c>
      <c r="AC107" s="33">
        <v>0</v>
      </c>
      <c r="AD107" s="33">
        <f t="shared" si="70"/>
        <v>342.8</v>
      </c>
      <c r="AE107" s="27"/>
    </row>
    <row r="108" spans="1:31" s="1" customFormat="1" ht="90" customHeight="1" x14ac:dyDescent="0.25">
      <c r="A108" s="101"/>
      <c r="B108" s="68" t="s">
        <v>298</v>
      </c>
      <c r="C108" s="101"/>
      <c r="D108" s="84">
        <v>2019</v>
      </c>
      <c r="E108" s="23">
        <f t="shared" si="65"/>
        <v>1642.3</v>
      </c>
      <c r="F108" s="33">
        <v>0</v>
      </c>
      <c r="G108" s="23">
        <v>1642.3</v>
      </c>
      <c r="H108" s="23">
        <v>0</v>
      </c>
      <c r="I108" s="23">
        <v>0</v>
      </c>
      <c r="J108" s="23">
        <v>0</v>
      </c>
      <c r="K108" s="33">
        <v>0</v>
      </c>
      <c r="L108" s="23">
        <v>0</v>
      </c>
      <c r="M108" s="23">
        <v>0</v>
      </c>
      <c r="N108" s="23">
        <v>0</v>
      </c>
      <c r="O108" s="23">
        <v>0</v>
      </c>
      <c r="P108" s="23">
        <v>0</v>
      </c>
      <c r="Q108" s="33">
        <v>0</v>
      </c>
      <c r="R108" s="33">
        <v>0</v>
      </c>
      <c r="S108" s="33">
        <v>0</v>
      </c>
      <c r="T108" s="23">
        <v>0</v>
      </c>
      <c r="U108" s="23">
        <v>0</v>
      </c>
      <c r="V108" s="33">
        <v>0</v>
      </c>
      <c r="W108" s="33">
        <v>0</v>
      </c>
      <c r="X108" s="33">
        <v>0</v>
      </c>
      <c r="Y108" s="23">
        <v>0</v>
      </c>
      <c r="Z108" s="33">
        <v>0</v>
      </c>
      <c r="AA108" s="33">
        <v>0</v>
      </c>
      <c r="AB108" s="33">
        <v>0</v>
      </c>
      <c r="AC108" s="33">
        <v>0</v>
      </c>
      <c r="AD108" s="33">
        <f t="shared" si="70"/>
        <v>1642.3</v>
      </c>
      <c r="AE108" s="27"/>
    </row>
    <row r="109" spans="1:31" s="1" customFormat="1" ht="41.25" customHeight="1" x14ac:dyDescent="0.25">
      <c r="A109" s="101"/>
      <c r="B109" s="88" t="s">
        <v>89</v>
      </c>
      <c r="C109" s="101"/>
      <c r="D109" s="84" t="s">
        <v>306</v>
      </c>
      <c r="E109" s="23">
        <f t="shared" si="65"/>
        <v>0</v>
      </c>
      <c r="F109" s="51">
        <v>0</v>
      </c>
      <c r="G109" s="23">
        <v>0</v>
      </c>
      <c r="H109" s="23">
        <v>0</v>
      </c>
      <c r="I109" s="23">
        <v>0</v>
      </c>
      <c r="J109" s="23">
        <f t="shared" si="66"/>
        <v>1568</v>
      </c>
      <c r="K109" s="33">
        <f>2152-584</f>
        <v>1568</v>
      </c>
      <c r="L109" s="23">
        <v>0</v>
      </c>
      <c r="M109" s="23">
        <v>0</v>
      </c>
      <c r="N109" s="23">
        <v>0</v>
      </c>
      <c r="O109" s="23">
        <f t="shared" si="67"/>
        <v>0</v>
      </c>
      <c r="P109" s="23">
        <v>0</v>
      </c>
      <c r="Q109" s="33">
        <v>0</v>
      </c>
      <c r="R109" s="33">
        <v>0</v>
      </c>
      <c r="S109" s="33">
        <v>0</v>
      </c>
      <c r="T109" s="23">
        <f t="shared" si="68"/>
        <v>255</v>
      </c>
      <c r="U109" s="33">
        <v>255</v>
      </c>
      <c r="V109" s="33">
        <v>0</v>
      </c>
      <c r="W109" s="33">
        <v>0</v>
      </c>
      <c r="X109" s="33">
        <v>0</v>
      </c>
      <c r="Y109" s="23">
        <f t="shared" si="69"/>
        <v>3406</v>
      </c>
      <c r="Z109" s="33">
        <f>2731+739-64</f>
        <v>3406</v>
      </c>
      <c r="AA109" s="33">
        <v>0</v>
      </c>
      <c r="AB109" s="33">
        <v>0</v>
      </c>
      <c r="AC109" s="33">
        <v>0</v>
      </c>
      <c r="AD109" s="33">
        <f t="shared" si="70"/>
        <v>5229</v>
      </c>
      <c r="AE109" s="27"/>
    </row>
    <row r="110" spans="1:31" s="1" customFormat="1" ht="22.9" customHeight="1" x14ac:dyDescent="0.25">
      <c r="A110" s="102"/>
      <c r="B110" s="53" t="s">
        <v>102</v>
      </c>
      <c r="C110" s="102"/>
      <c r="D110" s="84">
        <v>2022</v>
      </c>
      <c r="E110" s="23">
        <f t="shared" si="65"/>
        <v>0</v>
      </c>
      <c r="F110" s="33">
        <v>0</v>
      </c>
      <c r="G110" s="23">
        <v>0</v>
      </c>
      <c r="H110" s="23">
        <v>0</v>
      </c>
      <c r="I110" s="23">
        <v>0</v>
      </c>
      <c r="J110" s="23">
        <f t="shared" si="66"/>
        <v>0</v>
      </c>
      <c r="K110" s="23">
        <v>0</v>
      </c>
      <c r="L110" s="23">
        <v>0</v>
      </c>
      <c r="M110" s="23">
        <v>0</v>
      </c>
      <c r="N110" s="23">
        <v>0</v>
      </c>
      <c r="O110" s="23">
        <f t="shared" si="67"/>
        <v>0</v>
      </c>
      <c r="P110" s="23">
        <v>0</v>
      </c>
      <c r="Q110" s="23">
        <v>0</v>
      </c>
      <c r="R110" s="23">
        <v>0</v>
      </c>
      <c r="S110" s="23">
        <v>0</v>
      </c>
      <c r="T110" s="23">
        <f t="shared" si="68"/>
        <v>2184</v>
      </c>
      <c r="U110" s="23">
        <v>2184</v>
      </c>
      <c r="V110" s="23">
        <v>0</v>
      </c>
      <c r="W110" s="23">
        <v>0</v>
      </c>
      <c r="X110" s="23">
        <v>0</v>
      </c>
      <c r="Y110" s="23">
        <f t="shared" si="69"/>
        <v>0</v>
      </c>
      <c r="Z110" s="23">
        <v>0</v>
      </c>
      <c r="AA110" s="23">
        <v>0</v>
      </c>
      <c r="AB110" s="23">
        <v>0</v>
      </c>
      <c r="AC110" s="23">
        <v>0</v>
      </c>
      <c r="AD110" s="33">
        <f t="shared" si="70"/>
        <v>2184</v>
      </c>
      <c r="AE110" s="27"/>
    </row>
    <row r="111" spans="1:31" s="1" customFormat="1" ht="177" customHeight="1" x14ac:dyDescent="0.25">
      <c r="A111" s="100" t="s">
        <v>14</v>
      </c>
      <c r="B111" s="97" t="s">
        <v>327</v>
      </c>
      <c r="C111" s="100" t="s">
        <v>103</v>
      </c>
      <c r="D111" s="54"/>
      <c r="E111" s="23"/>
      <c r="F111" s="33"/>
      <c r="G111" s="23"/>
      <c r="H111" s="23"/>
      <c r="I111" s="33"/>
      <c r="J111" s="23"/>
      <c r="K111" s="33"/>
      <c r="L111" s="33"/>
      <c r="M111" s="33"/>
      <c r="N111" s="33"/>
      <c r="O111" s="23"/>
      <c r="P111" s="23"/>
      <c r="Q111" s="23"/>
      <c r="R111" s="23"/>
      <c r="S111" s="23"/>
      <c r="T111" s="23"/>
      <c r="U111" s="23"/>
      <c r="V111" s="23"/>
      <c r="W111" s="23"/>
      <c r="X111" s="33">
        <v>0</v>
      </c>
      <c r="Y111" s="23">
        <v>0</v>
      </c>
      <c r="Z111" s="33">
        <v>0</v>
      </c>
      <c r="AA111" s="33">
        <v>0</v>
      </c>
      <c r="AB111" s="33">
        <v>0</v>
      </c>
      <c r="AC111" s="33">
        <v>0</v>
      </c>
      <c r="AD111" s="33">
        <f t="shared" si="70"/>
        <v>0</v>
      </c>
      <c r="AE111" s="27"/>
    </row>
    <row r="112" spans="1:31" s="1" customFormat="1" ht="104.25" customHeight="1" x14ac:dyDescent="0.25">
      <c r="A112" s="101"/>
      <c r="B112" s="88" t="s">
        <v>299</v>
      </c>
      <c r="C112" s="101"/>
      <c r="D112" s="99" t="s">
        <v>178</v>
      </c>
      <c r="E112" s="23">
        <f>SUM(F112:I112)</f>
        <v>15879.1</v>
      </c>
      <c r="F112" s="33">
        <v>794</v>
      </c>
      <c r="G112" s="23">
        <v>15085.1</v>
      </c>
      <c r="H112" s="23">
        <v>0</v>
      </c>
      <c r="I112" s="23">
        <v>0</v>
      </c>
      <c r="J112" s="23">
        <f t="shared" si="66"/>
        <v>0</v>
      </c>
      <c r="K112" s="33">
        <v>0</v>
      </c>
      <c r="L112" s="33">
        <v>0</v>
      </c>
      <c r="M112" s="33">
        <v>0</v>
      </c>
      <c r="N112" s="33">
        <v>0</v>
      </c>
      <c r="O112" s="23">
        <f t="shared" si="67"/>
        <v>0</v>
      </c>
      <c r="P112" s="23">
        <v>0</v>
      </c>
      <c r="Q112" s="23">
        <v>0</v>
      </c>
      <c r="R112" s="23">
        <v>0</v>
      </c>
      <c r="S112" s="23">
        <v>0</v>
      </c>
      <c r="T112" s="23">
        <f t="shared" si="68"/>
        <v>0</v>
      </c>
      <c r="U112" s="23">
        <v>0</v>
      </c>
      <c r="V112" s="23">
        <v>0</v>
      </c>
      <c r="W112" s="23">
        <v>0</v>
      </c>
      <c r="X112" s="23">
        <v>0</v>
      </c>
      <c r="Y112" s="23">
        <f t="shared" si="69"/>
        <v>0</v>
      </c>
      <c r="Z112" s="23">
        <v>0</v>
      </c>
      <c r="AA112" s="23">
        <v>0</v>
      </c>
      <c r="AB112" s="23">
        <v>0</v>
      </c>
      <c r="AC112" s="23">
        <v>0</v>
      </c>
      <c r="AD112" s="33">
        <f t="shared" si="70"/>
        <v>15879.1</v>
      </c>
      <c r="AE112" s="27"/>
    </row>
    <row r="113" spans="1:31" s="1" customFormat="1" ht="32.25" customHeight="1" x14ac:dyDescent="0.25">
      <c r="A113" s="101"/>
      <c r="B113" s="88" t="s">
        <v>267</v>
      </c>
      <c r="C113" s="101"/>
      <c r="D113" s="99"/>
      <c r="E113" s="23"/>
      <c r="F113" s="33"/>
      <c r="G113" s="23"/>
      <c r="H113" s="23"/>
      <c r="I113" s="23"/>
      <c r="J113" s="23"/>
      <c r="K113" s="33"/>
      <c r="L113" s="33"/>
      <c r="M113" s="33"/>
      <c r="N113" s="33"/>
      <c r="O113" s="23"/>
      <c r="P113" s="23"/>
      <c r="Q113" s="23"/>
      <c r="R113" s="23"/>
      <c r="S113" s="23"/>
      <c r="T113" s="23">
        <f t="shared" si="68"/>
        <v>450</v>
      </c>
      <c r="U113" s="23">
        <v>450</v>
      </c>
      <c r="V113" s="23"/>
      <c r="W113" s="23"/>
      <c r="X113" s="23"/>
      <c r="Y113" s="23"/>
      <c r="Z113" s="23"/>
      <c r="AA113" s="23"/>
      <c r="AB113" s="23"/>
      <c r="AC113" s="23"/>
      <c r="AD113" s="33">
        <f t="shared" si="70"/>
        <v>450</v>
      </c>
      <c r="AE113" s="65"/>
    </row>
    <row r="114" spans="1:31" s="1" customFormat="1" ht="34.5" customHeight="1" x14ac:dyDescent="0.25">
      <c r="A114" s="101"/>
      <c r="B114" s="88" t="s">
        <v>284</v>
      </c>
      <c r="C114" s="101"/>
      <c r="D114" s="99"/>
      <c r="E114" s="23">
        <f>SUM(F114:I114)</f>
        <v>0</v>
      </c>
      <c r="F114" s="33">
        <v>0</v>
      </c>
      <c r="G114" s="23">
        <v>0</v>
      </c>
      <c r="H114" s="23">
        <v>0</v>
      </c>
      <c r="I114" s="23">
        <v>0</v>
      </c>
      <c r="J114" s="23">
        <f t="shared" si="66"/>
        <v>0</v>
      </c>
      <c r="K114" s="23">
        <v>0</v>
      </c>
      <c r="L114" s="23">
        <v>0</v>
      </c>
      <c r="M114" s="23">
        <v>0</v>
      </c>
      <c r="N114" s="23">
        <v>0</v>
      </c>
      <c r="O114" s="23">
        <f t="shared" si="67"/>
        <v>0</v>
      </c>
      <c r="P114" s="23">
        <v>0</v>
      </c>
      <c r="Q114" s="23">
        <v>0</v>
      </c>
      <c r="R114" s="23">
        <v>0</v>
      </c>
      <c r="S114" s="23">
        <v>0</v>
      </c>
      <c r="T114" s="23">
        <f t="shared" si="68"/>
        <v>0</v>
      </c>
      <c r="U114" s="23">
        <v>0</v>
      </c>
      <c r="V114" s="33">
        <v>0</v>
      </c>
      <c r="W114" s="23">
        <v>0</v>
      </c>
      <c r="X114" s="23">
        <v>0</v>
      </c>
      <c r="Y114" s="23">
        <f t="shared" si="69"/>
        <v>1889</v>
      </c>
      <c r="Z114" s="23">
        <v>1889</v>
      </c>
      <c r="AA114" s="23">
        <v>0</v>
      </c>
      <c r="AB114" s="23">
        <v>0</v>
      </c>
      <c r="AC114" s="23">
        <v>0</v>
      </c>
      <c r="AD114" s="33">
        <f t="shared" si="70"/>
        <v>1889</v>
      </c>
      <c r="AE114" s="27"/>
    </row>
    <row r="115" spans="1:31" s="1" customFormat="1" ht="28.15" customHeight="1" x14ac:dyDescent="0.25">
      <c r="A115" s="102"/>
      <c r="B115" s="88" t="s">
        <v>90</v>
      </c>
      <c r="C115" s="102"/>
      <c r="D115" s="103"/>
      <c r="E115" s="23">
        <f>SUM(F115:I115)</f>
        <v>0</v>
      </c>
      <c r="F115" s="33">
        <v>0</v>
      </c>
      <c r="G115" s="23">
        <v>0</v>
      </c>
      <c r="H115" s="23">
        <v>0</v>
      </c>
      <c r="I115" s="23">
        <v>0</v>
      </c>
      <c r="J115" s="23">
        <f t="shared" si="66"/>
        <v>0</v>
      </c>
      <c r="K115" s="23">
        <v>0</v>
      </c>
      <c r="L115" s="23">
        <v>0</v>
      </c>
      <c r="M115" s="23">
        <v>0</v>
      </c>
      <c r="N115" s="23">
        <v>0</v>
      </c>
      <c r="O115" s="23">
        <f t="shared" si="67"/>
        <v>0</v>
      </c>
      <c r="P115" s="23">
        <v>0</v>
      </c>
      <c r="Q115" s="23">
        <v>0</v>
      </c>
      <c r="R115" s="23">
        <v>0</v>
      </c>
      <c r="S115" s="23">
        <v>0</v>
      </c>
      <c r="T115" s="23">
        <f t="shared" si="68"/>
        <v>0</v>
      </c>
      <c r="U115" s="33">
        <v>0</v>
      </c>
      <c r="V115" s="23">
        <v>0</v>
      </c>
      <c r="W115" s="23">
        <v>0</v>
      </c>
      <c r="X115" s="23">
        <v>0</v>
      </c>
      <c r="Y115" s="23">
        <f t="shared" si="69"/>
        <v>0</v>
      </c>
      <c r="Z115" s="23">
        <v>0</v>
      </c>
      <c r="AA115" s="23">
        <v>0</v>
      </c>
      <c r="AB115" s="23">
        <v>0</v>
      </c>
      <c r="AC115" s="23">
        <v>0</v>
      </c>
      <c r="AD115" s="33">
        <f t="shared" si="70"/>
        <v>0</v>
      </c>
      <c r="AE115" s="27"/>
    </row>
    <row r="116" spans="1:31" s="1" customFormat="1" ht="218.25" customHeight="1" x14ac:dyDescent="0.25">
      <c r="A116" s="100" t="s">
        <v>15</v>
      </c>
      <c r="B116" s="69" t="s">
        <v>280</v>
      </c>
      <c r="C116" s="100" t="s">
        <v>281</v>
      </c>
      <c r="D116" s="83"/>
      <c r="E116" s="23"/>
      <c r="F116" s="23"/>
      <c r="G116" s="23"/>
      <c r="H116" s="23"/>
      <c r="I116" s="23">
        <v>0</v>
      </c>
      <c r="J116" s="23">
        <v>0</v>
      </c>
      <c r="K116" s="23">
        <v>0</v>
      </c>
      <c r="L116" s="23">
        <v>0</v>
      </c>
      <c r="M116" s="23">
        <v>0</v>
      </c>
      <c r="N116" s="23">
        <v>0</v>
      </c>
      <c r="O116" s="23">
        <v>0</v>
      </c>
      <c r="P116" s="23">
        <v>0</v>
      </c>
      <c r="Q116" s="23">
        <v>0</v>
      </c>
      <c r="R116" s="23">
        <v>0</v>
      </c>
      <c r="S116" s="23">
        <v>0</v>
      </c>
      <c r="T116" s="23">
        <f t="shared" si="68"/>
        <v>0</v>
      </c>
      <c r="U116" s="23">
        <v>0</v>
      </c>
      <c r="V116" s="23">
        <v>0</v>
      </c>
      <c r="W116" s="23">
        <v>0</v>
      </c>
      <c r="X116" s="23">
        <v>0</v>
      </c>
      <c r="Y116" s="23">
        <f t="shared" si="69"/>
        <v>0</v>
      </c>
      <c r="Z116" s="23">
        <v>0</v>
      </c>
      <c r="AA116" s="23">
        <v>0</v>
      </c>
      <c r="AB116" s="23">
        <v>0</v>
      </c>
      <c r="AC116" s="23">
        <v>0</v>
      </c>
      <c r="AD116" s="33">
        <f t="shared" si="70"/>
        <v>0</v>
      </c>
      <c r="AE116" s="27"/>
    </row>
    <row r="117" spans="1:31" s="1" customFormat="1" ht="42" customHeight="1" x14ac:dyDescent="0.25">
      <c r="A117" s="104"/>
      <c r="B117" s="88" t="s">
        <v>258</v>
      </c>
      <c r="C117" s="104"/>
      <c r="D117" s="75">
        <v>2022</v>
      </c>
      <c r="E117" s="23">
        <f t="shared" ref="E117:E119" si="71">SUM(F117:I117)</f>
        <v>0</v>
      </c>
      <c r="F117" s="23">
        <v>0</v>
      </c>
      <c r="G117" s="23">
        <v>0</v>
      </c>
      <c r="H117" s="23">
        <v>0</v>
      </c>
      <c r="I117" s="23">
        <v>0</v>
      </c>
      <c r="J117" s="23">
        <v>0</v>
      </c>
      <c r="K117" s="23">
        <v>0</v>
      </c>
      <c r="L117" s="23">
        <v>0</v>
      </c>
      <c r="M117" s="23">
        <v>0</v>
      </c>
      <c r="N117" s="23">
        <v>0</v>
      </c>
      <c r="O117" s="23">
        <v>0</v>
      </c>
      <c r="P117" s="23">
        <v>0</v>
      </c>
      <c r="Q117" s="23">
        <v>0</v>
      </c>
      <c r="R117" s="23">
        <v>0</v>
      </c>
      <c r="S117" s="23">
        <v>0</v>
      </c>
      <c r="T117" s="23">
        <f t="shared" si="68"/>
        <v>435</v>
      </c>
      <c r="U117" s="23">
        <v>435</v>
      </c>
      <c r="V117" s="23">
        <v>0</v>
      </c>
      <c r="W117" s="23">
        <v>0</v>
      </c>
      <c r="X117" s="23">
        <v>0</v>
      </c>
      <c r="Y117" s="23">
        <f t="shared" si="69"/>
        <v>0</v>
      </c>
      <c r="Z117" s="23">
        <v>0</v>
      </c>
      <c r="AA117" s="23">
        <v>0</v>
      </c>
      <c r="AB117" s="23">
        <v>0</v>
      </c>
      <c r="AC117" s="23">
        <v>0</v>
      </c>
      <c r="AD117" s="33">
        <f t="shared" si="70"/>
        <v>435</v>
      </c>
      <c r="AE117" s="63"/>
    </row>
    <row r="118" spans="1:31" s="1" customFormat="1" ht="39" customHeight="1" x14ac:dyDescent="0.25">
      <c r="A118" s="104"/>
      <c r="B118" s="88" t="s">
        <v>272</v>
      </c>
      <c r="C118" s="104"/>
      <c r="D118" s="75" t="s">
        <v>227</v>
      </c>
      <c r="E118" s="23">
        <f t="shared" si="71"/>
        <v>0</v>
      </c>
      <c r="F118" s="23">
        <v>0</v>
      </c>
      <c r="G118" s="23"/>
      <c r="H118" s="23"/>
      <c r="I118" s="23"/>
      <c r="J118" s="23"/>
      <c r="K118" s="23"/>
      <c r="L118" s="23"/>
      <c r="M118" s="23"/>
      <c r="N118" s="23"/>
      <c r="O118" s="23"/>
      <c r="P118" s="23"/>
      <c r="Q118" s="23"/>
      <c r="R118" s="23"/>
      <c r="S118" s="23"/>
      <c r="T118" s="23">
        <f t="shared" si="68"/>
        <v>3039.6</v>
      </c>
      <c r="U118" s="23">
        <f>929-53.13+1723.73+402+38</f>
        <v>3039.6</v>
      </c>
      <c r="V118" s="23"/>
      <c r="W118" s="23"/>
      <c r="X118" s="23"/>
      <c r="Y118" s="73">
        <f t="shared" si="69"/>
        <v>12375</v>
      </c>
      <c r="Z118" s="73">
        <f>4438+8450+480-993</f>
        <v>12375</v>
      </c>
      <c r="AA118" s="23">
        <v>0</v>
      </c>
      <c r="AB118" s="23">
        <v>0</v>
      </c>
      <c r="AC118" s="23">
        <v>0</v>
      </c>
      <c r="AD118" s="74">
        <f t="shared" si="70"/>
        <v>15414.6</v>
      </c>
      <c r="AE118" s="65"/>
    </row>
    <row r="119" spans="1:31" s="1" customFormat="1" ht="55.5" customHeight="1" x14ac:dyDescent="0.25">
      <c r="A119" s="104"/>
      <c r="B119" s="88" t="s">
        <v>300</v>
      </c>
      <c r="C119" s="105"/>
      <c r="D119" s="75">
        <v>2019</v>
      </c>
      <c r="E119" s="23">
        <f t="shared" si="71"/>
        <v>58567.900000000009</v>
      </c>
      <c r="F119" s="23">
        <v>2928.8</v>
      </c>
      <c r="G119" s="23">
        <f>56973.48-1334.38</f>
        <v>55639.100000000006</v>
      </c>
      <c r="H119" s="23">
        <v>0</v>
      </c>
      <c r="I119" s="23">
        <v>0</v>
      </c>
      <c r="J119" s="23">
        <v>0</v>
      </c>
      <c r="K119" s="23">
        <v>0</v>
      </c>
      <c r="L119" s="23">
        <v>0</v>
      </c>
      <c r="M119" s="23">
        <v>0</v>
      </c>
      <c r="N119" s="23">
        <v>0</v>
      </c>
      <c r="O119" s="23">
        <v>0</v>
      </c>
      <c r="P119" s="23">
        <v>0</v>
      </c>
      <c r="Q119" s="23">
        <v>0</v>
      </c>
      <c r="R119" s="23">
        <v>0</v>
      </c>
      <c r="S119" s="23">
        <v>0</v>
      </c>
      <c r="T119" s="23">
        <f t="shared" si="68"/>
        <v>0</v>
      </c>
      <c r="U119" s="23"/>
      <c r="V119" s="23">
        <v>0</v>
      </c>
      <c r="W119" s="23">
        <v>0</v>
      </c>
      <c r="X119" s="23">
        <v>0</v>
      </c>
      <c r="Y119" s="23">
        <f t="shared" si="69"/>
        <v>0</v>
      </c>
      <c r="Z119" s="23">
        <v>0</v>
      </c>
      <c r="AA119" s="23">
        <v>0</v>
      </c>
      <c r="AB119" s="23">
        <v>0</v>
      </c>
      <c r="AC119" s="23">
        <v>0</v>
      </c>
      <c r="AD119" s="33">
        <f t="shared" si="70"/>
        <v>58567.900000000009</v>
      </c>
      <c r="AE119" s="63"/>
    </row>
    <row r="120" spans="1:31" s="1" customFormat="1" ht="40.5" customHeight="1" x14ac:dyDescent="0.25">
      <c r="A120" s="105"/>
      <c r="B120" s="88" t="s">
        <v>278</v>
      </c>
      <c r="C120" s="79"/>
      <c r="D120" s="75">
        <v>2023</v>
      </c>
      <c r="E120" s="23"/>
      <c r="F120" s="23"/>
      <c r="G120" s="23"/>
      <c r="H120" s="23"/>
      <c r="I120" s="23"/>
      <c r="J120" s="23"/>
      <c r="K120" s="23"/>
      <c r="L120" s="23"/>
      <c r="M120" s="23"/>
      <c r="N120" s="23"/>
      <c r="O120" s="23"/>
      <c r="P120" s="23"/>
      <c r="Q120" s="23"/>
      <c r="R120" s="23"/>
      <c r="S120" s="23"/>
      <c r="T120" s="23"/>
      <c r="U120" s="23"/>
      <c r="V120" s="23"/>
      <c r="W120" s="23"/>
      <c r="X120" s="23"/>
      <c r="Y120" s="23">
        <f t="shared" si="69"/>
        <v>1197</v>
      </c>
      <c r="Z120" s="23">
        <f>1197</f>
        <v>1197</v>
      </c>
      <c r="AA120" s="23">
        <v>0</v>
      </c>
      <c r="AB120" s="23">
        <v>0</v>
      </c>
      <c r="AC120" s="23">
        <v>0</v>
      </c>
      <c r="AD120" s="33">
        <f t="shared" si="70"/>
        <v>1197</v>
      </c>
      <c r="AE120" s="67"/>
    </row>
    <row r="121" spans="1:31" s="1" customFormat="1" ht="161.25" customHeight="1" x14ac:dyDescent="0.25">
      <c r="A121" s="106" t="s">
        <v>69</v>
      </c>
      <c r="B121" s="88" t="s">
        <v>321</v>
      </c>
      <c r="C121" s="100" t="s">
        <v>311</v>
      </c>
      <c r="D121" s="98" t="s">
        <v>178</v>
      </c>
      <c r="E121" s="23"/>
      <c r="F121" s="23"/>
      <c r="G121" s="23"/>
      <c r="H121" s="23"/>
      <c r="I121" s="23"/>
      <c r="J121" s="23"/>
      <c r="K121" s="33"/>
      <c r="L121" s="33"/>
      <c r="M121" s="33"/>
      <c r="N121" s="33"/>
      <c r="O121" s="23"/>
      <c r="P121" s="23"/>
      <c r="Q121" s="33"/>
      <c r="R121" s="23"/>
      <c r="S121" s="23"/>
      <c r="T121" s="23"/>
      <c r="U121" s="23"/>
      <c r="V121" s="23"/>
      <c r="W121" s="23"/>
      <c r="X121" s="33"/>
      <c r="Y121" s="23"/>
      <c r="Z121" s="33"/>
      <c r="AA121" s="33"/>
      <c r="AB121" s="33"/>
      <c r="AC121" s="33"/>
      <c r="AD121" s="33">
        <f t="shared" si="70"/>
        <v>0</v>
      </c>
      <c r="AE121" s="27"/>
    </row>
    <row r="122" spans="1:31" s="1" customFormat="1" ht="25.15" customHeight="1" x14ac:dyDescent="0.25">
      <c r="A122" s="107"/>
      <c r="B122" s="88" t="s">
        <v>263</v>
      </c>
      <c r="C122" s="101"/>
      <c r="D122" s="99"/>
      <c r="E122" s="23">
        <f t="shared" ref="E122:E139" si="72">SUM(F122:I122)</f>
        <v>0</v>
      </c>
      <c r="F122" s="23">
        <v>0</v>
      </c>
      <c r="G122" s="23">
        <v>0</v>
      </c>
      <c r="H122" s="23">
        <v>0</v>
      </c>
      <c r="I122" s="23">
        <v>0</v>
      </c>
      <c r="J122" s="23">
        <f t="shared" si="66"/>
        <v>1461</v>
      </c>
      <c r="K122" s="33">
        <f>158+1685-382</f>
        <v>1461</v>
      </c>
      <c r="L122" s="33">
        <v>0</v>
      </c>
      <c r="M122" s="33">
        <v>0</v>
      </c>
      <c r="N122" s="33">
        <v>0</v>
      </c>
      <c r="O122" s="23">
        <f t="shared" si="67"/>
        <v>0</v>
      </c>
      <c r="P122" s="55">
        <v>0</v>
      </c>
      <c r="Q122" s="55">
        <v>0</v>
      </c>
      <c r="R122" s="55">
        <v>0</v>
      </c>
      <c r="S122" s="55">
        <v>0</v>
      </c>
      <c r="T122" s="23">
        <f t="shared" si="68"/>
        <v>262</v>
      </c>
      <c r="U122" s="55">
        <v>262</v>
      </c>
      <c r="V122" s="55">
        <v>0</v>
      </c>
      <c r="W122" s="55">
        <v>0</v>
      </c>
      <c r="X122" s="55">
        <v>0</v>
      </c>
      <c r="Y122" s="23">
        <f t="shared" si="69"/>
        <v>0</v>
      </c>
      <c r="Z122" s="55">
        <v>0</v>
      </c>
      <c r="AA122" s="55">
        <v>0</v>
      </c>
      <c r="AB122" s="55">
        <v>0</v>
      </c>
      <c r="AC122" s="55">
        <v>0</v>
      </c>
      <c r="AD122" s="33">
        <f t="shared" si="70"/>
        <v>1723</v>
      </c>
      <c r="AE122" s="27"/>
    </row>
    <row r="123" spans="1:31" s="1" customFormat="1" ht="35.25" customHeight="1" x14ac:dyDescent="0.25">
      <c r="A123" s="107"/>
      <c r="B123" s="88" t="s">
        <v>302</v>
      </c>
      <c r="C123" s="101"/>
      <c r="D123" s="99"/>
      <c r="E123" s="23">
        <f t="shared" si="72"/>
        <v>0</v>
      </c>
      <c r="F123" s="23">
        <v>0</v>
      </c>
      <c r="G123" s="23">
        <v>0</v>
      </c>
      <c r="H123" s="23">
        <v>0</v>
      </c>
      <c r="I123" s="23">
        <v>0</v>
      </c>
      <c r="J123" s="23">
        <f t="shared" si="66"/>
        <v>597</v>
      </c>
      <c r="K123" s="33">
        <f>920-323</f>
        <v>597</v>
      </c>
      <c r="L123" s="33">
        <v>0</v>
      </c>
      <c r="M123" s="33">
        <v>0</v>
      </c>
      <c r="N123" s="33">
        <v>0</v>
      </c>
      <c r="O123" s="23">
        <f t="shared" si="67"/>
        <v>0</v>
      </c>
      <c r="P123" s="55">
        <v>0</v>
      </c>
      <c r="Q123" s="55">
        <v>0</v>
      </c>
      <c r="R123" s="55">
        <v>0</v>
      </c>
      <c r="S123" s="55">
        <v>0</v>
      </c>
      <c r="T123" s="23">
        <f t="shared" si="68"/>
        <v>3269.5099999999998</v>
      </c>
      <c r="U123" s="55">
        <f>437+2738+94.31+0.2</f>
        <v>3269.5099999999998</v>
      </c>
      <c r="V123" s="55">
        <v>0</v>
      </c>
      <c r="W123" s="55">
        <v>0</v>
      </c>
      <c r="X123" s="55">
        <v>0</v>
      </c>
      <c r="Y123" s="23">
        <f t="shared" si="69"/>
        <v>0</v>
      </c>
      <c r="Z123" s="55">
        <v>0</v>
      </c>
      <c r="AA123" s="55">
        <v>0</v>
      </c>
      <c r="AB123" s="55">
        <v>0</v>
      </c>
      <c r="AC123" s="55">
        <v>0</v>
      </c>
      <c r="AD123" s="33">
        <f t="shared" si="70"/>
        <v>3866.5099999999998</v>
      </c>
      <c r="AE123" s="27"/>
    </row>
    <row r="124" spans="1:31" s="1" customFormat="1" ht="22.9" customHeight="1" x14ac:dyDescent="0.25">
      <c r="A124" s="107"/>
      <c r="B124" s="88" t="s">
        <v>83</v>
      </c>
      <c r="C124" s="101"/>
      <c r="D124" s="99"/>
      <c r="E124" s="23">
        <f t="shared" si="72"/>
        <v>0</v>
      </c>
      <c r="F124" s="33">
        <v>0</v>
      </c>
      <c r="G124" s="23">
        <v>0</v>
      </c>
      <c r="H124" s="23">
        <v>0</v>
      </c>
      <c r="I124" s="23">
        <v>0</v>
      </c>
      <c r="J124" s="23">
        <f t="shared" si="66"/>
        <v>0</v>
      </c>
      <c r="K124" s="33">
        <v>0</v>
      </c>
      <c r="L124" s="33">
        <v>0</v>
      </c>
      <c r="M124" s="33">
        <v>0</v>
      </c>
      <c r="N124" s="33">
        <v>0</v>
      </c>
      <c r="O124" s="23">
        <f t="shared" si="67"/>
        <v>0</v>
      </c>
      <c r="P124" s="55">
        <v>0</v>
      </c>
      <c r="Q124" s="55">
        <v>0</v>
      </c>
      <c r="R124" s="55">
        <v>0</v>
      </c>
      <c r="S124" s="55">
        <v>0</v>
      </c>
      <c r="T124" s="23">
        <f t="shared" si="68"/>
        <v>0</v>
      </c>
      <c r="U124" s="55">
        <v>0</v>
      </c>
      <c r="V124" s="55">
        <v>0</v>
      </c>
      <c r="W124" s="55">
        <v>0</v>
      </c>
      <c r="X124" s="55">
        <v>0</v>
      </c>
      <c r="Y124" s="23">
        <f t="shared" si="69"/>
        <v>0</v>
      </c>
      <c r="Z124" s="55">
        <v>0</v>
      </c>
      <c r="AA124" s="55">
        <v>0</v>
      </c>
      <c r="AB124" s="55">
        <v>0</v>
      </c>
      <c r="AC124" s="55">
        <v>0</v>
      </c>
      <c r="AD124" s="33">
        <f t="shared" si="70"/>
        <v>0</v>
      </c>
      <c r="AE124" s="27"/>
    </row>
    <row r="125" spans="1:31" s="1" customFormat="1" ht="20.45" customHeight="1" x14ac:dyDescent="0.25">
      <c r="A125" s="107"/>
      <c r="B125" s="88" t="s">
        <v>245</v>
      </c>
      <c r="C125" s="101"/>
      <c r="D125" s="99"/>
      <c r="E125" s="23">
        <f t="shared" si="72"/>
        <v>532.70000000000005</v>
      </c>
      <c r="F125" s="33">
        <v>532.70000000000005</v>
      </c>
      <c r="G125" s="23">
        <v>0</v>
      </c>
      <c r="H125" s="23">
        <v>0</v>
      </c>
      <c r="I125" s="23">
        <v>0</v>
      </c>
      <c r="J125" s="23">
        <f t="shared" si="66"/>
        <v>0</v>
      </c>
      <c r="K125" s="33">
        <v>0</v>
      </c>
      <c r="L125" s="33">
        <v>0</v>
      </c>
      <c r="M125" s="33">
        <v>0</v>
      </c>
      <c r="N125" s="33">
        <v>0</v>
      </c>
      <c r="O125" s="23">
        <f t="shared" si="67"/>
        <v>0</v>
      </c>
      <c r="P125" s="55">
        <v>0</v>
      </c>
      <c r="Q125" s="55">
        <v>0</v>
      </c>
      <c r="R125" s="55">
        <v>0</v>
      </c>
      <c r="S125" s="55">
        <v>0</v>
      </c>
      <c r="T125" s="23">
        <f t="shared" si="68"/>
        <v>0</v>
      </c>
      <c r="U125" s="55">
        <v>0</v>
      </c>
      <c r="V125" s="55">
        <v>0</v>
      </c>
      <c r="W125" s="55">
        <v>0</v>
      </c>
      <c r="X125" s="55">
        <v>0</v>
      </c>
      <c r="Y125" s="23">
        <f t="shared" si="69"/>
        <v>0</v>
      </c>
      <c r="Z125" s="55">
        <v>0</v>
      </c>
      <c r="AA125" s="55">
        <v>0</v>
      </c>
      <c r="AB125" s="55">
        <v>0</v>
      </c>
      <c r="AC125" s="55">
        <v>0</v>
      </c>
      <c r="AD125" s="33">
        <f t="shared" si="70"/>
        <v>532.70000000000005</v>
      </c>
      <c r="AE125" s="27"/>
    </row>
    <row r="126" spans="1:31" s="1" customFormat="1" ht="22.9" customHeight="1" x14ac:dyDescent="0.25">
      <c r="A126" s="107"/>
      <c r="B126" s="88" t="s">
        <v>104</v>
      </c>
      <c r="C126" s="101"/>
      <c r="D126" s="99"/>
      <c r="E126" s="23">
        <f t="shared" si="72"/>
        <v>0</v>
      </c>
      <c r="F126" s="23">
        <v>0</v>
      </c>
      <c r="G126" s="23">
        <v>0</v>
      </c>
      <c r="H126" s="23">
        <v>0</v>
      </c>
      <c r="I126" s="23">
        <v>0</v>
      </c>
      <c r="J126" s="23">
        <f t="shared" si="66"/>
        <v>0</v>
      </c>
      <c r="K126" s="33">
        <v>0</v>
      </c>
      <c r="L126" s="33">
        <v>0</v>
      </c>
      <c r="M126" s="33">
        <v>0</v>
      </c>
      <c r="N126" s="33">
        <v>0</v>
      </c>
      <c r="O126" s="23">
        <f t="shared" si="67"/>
        <v>0</v>
      </c>
      <c r="P126" s="55">
        <v>0</v>
      </c>
      <c r="Q126" s="55">
        <v>0</v>
      </c>
      <c r="R126" s="55">
        <v>0</v>
      </c>
      <c r="S126" s="55">
        <v>0</v>
      </c>
      <c r="T126" s="23">
        <f t="shared" si="68"/>
        <v>0</v>
      </c>
      <c r="U126" s="55">
        <v>0</v>
      </c>
      <c r="V126" s="55">
        <v>0</v>
      </c>
      <c r="W126" s="55">
        <v>0</v>
      </c>
      <c r="X126" s="55">
        <v>0</v>
      </c>
      <c r="Y126" s="23">
        <f t="shared" si="69"/>
        <v>0</v>
      </c>
      <c r="Z126" s="55">
        <v>0</v>
      </c>
      <c r="AA126" s="55">
        <v>0</v>
      </c>
      <c r="AB126" s="55">
        <v>0</v>
      </c>
      <c r="AC126" s="55">
        <v>0</v>
      </c>
      <c r="AD126" s="33">
        <f t="shared" si="70"/>
        <v>0</v>
      </c>
      <c r="AE126" s="27"/>
    </row>
    <row r="127" spans="1:31" s="1" customFormat="1" ht="24" customHeight="1" x14ac:dyDescent="0.25">
      <c r="A127" s="107"/>
      <c r="B127" s="88" t="s">
        <v>105</v>
      </c>
      <c r="C127" s="101"/>
      <c r="D127" s="99"/>
      <c r="E127" s="23">
        <f t="shared" si="72"/>
        <v>0</v>
      </c>
      <c r="F127" s="23">
        <v>0</v>
      </c>
      <c r="G127" s="23">
        <v>0</v>
      </c>
      <c r="H127" s="23">
        <v>0</v>
      </c>
      <c r="I127" s="23">
        <v>0</v>
      </c>
      <c r="J127" s="23">
        <f t="shared" si="66"/>
        <v>0</v>
      </c>
      <c r="K127" s="33">
        <v>0</v>
      </c>
      <c r="L127" s="33">
        <v>0</v>
      </c>
      <c r="M127" s="33">
        <v>0</v>
      </c>
      <c r="N127" s="33">
        <v>0</v>
      </c>
      <c r="O127" s="23">
        <f t="shared" si="67"/>
        <v>378.69</v>
      </c>
      <c r="P127" s="55">
        <f>50.12+328.57</f>
        <v>378.69</v>
      </c>
      <c r="Q127" s="55">
        <v>0</v>
      </c>
      <c r="R127" s="55">
        <v>0</v>
      </c>
      <c r="S127" s="55">
        <v>0</v>
      </c>
      <c r="T127" s="23">
        <f t="shared" si="68"/>
        <v>290.77999999999997</v>
      </c>
      <c r="U127" s="55">
        <f>500-209.22</f>
        <v>290.77999999999997</v>
      </c>
      <c r="V127" s="55">
        <v>0</v>
      </c>
      <c r="W127" s="55">
        <v>0</v>
      </c>
      <c r="X127" s="55">
        <v>0</v>
      </c>
      <c r="Y127" s="23">
        <f t="shared" si="69"/>
        <v>0</v>
      </c>
      <c r="Z127" s="55">
        <v>0</v>
      </c>
      <c r="AA127" s="55">
        <v>0</v>
      </c>
      <c r="AB127" s="55">
        <v>0</v>
      </c>
      <c r="AC127" s="55">
        <v>0</v>
      </c>
      <c r="AD127" s="33">
        <f t="shared" si="70"/>
        <v>669.47</v>
      </c>
      <c r="AE127" s="27"/>
    </row>
    <row r="128" spans="1:31" s="1" customFormat="1" ht="17.45" customHeight="1" x14ac:dyDescent="0.25">
      <c r="A128" s="107"/>
      <c r="B128" s="88" t="s">
        <v>106</v>
      </c>
      <c r="C128" s="101"/>
      <c r="D128" s="99"/>
      <c r="E128" s="23">
        <f t="shared" si="72"/>
        <v>1256.5</v>
      </c>
      <c r="F128" s="23">
        <v>1256.5</v>
      </c>
      <c r="G128" s="23">
        <v>0</v>
      </c>
      <c r="H128" s="23">
        <v>0</v>
      </c>
      <c r="I128" s="23">
        <v>0</v>
      </c>
      <c r="J128" s="23">
        <f t="shared" si="66"/>
        <v>393</v>
      </c>
      <c r="K128" s="33">
        <f>874-481</f>
        <v>393</v>
      </c>
      <c r="L128" s="33">
        <v>0</v>
      </c>
      <c r="M128" s="33">
        <v>0</v>
      </c>
      <c r="N128" s="33">
        <v>0</v>
      </c>
      <c r="O128" s="23">
        <f t="shared" si="67"/>
        <v>0</v>
      </c>
      <c r="P128" s="23">
        <v>0</v>
      </c>
      <c r="Q128" s="55">
        <v>0</v>
      </c>
      <c r="R128" s="55">
        <v>0</v>
      </c>
      <c r="S128" s="55">
        <v>0</v>
      </c>
      <c r="T128" s="23">
        <f t="shared" si="68"/>
        <v>0</v>
      </c>
      <c r="U128" s="23">
        <v>0</v>
      </c>
      <c r="V128" s="55">
        <v>0</v>
      </c>
      <c r="W128" s="55">
        <v>0</v>
      </c>
      <c r="X128" s="55">
        <v>0</v>
      </c>
      <c r="Y128" s="23">
        <f t="shared" si="69"/>
        <v>0</v>
      </c>
      <c r="Z128" s="33">
        <v>0</v>
      </c>
      <c r="AA128" s="55">
        <v>0</v>
      </c>
      <c r="AB128" s="55">
        <v>0</v>
      </c>
      <c r="AC128" s="55">
        <v>0</v>
      </c>
      <c r="AD128" s="33">
        <f t="shared" si="70"/>
        <v>1649.5</v>
      </c>
      <c r="AE128" s="27"/>
    </row>
    <row r="129" spans="1:31" s="1" customFormat="1" ht="26.45" customHeight="1" x14ac:dyDescent="0.25">
      <c r="A129" s="107"/>
      <c r="B129" s="88" t="s">
        <v>84</v>
      </c>
      <c r="C129" s="101"/>
      <c r="D129" s="99"/>
      <c r="E129" s="23">
        <f t="shared" si="72"/>
        <v>0</v>
      </c>
      <c r="F129" s="33">
        <v>0</v>
      </c>
      <c r="G129" s="23">
        <v>0</v>
      </c>
      <c r="H129" s="23">
        <v>0</v>
      </c>
      <c r="I129" s="23">
        <v>0</v>
      </c>
      <c r="J129" s="23">
        <f t="shared" si="66"/>
        <v>0</v>
      </c>
      <c r="K129" s="33">
        <v>0</v>
      </c>
      <c r="L129" s="33">
        <v>0</v>
      </c>
      <c r="M129" s="33">
        <v>0</v>
      </c>
      <c r="N129" s="33">
        <v>0</v>
      </c>
      <c r="O129" s="23">
        <f t="shared" si="67"/>
        <v>1000.0000000000002</v>
      </c>
      <c r="P129" s="33">
        <f>1668-5.6-328.57-333.83</f>
        <v>1000.0000000000002</v>
      </c>
      <c r="Q129" s="33">
        <v>0</v>
      </c>
      <c r="R129" s="33">
        <v>0</v>
      </c>
      <c r="S129" s="33">
        <v>0</v>
      </c>
      <c r="T129" s="23">
        <f t="shared" si="68"/>
        <v>0</v>
      </c>
      <c r="U129" s="33">
        <v>0</v>
      </c>
      <c r="V129" s="33">
        <v>0</v>
      </c>
      <c r="W129" s="33">
        <v>0</v>
      </c>
      <c r="X129" s="33">
        <v>0</v>
      </c>
      <c r="Y129" s="23">
        <f t="shared" si="69"/>
        <v>0</v>
      </c>
      <c r="Z129" s="33">
        <v>0</v>
      </c>
      <c r="AA129" s="33">
        <v>0</v>
      </c>
      <c r="AB129" s="33">
        <v>0</v>
      </c>
      <c r="AC129" s="33">
        <v>0</v>
      </c>
      <c r="AD129" s="33">
        <f t="shared" si="70"/>
        <v>1000.0000000000002</v>
      </c>
      <c r="AE129" s="27"/>
    </row>
    <row r="130" spans="1:31" s="1" customFormat="1" ht="21.6" customHeight="1" x14ac:dyDescent="0.25">
      <c r="A130" s="107"/>
      <c r="B130" s="88" t="s">
        <v>239</v>
      </c>
      <c r="C130" s="101"/>
      <c r="D130" s="99"/>
      <c r="E130" s="23">
        <f t="shared" si="72"/>
        <v>0</v>
      </c>
      <c r="F130" s="33">
        <v>0</v>
      </c>
      <c r="G130" s="23">
        <v>0</v>
      </c>
      <c r="H130" s="23">
        <v>0</v>
      </c>
      <c r="I130" s="23">
        <v>0</v>
      </c>
      <c r="J130" s="23">
        <f t="shared" si="66"/>
        <v>0</v>
      </c>
      <c r="K130" s="33">
        <v>0</v>
      </c>
      <c r="L130" s="33">
        <v>0</v>
      </c>
      <c r="M130" s="33">
        <v>0</v>
      </c>
      <c r="N130" s="33">
        <v>0</v>
      </c>
      <c r="O130" s="23">
        <f t="shared" si="67"/>
        <v>0</v>
      </c>
      <c r="P130" s="33">
        <v>0</v>
      </c>
      <c r="Q130" s="33">
        <v>0</v>
      </c>
      <c r="R130" s="33">
        <v>0</v>
      </c>
      <c r="S130" s="33">
        <v>0</v>
      </c>
      <c r="T130" s="23">
        <f t="shared" si="68"/>
        <v>0</v>
      </c>
      <c r="U130" s="33">
        <v>0</v>
      </c>
      <c r="V130" s="33">
        <v>0</v>
      </c>
      <c r="W130" s="33">
        <v>0</v>
      </c>
      <c r="X130" s="33">
        <v>0</v>
      </c>
      <c r="Y130" s="23">
        <f t="shared" si="69"/>
        <v>0</v>
      </c>
      <c r="Z130" s="33">
        <v>0</v>
      </c>
      <c r="AA130" s="33">
        <v>0</v>
      </c>
      <c r="AB130" s="33">
        <v>0</v>
      </c>
      <c r="AC130" s="33">
        <v>0</v>
      </c>
      <c r="AD130" s="33">
        <f t="shared" si="70"/>
        <v>0</v>
      </c>
      <c r="AE130" s="27"/>
    </row>
    <row r="131" spans="1:31" s="1" customFormat="1" ht="22.9" customHeight="1" x14ac:dyDescent="0.25">
      <c r="A131" s="107"/>
      <c r="B131" s="88" t="s">
        <v>243</v>
      </c>
      <c r="C131" s="101"/>
      <c r="D131" s="99"/>
      <c r="E131" s="23">
        <f t="shared" si="72"/>
        <v>394</v>
      </c>
      <c r="F131" s="23">
        <v>394</v>
      </c>
      <c r="G131" s="23">
        <v>0</v>
      </c>
      <c r="H131" s="23">
        <v>0</v>
      </c>
      <c r="I131" s="23">
        <v>0</v>
      </c>
      <c r="J131" s="23">
        <f t="shared" si="66"/>
        <v>140</v>
      </c>
      <c r="K131" s="23">
        <v>140</v>
      </c>
      <c r="L131" s="33">
        <v>0</v>
      </c>
      <c r="M131" s="33">
        <v>0</v>
      </c>
      <c r="N131" s="33">
        <v>0</v>
      </c>
      <c r="O131" s="23">
        <f t="shared" si="67"/>
        <v>0</v>
      </c>
      <c r="P131" s="23">
        <v>0</v>
      </c>
      <c r="Q131" s="33">
        <v>0</v>
      </c>
      <c r="R131" s="33">
        <v>0</v>
      </c>
      <c r="S131" s="33">
        <v>0</v>
      </c>
      <c r="T131" s="23">
        <f t="shared" si="68"/>
        <v>209.22</v>
      </c>
      <c r="U131" s="56">
        <v>209.22</v>
      </c>
      <c r="V131" s="33">
        <v>0</v>
      </c>
      <c r="W131" s="33">
        <v>0</v>
      </c>
      <c r="X131" s="33">
        <v>0</v>
      </c>
      <c r="Y131" s="23">
        <f t="shared" si="69"/>
        <v>627</v>
      </c>
      <c r="Z131" s="33">
        <f>64+563</f>
        <v>627</v>
      </c>
      <c r="AA131" s="33">
        <v>0</v>
      </c>
      <c r="AB131" s="33">
        <v>0</v>
      </c>
      <c r="AC131" s="33">
        <v>0</v>
      </c>
      <c r="AD131" s="33">
        <f t="shared" si="70"/>
        <v>1370.22</v>
      </c>
      <c r="AE131" s="27"/>
    </row>
    <row r="132" spans="1:31" s="1" customFormat="1" ht="37.5" customHeight="1" x14ac:dyDescent="0.25">
      <c r="A132" s="107"/>
      <c r="B132" s="88" t="s">
        <v>244</v>
      </c>
      <c r="C132" s="101"/>
      <c r="D132" s="99"/>
      <c r="E132" s="23">
        <f t="shared" si="72"/>
        <v>0</v>
      </c>
      <c r="F132" s="33">
        <v>0</v>
      </c>
      <c r="G132" s="23">
        <v>0</v>
      </c>
      <c r="H132" s="23">
        <v>0</v>
      </c>
      <c r="I132" s="23">
        <v>0</v>
      </c>
      <c r="J132" s="23">
        <f t="shared" si="66"/>
        <v>0</v>
      </c>
      <c r="K132" s="33">
        <v>0</v>
      </c>
      <c r="L132" s="33">
        <v>0</v>
      </c>
      <c r="M132" s="33">
        <v>0</v>
      </c>
      <c r="N132" s="33">
        <v>0</v>
      </c>
      <c r="O132" s="23">
        <f t="shared" si="67"/>
        <v>0</v>
      </c>
      <c r="P132" s="23">
        <v>0</v>
      </c>
      <c r="Q132" s="33">
        <v>0</v>
      </c>
      <c r="R132" s="33">
        <v>0</v>
      </c>
      <c r="S132" s="33">
        <v>0</v>
      </c>
      <c r="T132" s="23">
        <f t="shared" si="68"/>
        <v>586</v>
      </c>
      <c r="U132" s="23">
        <v>586</v>
      </c>
      <c r="V132" s="33">
        <v>0</v>
      </c>
      <c r="W132" s="33">
        <v>0</v>
      </c>
      <c r="X132" s="33">
        <v>0</v>
      </c>
      <c r="Y132" s="23">
        <f t="shared" si="69"/>
        <v>725</v>
      </c>
      <c r="Z132" s="33">
        <v>725</v>
      </c>
      <c r="AA132" s="33">
        <v>0</v>
      </c>
      <c r="AB132" s="33">
        <v>0</v>
      </c>
      <c r="AC132" s="33">
        <v>0</v>
      </c>
      <c r="AD132" s="33">
        <f t="shared" si="70"/>
        <v>1311</v>
      </c>
      <c r="AE132" s="27"/>
    </row>
    <row r="133" spans="1:31" s="1" customFormat="1" ht="21.6" customHeight="1" x14ac:dyDescent="0.25">
      <c r="A133" s="107"/>
      <c r="B133" s="88" t="s">
        <v>240</v>
      </c>
      <c r="C133" s="101"/>
      <c r="D133" s="99"/>
      <c r="E133" s="23">
        <f t="shared" si="72"/>
        <v>0</v>
      </c>
      <c r="F133" s="33">
        <v>0</v>
      </c>
      <c r="G133" s="23">
        <v>0</v>
      </c>
      <c r="H133" s="23">
        <v>0</v>
      </c>
      <c r="I133" s="23">
        <v>0</v>
      </c>
      <c r="J133" s="23">
        <f t="shared" si="66"/>
        <v>0</v>
      </c>
      <c r="K133" s="33">
        <v>0</v>
      </c>
      <c r="L133" s="33">
        <v>0</v>
      </c>
      <c r="M133" s="33">
        <v>0</v>
      </c>
      <c r="N133" s="33">
        <v>0</v>
      </c>
      <c r="O133" s="23">
        <f t="shared" si="67"/>
        <v>0</v>
      </c>
      <c r="P133" s="23">
        <v>0</v>
      </c>
      <c r="Q133" s="33">
        <v>0</v>
      </c>
      <c r="R133" s="33">
        <v>0</v>
      </c>
      <c r="S133" s="33">
        <v>0</v>
      </c>
      <c r="T133" s="23">
        <f t="shared" si="68"/>
        <v>0</v>
      </c>
      <c r="U133" s="23">
        <v>0</v>
      </c>
      <c r="V133" s="33">
        <v>0</v>
      </c>
      <c r="W133" s="33">
        <v>0</v>
      </c>
      <c r="X133" s="33">
        <v>0</v>
      </c>
      <c r="Y133" s="23">
        <f t="shared" si="69"/>
        <v>0</v>
      </c>
      <c r="Z133" s="33">
        <v>0</v>
      </c>
      <c r="AA133" s="33">
        <v>0</v>
      </c>
      <c r="AB133" s="33">
        <v>0</v>
      </c>
      <c r="AC133" s="33">
        <v>0</v>
      </c>
      <c r="AD133" s="33">
        <f t="shared" si="70"/>
        <v>0</v>
      </c>
      <c r="AE133" s="27"/>
    </row>
    <row r="134" spans="1:31" s="1" customFormat="1" ht="20.45" customHeight="1" x14ac:dyDescent="0.25">
      <c r="A134" s="107"/>
      <c r="B134" s="88" t="s">
        <v>241</v>
      </c>
      <c r="C134" s="101"/>
      <c r="D134" s="99"/>
      <c r="E134" s="23">
        <f t="shared" si="72"/>
        <v>0</v>
      </c>
      <c r="F134" s="33">
        <v>0</v>
      </c>
      <c r="G134" s="23">
        <v>0</v>
      </c>
      <c r="H134" s="23">
        <v>0</v>
      </c>
      <c r="I134" s="23">
        <v>0</v>
      </c>
      <c r="J134" s="23">
        <f t="shared" si="66"/>
        <v>0</v>
      </c>
      <c r="K134" s="33">
        <v>0</v>
      </c>
      <c r="L134" s="33">
        <v>0</v>
      </c>
      <c r="M134" s="33">
        <v>0</v>
      </c>
      <c r="N134" s="33">
        <v>0</v>
      </c>
      <c r="O134" s="23">
        <f t="shared" si="67"/>
        <v>0</v>
      </c>
      <c r="P134" s="33">
        <v>0</v>
      </c>
      <c r="Q134" s="33">
        <v>0</v>
      </c>
      <c r="R134" s="33">
        <v>0</v>
      </c>
      <c r="S134" s="33">
        <v>0</v>
      </c>
      <c r="T134" s="23">
        <f t="shared" si="68"/>
        <v>0</v>
      </c>
      <c r="U134" s="33">
        <v>0</v>
      </c>
      <c r="V134" s="33">
        <v>0</v>
      </c>
      <c r="W134" s="33">
        <v>0</v>
      </c>
      <c r="X134" s="33">
        <v>0</v>
      </c>
      <c r="Y134" s="23">
        <f t="shared" si="69"/>
        <v>0</v>
      </c>
      <c r="Z134" s="33">
        <v>0</v>
      </c>
      <c r="AA134" s="33">
        <v>0</v>
      </c>
      <c r="AB134" s="33">
        <v>0</v>
      </c>
      <c r="AC134" s="33">
        <v>0</v>
      </c>
      <c r="AD134" s="33">
        <f t="shared" si="70"/>
        <v>0</v>
      </c>
      <c r="AE134" s="27"/>
    </row>
    <row r="135" spans="1:31" s="1" customFormat="1" ht="22.15" customHeight="1" x14ac:dyDescent="0.25">
      <c r="A135" s="107"/>
      <c r="B135" s="88" t="s">
        <v>242</v>
      </c>
      <c r="C135" s="101"/>
      <c r="D135" s="99"/>
      <c r="E135" s="23">
        <f t="shared" si="72"/>
        <v>681</v>
      </c>
      <c r="F135" s="33">
        <v>681</v>
      </c>
      <c r="G135" s="23">
        <v>0</v>
      </c>
      <c r="H135" s="23">
        <v>0</v>
      </c>
      <c r="I135" s="23">
        <v>0</v>
      </c>
      <c r="J135" s="23">
        <f t="shared" si="66"/>
        <v>0</v>
      </c>
      <c r="K135" s="33">
        <v>0</v>
      </c>
      <c r="L135" s="33">
        <v>0</v>
      </c>
      <c r="M135" s="33">
        <v>0</v>
      </c>
      <c r="N135" s="33">
        <v>0</v>
      </c>
      <c r="O135" s="23">
        <f t="shared" si="67"/>
        <v>0</v>
      </c>
      <c r="P135" s="23">
        <v>0</v>
      </c>
      <c r="Q135" s="33">
        <v>0</v>
      </c>
      <c r="R135" s="33">
        <v>0</v>
      </c>
      <c r="S135" s="33">
        <v>0</v>
      </c>
      <c r="T135" s="23">
        <f t="shared" si="68"/>
        <v>0</v>
      </c>
      <c r="U135" s="23">
        <v>0</v>
      </c>
      <c r="V135" s="33">
        <v>0</v>
      </c>
      <c r="W135" s="33">
        <v>0</v>
      </c>
      <c r="X135" s="33">
        <v>0</v>
      </c>
      <c r="Y135" s="73">
        <f t="shared" si="69"/>
        <v>3799</v>
      </c>
      <c r="Z135" s="74">
        <f>3801-2</f>
        <v>3799</v>
      </c>
      <c r="AA135" s="33">
        <v>0</v>
      </c>
      <c r="AB135" s="33">
        <v>0</v>
      </c>
      <c r="AC135" s="33">
        <v>0</v>
      </c>
      <c r="AD135" s="74">
        <f t="shared" si="70"/>
        <v>4480</v>
      </c>
      <c r="AE135" s="27"/>
    </row>
    <row r="136" spans="1:31" s="1" customFormat="1" ht="21" customHeight="1" x14ac:dyDescent="0.25">
      <c r="A136" s="107"/>
      <c r="B136" s="88" t="s">
        <v>85</v>
      </c>
      <c r="C136" s="101"/>
      <c r="D136" s="99"/>
      <c r="E136" s="23">
        <f t="shared" si="72"/>
        <v>0</v>
      </c>
      <c r="F136" s="33">
        <v>0</v>
      </c>
      <c r="G136" s="23">
        <v>0</v>
      </c>
      <c r="H136" s="23">
        <v>0</v>
      </c>
      <c r="I136" s="23">
        <v>0</v>
      </c>
      <c r="J136" s="23">
        <f t="shared" si="66"/>
        <v>0</v>
      </c>
      <c r="K136" s="33">
        <v>0</v>
      </c>
      <c r="L136" s="33">
        <v>0</v>
      </c>
      <c r="M136" s="33">
        <v>0</v>
      </c>
      <c r="N136" s="33">
        <v>0</v>
      </c>
      <c r="O136" s="23">
        <f t="shared" si="67"/>
        <v>0</v>
      </c>
      <c r="P136" s="23">
        <v>0</v>
      </c>
      <c r="Q136" s="33">
        <v>0</v>
      </c>
      <c r="R136" s="33">
        <v>0</v>
      </c>
      <c r="S136" s="33">
        <v>0</v>
      </c>
      <c r="T136" s="23">
        <f t="shared" si="68"/>
        <v>471.87</v>
      </c>
      <c r="U136" s="23">
        <f>178+293.87</f>
        <v>471.87</v>
      </c>
      <c r="V136" s="33">
        <v>0</v>
      </c>
      <c r="W136" s="33">
        <v>0</v>
      </c>
      <c r="X136" s="33">
        <v>0</v>
      </c>
      <c r="Y136" s="23">
        <f t="shared" si="69"/>
        <v>127</v>
      </c>
      <c r="Z136" s="33">
        <v>127</v>
      </c>
      <c r="AA136" s="33">
        <v>0</v>
      </c>
      <c r="AB136" s="33">
        <v>0</v>
      </c>
      <c r="AC136" s="33">
        <v>0</v>
      </c>
      <c r="AD136" s="33">
        <f t="shared" si="70"/>
        <v>598.87</v>
      </c>
      <c r="AE136" s="27"/>
    </row>
    <row r="137" spans="1:31" s="1" customFormat="1" ht="30.75" customHeight="1" x14ac:dyDescent="0.25">
      <c r="A137" s="107"/>
      <c r="B137" s="88" t="s">
        <v>268</v>
      </c>
      <c r="C137" s="101"/>
      <c r="D137" s="99"/>
      <c r="E137" s="23">
        <f>SUM(F137:I137)</f>
        <v>0</v>
      </c>
      <c r="F137" s="23">
        <v>0</v>
      </c>
      <c r="G137" s="23">
        <v>0</v>
      </c>
      <c r="H137" s="23">
        <v>0</v>
      </c>
      <c r="I137" s="23">
        <v>0</v>
      </c>
      <c r="J137" s="23">
        <f t="shared" si="66"/>
        <v>485</v>
      </c>
      <c r="K137" s="33">
        <f>904-419</f>
        <v>485</v>
      </c>
      <c r="L137" s="33">
        <v>0</v>
      </c>
      <c r="M137" s="33">
        <v>0</v>
      </c>
      <c r="N137" s="33">
        <v>0</v>
      </c>
      <c r="O137" s="23">
        <f t="shared" si="67"/>
        <v>1732</v>
      </c>
      <c r="P137" s="51">
        <f>2236-504</f>
        <v>1732</v>
      </c>
      <c r="Q137" s="33">
        <v>0</v>
      </c>
      <c r="R137" s="33">
        <v>0</v>
      </c>
      <c r="S137" s="33">
        <v>0</v>
      </c>
      <c r="T137" s="23">
        <f t="shared" si="68"/>
        <v>532</v>
      </c>
      <c r="U137" s="23">
        <f>473+60+18-19</f>
        <v>532</v>
      </c>
      <c r="V137" s="33">
        <v>0</v>
      </c>
      <c r="W137" s="33">
        <v>0</v>
      </c>
      <c r="X137" s="33">
        <v>0</v>
      </c>
      <c r="Y137" s="23">
        <f t="shared" si="69"/>
        <v>0</v>
      </c>
      <c r="Z137" s="33">
        <v>0</v>
      </c>
      <c r="AA137" s="33">
        <v>0</v>
      </c>
      <c r="AB137" s="33">
        <v>0</v>
      </c>
      <c r="AC137" s="33">
        <v>0</v>
      </c>
      <c r="AD137" s="33">
        <f>SUM(E137,J137,O137,T137,Y137)</f>
        <v>2749</v>
      </c>
      <c r="AE137" s="27"/>
    </row>
    <row r="138" spans="1:31" s="1" customFormat="1" ht="72.75" customHeight="1" x14ac:dyDescent="0.25">
      <c r="A138" s="107"/>
      <c r="B138" s="88" t="s">
        <v>279</v>
      </c>
      <c r="C138" s="101"/>
      <c r="D138" s="99"/>
      <c r="E138" s="23">
        <f>SUM(F138:I138)</f>
        <v>2427.5</v>
      </c>
      <c r="F138" s="23">
        <v>121.3</v>
      </c>
      <c r="G138" s="23">
        <v>2306.1999999999998</v>
      </c>
      <c r="H138" s="23"/>
      <c r="I138" s="23"/>
      <c r="J138" s="23"/>
      <c r="K138" s="33"/>
      <c r="L138" s="33"/>
      <c r="M138" s="33"/>
      <c r="N138" s="33"/>
      <c r="O138" s="23"/>
      <c r="P138" s="51"/>
      <c r="Q138" s="33"/>
      <c r="R138" s="33"/>
      <c r="S138" s="33"/>
      <c r="T138" s="23"/>
      <c r="U138" s="23"/>
      <c r="V138" s="33"/>
      <c r="W138" s="33"/>
      <c r="X138" s="33"/>
      <c r="Y138" s="23"/>
      <c r="Z138" s="33"/>
      <c r="AA138" s="33"/>
      <c r="AB138" s="33"/>
      <c r="AC138" s="33"/>
      <c r="AD138" s="33">
        <f>SUM(E138,J138,O138,T138,Y138)</f>
        <v>2427.5</v>
      </c>
      <c r="AE138" s="65"/>
    </row>
    <row r="139" spans="1:31" s="1" customFormat="1" ht="20.45" customHeight="1" x14ac:dyDescent="0.25">
      <c r="A139" s="107"/>
      <c r="B139" s="88" t="s">
        <v>147</v>
      </c>
      <c r="C139" s="101"/>
      <c r="D139" s="99"/>
      <c r="E139" s="23">
        <f t="shared" si="72"/>
        <v>0</v>
      </c>
      <c r="F139" s="33">
        <v>0</v>
      </c>
      <c r="G139" s="23">
        <v>0</v>
      </c>
      <c r="H139" s="23">
        <v>0</v>
      </c>
      <c r="I139" s="23">
        <v>0</v>
      </c>
      <c r="J139" s="23">
        <f t="shared" si="66"/>
        <v>0</v>
      </c>
      <c r="K139" s="33">
        <v>0</v>
      </c>
      <c r="L139" s="33">
        <v>0</v>
      </c>
      <c r="M139" s="33">
        <v>0</v>
      </c>
      <c r="N139" s="33">
        <v>0</v>
      </c>
      <c r="O139" s="23">
        <f t="shared" si="67"/>
        <v>0</v>
      </c>
      <c r="P139" s="33">
        <v>0</v>
      </c>
      <c r="Q139" s="33">
        <v>0</v>
      </c>
      <c r="R139" s="33">
        <v>0</v>
      </c>
      <c r="S139" s="33">
        <v>0</v>
      </c>
      <c r="T139" s="23">
        <f t="shared" si="68"/>
        <v>1274.21</v>
      </c>
      <c r="U139" s="33">
        <f>589.48+729.7-44.97</f>
        <v>1274.21</v>
      </c>
      <c r="V139" s="33">
        <v>0</v>
      </c>
      <c r="W139" s="33">
        <v>0</v>
      </c>
      <c r="X139" s="33">
        <v>0</v>
      </c>
      <c r="Y139" s="73">
        <f>SUM(Z139:AC139)</f>
        <v>6071</v>
      </c>
      <c r="Z139" s="74">
        <f>5157+567+787+347-787</f>
        <v>6071</v>
      </c>
      <c r="AA139" s="33">
        <v>0</v>
      </c>
      <c r="AB139" s="33">
        <v>0</v>
      </c>
      <c r="AC139" s="33">
        <v>0</v>
      </c>
      <c r="AD139" s="74">
        <f t="shared" si="70"/>
        <v>7345.21</v>
      </c>
      <c r="AE139" s="27"/>
    </row>
    <row r="140" spans="1:31" s="1" customFormat="1" ht="18.600000000000001" customHeight="1" x14ac:dyDescent="0.25">
      <c r="A140" s="108"/>
      <c r="B140" s="88" t="s">
        <v>108</v>
      </c>
      <c r="C140" s="102"/>
      <c r="D140" s="99"/>
      <c r="E140" s="23">
        <f>SUM(F140:I140)</f>
        <v>0</v>
      </c>
      <c r="F140" s="23">
        <v>0</v>
      </c>
      <c r="G140" s="23">
        <v>0</v>
      </c>
      <c r="H140" s="23">
        <v>0</v>
      </c>
      <c r="I140" s="23">
        <v>0</v>
      </c>
      <c r="J140" s="23">
        <f>SUM(K140:N140)</f>
        <v>1192</v>
      </c>
      <c r="K140" s="33">
        <f>1341-149</f>
        <v>1192</v>
      </c>
      <c r="L140" s="33">
        <v>0</v>
      </c>
      <c r="M140" s="33">
        <v>0</v>
      </c>
      <c r="N140" s="33">
        <v>0</v>
      </c>
      <c r="O140" s="23">
        <f>SUM(P140:S140)</f>
        <v>0</v>
      </c>
      <c r="P140" s="55">
        <v>0</v>
      </c>
      <c r="Q140" s="55">
        <v>0</v>
      </c>
      <c r="R140" s="55">
        <v>0</v>
      </c>
      <c r="S140" s="55">
        <v>0</v>
      </c>
      <c r="T140" s="23">
        <f>SUM(U140:X140)</f>
        <v>0</v>
      </c>
      <c r="U140" s="55">
        <v>0</v>
      </c>
      <c r="V140" s="55">
        <v>0</v>
      </c>
      <c r="W140" s="55">
        <v>0</v>
      </c>
      <c r="X140" s="55">
        <v>0</v>
      </c>
      <c r="Y140" s="23">
        <f>SUM(Z140:AC140)</f>
        <v>0</v>
      </c>
      <c r="Z140" s="55">
        <v>0</v>
      </c>
      <c r="AA140" s="55">
        <v>0</v>
      </c>
      <c r="AB140" s="55">
        <v>0</v>
      </c>
      <c r="AC140" s="55">
        <v>0</v>
      </c>
      <c r="AD140" s="33">
        <f t="shared" si="70"/>
        <v>1192</v>
      </c>
      <c r="AE140" s="27"/>
    </row>
    <row r="141" spans="1:31" s="1" customFormat="1" ht="90.75" customHeight="1" x14ac:dyDescent="0.25">
      <c r="A141" s="81" t="s">
        <v>70</v>
      </c>
      <c r="B141" s="88" t="s">
        <v>120</v>
      </c>
      <c r="C141" s="96" t="s">
        <v>322</v>
      </c>
      <c r="D141" s="83" t="s">
        <v>222</v>
      </c>
      <c r="E141" s="23">
        <f>SUM(F141:I141)</f>
        <v>388</v>
      </c>
      <c r="F141" s="23">
        <v>388</v>
      </c>
      <c r="G141" s="23">
        <v>0</v>
      </c>
      <c r="H141" s="23">
        <v>0</v>
      </c>
      <c r="I141" s="23">
        <v>0</v>
      </c>
      <c r="J141" s="23">
        <v>0</v>
      </c>
      <c r="K141" s="23">
        <v>0</v>
      </c>
      <c r="L141" s="23">
        <v>0</v>
      </c>
      <c r="M141" s="23">
        <v>0</v>
      </c>
      <c r="N141" s="23">
        <v>0</v>
      </c>
      <c r="O141" s="23">
        <v>77.010000000000005</v>
      </c>
      <c r="P141" s="23">
        <v>77.010000000000005</v>
      </c>
      <c r="Q141" s="23">
        <v>0</v>
      </c>
      <c r="R141" s="23">
        <v>0</v>
      </c>
      <c r="S141" s="23">
        <v>0</v>
      </c>
      <c r="T141" s="23">
        <v>0</v>
      </c>
      <c r="U141" s="23">
        <v>0</v>
      </c>
      <c r="V141" s="23">
        <v>0</v>
      </c>
      <c r="W141" s="23">
        <v>0</v>
      </c>
      <c r="X141" s="23">
        <v>0</v>
      </c>
      <c r="Y141" s="23">
        <f>SUM(Z141:AC141)</f>
        <v>504</v>
      </c>
      <c r="Z141" s="23">
        <f>300+204</f>
        <v>504</v>
      </c>
      <c r="AA141" s="23">
        <v>0</v>
      </c>
      <c r="AB141" s="23">
        <v>0</v>
      </c>
      <c r="AC141" s="23">
        <v>0</v>
      </c>
      <c r="AD141" s="33">
        <f t="shared" si="70"/>
        <v>969.01</v>
      </c>
      <c r="AE141" s="27"/>
    </row>
    <row r="142" spans="1:31" s="1" customFormat="1" ht="138.75" customHeight="1" x14ac:dyDescent="0.25">
      <c r="A142" s="100" t="s">
        <v>71</v>
      </c>
      <c r="B142" s="88" t="s">
        <v>326</v>
      </c>
      <c r="C142" s="100" t="s">
        <v>92</v>
      </c>
      <c r="D142" s="98" t="s">
        <v>237</v>
      </c>
      <c r="E142" s="23"/>
      <c r="F142" s="32"/>
      <c r="G142" s="23"/>
      <c r="H142" s="23"/>
      <c r="I142" s="23"/>
      <c r="J142" s="23"/>
      <c r="K142" s="23"/>
      <c r="L142" s="33"/>
      <c r="M142" s="33"/>
      <c r="N142" s="33"/>
      <c r="O142" s="23"/>
      <c r="P142" s="33"/>
      <c r="Q142" s="33"/>
      <c r="R142" s="33"/>
      <c r="S142" s="33"/>
      <c r="T142" s="23"/>
      <c r="U142" s="33"/>
      <c r="V142" s="33"/>
      <c r="W142" s="33"/>
      <c r="X142" s="33"/>
      <c r="Y142" s="23"/>
      <c r="Z142" s="33"/>
      <c r="AA142" s="33"/>
      <c r="AB142" s="33"/>
      <c r="AC142" s="33"/>
      <c r="AD142" s="33">
        <f t="shared" si="70"/>
        <v>0</v>
      </c>
      <c r="AE142" s="27"/>
    </row>
    <row r="143" spans="1:31" s="1" customFormat="1" ht="22.15" customHeight="1" x14ac:dyDescent="0.25">
      <c r="A143" s="101"/>
      <c r="B143" s="88" t="s">
        <v>86</v>
      </c>
      <c r="C143" s="101"/>
      <c r="D143" s="99"/>
      <c r="E143" s="23">
        <f>SUM(F143:I143)</f>
        <v>0</v>
      </c>
      <c r="F143" s="23">
        <v>0</v>
      </c>
      <c r="G143" s="23">
        <v>0</v>
      </c>
      <c r="H143" s="23">
        <v>0</v>
      </c>
      <c r="I143" s="23">
        <v>0</v>
      </c>
      <c r="J143" s="23">
        <f t="shared" si="66"/>
        <v>0</v>
      </c>
      <c r="K143" s="33">
        <v>0</v>
      </c>
      <c r="L143" s="33">
        <v>0</v>
      </c>
      <c r="M143" s="33">
        <v>0</v>
      </c>
      <c r="N143" s="33">
        <v>0</v>
      </c>
      <c r="O143" s="23">
        <f t="shared" si="67"/>
        <v>0</v>
      </c>
      <c r="P143" s="33">
        <v>0</v>
      </c>
      <c r="Q143" s="33">
        <v>0</v>
      </c>
      <c r="R143" s="33">
        <v>0</v>
      </c>
      <c r="S143" s="33">
        <v>0</v>
      </c>
      <c r="T143" s="23">
        <f t="shared" si="68"/>
        <v>468</v>
      </c>
      <c r="U143" s="33">
        <f>351+117</f>
        <v>468</v>
      </c>
      <c r="V143" s="33">
        <v>0</v>
      </c>
      <c r="W143" s="33">
        <v>0</v>
      </c>
      <c r="X143" s="33">
        <v>0</v>
      </c>
      <c r="Y143" s="23">
        <f t="shared" si="69"/>
        <v>0</v>
      </c>
      <c r="Z143" s="33">
        <v>0</v>
      </c>
      <c r="AA143" s="33">
        <v>0</v>
      </c>
      <c r="AB143" s="33">
        <v>0</v>
      </c>
      <c r="AC143" s="33">
        <v>0</v>
      </c>
      <c r="AD143" s="33">
        <f t="shared" si="70"/>
        <v>468</v>
      </c>
      <c r="AE143" s="27"/>
    </row>
    <row r="144" spans="1:31" s="1" customFormat="1" ht="27.75" customHeight="1" x14ac:dyDescent="0.25">
      <c r="A144" s="102"/>
      <c r="B144" s="88" t="s">
        <v>91</v>
      </c>
      <c r="C144" s="102"/>
      <c r="D144" s="103"/>
      <c r="E144" s="23">
        <f>SUM(F144:I144)</f>
        <v>0</v>
      </c>
      <c r="F144" s="23">
        <v>0</v>
      </c>
      <c r="G144" s="23">
        <v>0</v>
      </c>
      <c r="H144" s="23">
        <v>0</v>
      </c>
      <c r="I144" s="23">
        <v>0</v>
      </c>
      <c r="J144" s="23">
        <f t="shared" si="66"/>
        <v>0</v>
      </c>
      <c r="K144" s="23">
        <v>0</v>
      </c>
      <c r="L144" s="33">
        <v>0</v>
      </c>
      <c r="M144" s="33">
        <v>0</v>
      </c>
      <c r="N144" s="33">
        <v>0</v>
      </c>
      <c r="O144" s="23">
        <f t="shared" si="67"/>
        <v>0</v>
      </c>
      <c r="P144" s="33">
        <v>0</v>
      </c>
      <c r="Q144" s="33">
        <v>0</v>
      </c>
      <c r="R144" s="33">
        <v>0</v>
      </c>
      <c r="S144" s="33">
        <v>0</v>
      </c>
      <c r="T144" s="23">
        <f t="shared" si="68"/>
        <v>1004.01</v>
      </c>
      <c r="U144" s="33">
        <f>399+355.01+250</f>
        <v>1004.01</v>
      </c>
      <c r="V144" s="33">
        <v>0</v>
      </c>
      <c r="W144" s="33">
        <v>0</v>
      </c>
      <c r="X144" s="33">
        <v>0</v>
      </c>
      <c r="Y144" s="73">
        <f t="shared" si="69"/>
        <v>3675</v>
      </c>
      <c r="Z144" s="74">
        <f>611+3772-708</f>
        <v>3675</v>
      </c>
      <c r="AA144" s="33">
        <v>0</v>
      </c>
      <c r="AB144" s="33">
        <v>0</v>
      </c>
      <c r="AC144" s="33">
        <v>0</v>
      </c>
      <c r="AD144" s="74">
        <f t="shared" si="70"/>
        <v>4679.01</v>
      </c>
      <c r="AE144" s="27"/>
    </row>
    <row r="145" spans="1:31" s="1" customFormat="1" ht="108" customHeight="1" x14ac:dyDescent="0.25">
      <c r="A145" s="84" t="s">
        <v>121</v>
      </c>
      <c r="B145" s="88" t="s">
        <v>276</v>
      </c>
      <c r="C145" s="84" t="s">
        <v>93</v>
      </c>
      <c r="D145" s="83">
        <v>2020.2021999999999</v>
      </c>
      <c r="E145" s="23">
        <f>SUM(F145:I145)</f>
        <v>0</v>
      </c>
      <c r="F145" s="23">
        <v>0</v>
      </c>
      <c r="G145" s="23">
        <v>0</v>
      </c>
      <c r="H145" s="23">
        <v>0</v>
      </c>
      <c r="I145" s="23">
        <v>0</v>
      </c>
      <c r="J145" s="23">
        <f t="shared" si="66"/>
        <v>959</v>
      </c>
      <c r="K145" s="23">
        <f>971-12</f>
        <v>959</v>
      </c>
      <c r="L145" s="33">
        <v>0</v>
      </c>
      <c r="M145" s="33">
        <v>0</v>
      </c>
      <c r="N145" s="33">
        <v>0</v>
      </c>
      <c r="O145" s="23">
        <f>SUM(P145:S145)</f>
        <v>0</v>
      </c>
      <c r="P145" s="33">
        <v>0</v>
      </c>
      <c r="Q145" s="33">
        <v>0</v>
      </c>
      <c r="R145" s="33">
        <v>0</v>
      </c>
      <c r="S145" s="33">
        <v>0</v>
      </c>
      <c r="T145" s="23">
        <f t="shared" si="68"/>
        <v>2258</v>
      </c>
      <c r="U145" s="33">
        <f>2550-292</f>
        <v>2258</v>
      </c>
      <c r="V145" s="33">
        <v>0</v>
      </c>
      <c r="W145" s="33">
        <v>0</v>
      </c>
      <c r="X145" s="33">
        <v>0</v>
      </c>
      <c r="Y145" s="23">
        <f t="shared" si="69"/>
        <v>0</v>
      </c>
      <c r="Z145" s="33">
        <v>0</v>
      </c>
      <c r="AA145" s="33">
        <v>0</v>
      </c>
      <c r="AB145" s="33">
        <v>0</v>
      </c>
      <c r="AC145" s="33">
        <v>0</v>
      </c>
      <c r="AD145" s="33">
        <f t="shared" si="70"/>
        <v>3217</v>
      </c>
      <c r="AE145" s="27"/>
    </row>
    <row r="146" spans="1:31" s="1" customFormat="1" ht="71.25" customHeight="1" x14ac:dyDescent="0.25">
      <c r="A146" s="100" t="s">
        <v>139</v>
      </c>
      <c r="B146" s="88" t="s">
        <v>140</v>
      </c>
      <c r="C146" s="100" t="s">
        <v>141</v>
      </c>
      <c r="D146" s="84">
        <v>2019</v>
      </c>
      <c r="E146" s="23">
        <f>SUM(F146:I146)</f>
        <v>0</v>
      </c>
      <c r="F146" s="23">
        <v>0</v>
      </c>
      <c r="G146" s="23">
        <v>0</v>
      </c>
      <c r="H146" s="23">
        <v>0</v>
      </c>
      <c r="I146" s="23">
        <v>0</v>
      </c>
      <c r="J146" s="23">
        <v>0</v>
      </c>
      <c r="K146" s="23">
        <v>0</v>
      </c>
      <c r="L146" s="33">
        <v>0</v>
      </c>
      <c r="M146" s="33">
        <v>0</v>
      </c>
      <c r="N146" s="33">
        <v>0</v>
      </c>
      <c r="O146" s="23">
        <v>0</v>
      </c>
      <c r="P146" s="33">
        <v>0</v>
      </c>
      <c r="Q146" s="33">
        <v>0</v>
      </c>
      <c r="R146" s="33">
        <v>0</v>
      </c>
      <c r="S146" s="33">
        <v>0</v>
      </c>
      <c r="T146" s="23">
        <f t="shared" si="68"/>
        <v>0</v>
      </c>
      <c r="U146" s="33">
        <v>0</v>
      </c>
      <c r="V146" s="33">
        <v>0</v>
      </c>
      <c r="W146" s="33">
        <v>0</v>
      </c>
      <c r="X146" s="33">
        <v>0</v>
      </c>
      <c r="Y146" s="23">
        <f t="shared" si="69"/>
        <v>0</v>
      </c>
      <c r="Z146" s="33">
        <v>0</v>
      </c>
      <c r="AA146" s="33">
        <v>0</v>
      </c>
      <c r="AB146" s="33">
        <v>0</v>
      </c>
      <c r="AC146" s="33">
        <v>0</v>
      </c>
      <c r="AD146" s="33">
        <f>SUM(E146,J146,O146,T146,Y146)</f>
        <v>0</v>
      </c>
      <c r="AE146" s="27"/>
    </row>
    <row r="147" spans="1:31" s="1" customFormat="1" ht="76.5" customHeight="1" x14ac:dyDescent="0.25">
      <c r="A147" s="105"/>
      <c r="B147" s="88" t="s">
        <v>301</v>
      </c>
      <c r="C147" s="105"/>
      <c r="D147" s="84">
        <v>2019</v>
      </c>
      <c r="E147" s="23">
        <f>SUM(F147:I147)</f>
        <v>10370.6</v>
      </c>
      <c r="F147" s="23">
        <v>0</v>
      </c>
      <c r="G147" s="23">
        <v>10370.6</v>
      </c>
      <c r="H147" s="23">
        <v>0</v>
      </c>
      <c r="I147" s="23">
        <v>0</v>
      </c>
      <c r="J147" s="23">
        <v>0</v>
      </c>
      <c r="K147" s="23">
        <v>0</v>
      </c>
      <c r="L147" s="33">
        <v>0</v>
      </c>
      <c r="M147" s="33">
        <v>0</v>
      </c>
      <c r="N147" s="33">
        <v>0</v>
      </c>
      <c r="O147" s="23">
        <v>0</v>
      </c>
      <c r="P147" s="33">
        <v>0</v>
      </c>
      <c r="Q147" s="33">
        <v>0</v>
      </c>
      <c r="R147" s="33">
        <v>0</v>
      </c>
      <c r="S147" s="33">
        <v>0</v>
      </c>
      <c r="T147" s="23">
        <v>0</v>
      </c>
      <c r="U147" s="33">
        <v>0</v>
      </c>
      <c r="V147" s="33">
        <v>0</v>
      </c>
      <c r="W147" s="33">
        <v>0</v>
      </c>
      <c r="X147" s="33">
        <v>0</v>
      </c>
      <c r="Y147" s="23">
        <f t="shared" si="69"/>
        <v>0</v>
      </c>
      <c r="Z147" s="33">
        <v>0</v>
      </c>
      <c r="AA147" s="33">
        <v>0</v>
      </c>
      <c r="AB147" s="33">
        <v>0</v>
      </c>
      <c r="AC147" s="33">
        <v>0</v>
      </c>
      <c r="AD147" s="33">
        <f>SUM(E147,J147,O147,T147,Y147)</f>
        <v>10370.6</v>
      </c>
      <c r="AE147" s="27"/>
    </row>
    <row r="148" spans="1:31" s="1" customFormat="1" ht="49.5" customHeight="1" x14ac:dyDescent="0.25">
      <c r="A148" s="84" t="s">
        <v>235</v>
      </c>
      <c r="B148" s="88" t="s">
        <v>236</v>
      </c>
      <c r="C148" s="84" t="s">
        <v>142</v>
      </c>
      <c r="D148" s="83">
        <v>2022</v>
      </c>
      <c r="E148" s="23">
        <v>0</v>
      </c>
      <c r="F148" s="23">
        <v>0</v>
      </c>
      <c r="G148" s="23">
        <v>0</v>
      </c>
      <c r="H148" s="23">
        <v>0</v>
      </c>
      <c r="I148" s="23">
        <v>0</v>
      </c>
      <c r="J148" s="23">
        <v>0</v>
      </c>
      <c r="K148" s="23">
        <v>0</v>
      </c>
      <c r="L148" s="33">
        <v>0</v>
      </c>
      <c r="M148" s="33">
        <v>0</v>
      </c>
      <c r="N148" s="33">
        <v>0</v>
      </c>
      <c r="O148" s="23">
        <v>0</v>
      </c>
      <c r="P148" s="33">
        <v>0</v>
      </c>
      <c r="Q148" s="33">
        <v>0</v>
      </c>
      <c r="R148" s="33">
        <v>0</v>
      </c>
      <c r="S148" s="33">
        <v>0</v>
      </c>
      <c r="T148" s="23">
        <f t="shared" si="68"/>
        <v>3645</v>
      </c>
      <c r="U148" s="33">
        <v>3645</v>
      </c>
      <c r="V148" s="33">
        <v>0</v>
      </c>
      <c r="W148" s="33">
        <v>0</v>
      </c>
      <c r="X148" s="33">
        <v>0</v>
      </c>
      <c r="Y148" s="23">
        <f t="shared" si="69"/>
        <v>0</v>
      </c>
      <c r="Z148" s="33">
        <v>0</v>
      </c>
      <c r="AA148" s="33">
        <v>0</v>
      </c>
      <c r="AB148" s="33">
        <v>0</v>
      </c>
      <c r="AC148" s="33">
        <v>0</v>
      </c>
      <c r="AD148" s="33">
        <f>SUM(E148,J148,O148,T148,Y148)</f>
        <v>3645</v>
      </c>
      <c r="AE148" s="27"/>
    </row>
    <row r="149" spans="1:31" s="1" customFormat="1" ht="62.25" customHeight="1" x14ac:dyDescent="0.25">
      <c r="A149" s="76" t="s">
        <v>246</v>
      </c>
      <c r="B149" s="88" t="s">
        <v>248</v>
      </c>
      <c r="C149" s="76" t="s">
        <v>247</v>
      </c>
      <c r="D149" s="75">
        <v>2022.2022999999999</v>
      </c>
      <c r="E149" s="23">
        <v>0</v>
      </c>
      <c r="F149" s="23">
        <v>0</v>
      </c>
      <c r="G149" s="23">
        <v>0</v>
      </c>
      <c r="H149" s="23">
        <v>0</v>
      </c>
      <c r="I149" s="23">
        <v>0</v>
      </c>
      <c r="J149" s="23">
        <v>0</v>
      </c>
      <c r="K149" s="23">
        <v>0</v>
      </c>
      <c r="L149" s="23">
        <v>0</v>
      </c>
      <c r="M149" s="23">
        <v>0</v>
      </c>
      <c r="N149" s="23">
        <v>0</v>
      </c>
      <c r="O149" s="23">
        <v>0</v>
      </c>
      <c r="P149" s="23">
        <v>0</v>
      </c>
      <c r="Q149" s="23">
        <v>0</v>
      </c>
      <c r="R149" s="23">
        <v>0</v>
      </c>
      <c r="S149" s="23">
        <v>0</v>
      </c>
      <c r="T149" s="23">
        <f t="shared" si="68"/>
        <v>14924</v>
      </c>
      <c r="U149" s="23">
        <f xml:space="preserve"> 15000-38-38</f>
        <v>14924</v>
      </c>
      <c r="V149" s="23">
        <v>0</v>
      </c>
      <c r="W149" s="23">
        <v>0</v>
      </c>
      <c r="X149" s="23">
        <v>0</v>
      </c>
      <c r="Y149" s="73">
        <f t="shared" si="69"/>
        <v>40470</v>
      </c>
      <c r="Z149" s="73">
        <f>24653+15880-63</f>
        <v>40470</v>
      </c>
      <c r="AA149" s="23">
        <v>0</v>
      </c>
      <c r="AB149" s="23">
        <v>0</v>
      </c>
      <c r="AC149" s="23">
        <v>0</v>
      </c>
      <c r="AD149" s="74">
        <f>SUM(T149,Y149)</f>
        <v>55394</v>
      </c>
      <c r="AE149" s="27"/>
    </row>
    <row r="150" spans="1:31" s="3" customFormat="1" ht="33" customHeight="1" x14ac:dyDescent="0.25">
      <c r="A150" s="49"/>
      <c r="B150" s="85" t="s">
        <v>135</v>
      </c>
      <c r="C150" s="85"/>
      <c r="D150" s="49"/>
      <c r="E150" s="32">
        <f>F150+G150</f>
        <v>105554.8</v>
      </c>
      <c r="F150" s="32">
        <f>SUM(F104:F145)-F106</f>
        <v>8491.2999999999993</v>
      </c>
      <c r="G150" s="32">
        <f>SUM(G104:G145)-G108</f>
        <v>97063.5</v>
      </c>
      <c r="H150" s="32">
        <f>SUM(H104:H145)-H107</f>
        <v>0</v>
      </c>
      <c r="I150" s="32">
        <f>SUM(I104:I145)-I107</f>
        <v>0</v>
      </c>
      <c r="J150" s="32">
        <f>SUM(J104:J145)</f>
        <v>6795</v>
      </c>
      <c r="K150" s="32">
        <f>SUM(K104:K149)</f>
        <v>6795</v>
      </c>
      <c r="L150" s="32">
        <f>SUM(L104:L149)</f>
        <v>0</v>
      </c>
      <c r="M150" s="32">
        <f>SUM(M104:M149)</f>
        <v>0</v>
      </c>
      <c r="N150" s="32">
        <f>SUM(N104:N149)</f>
        <v>0</v>
      </c>
      <c r="O150" s="32">
        <f>SUM(O104:O145)</f>
        <v>3187.7000000000007</v>
      </c>
      <c r="P150" s="32">
        <f>SUM(P104:P149)</f>
        <v>3187.7000000000007</v>
      </c>
      <c r="Q150" s="32">
        <f>SUM(Q104:Q149)</f>
        <v>0</v>
      </c>
      <c r="R150" s="32">
        <f>SUM(R104:R149)</f>
        <v>0</v>
      </c>
      <c r="S150" s="32">
        <f>SUM(S104:S147)</f>
        <v>0</v>
      </c>
      <c r="T150" s="32">
        <f t="shared" ref="T150:AC150" si="73">SUM(T104:T149)</f>
        <v>36285.340000000004</v>
      </c>
      <c r="U150" s="32">
        <f t="shared" si="73"/>
        <v>36285.340000000004</v>
      </c>
      <c r="V150" s="32">
        <f t="shared" si="73"/>
        <v>0</v>
      </c>
      <c r="W150" s="32">
        <f t="shared" si="73"/>
        <v>0</v>
      </c>
      <c r="X150" s="32">
        <f t="shared" si="73"/>
        <v>0</v>
      </c>
      <c r="Y150" s="32">
        <f t="shared" si="73"/>
        <v>80375</v>
      </c>
      <c r="Z150" s="32">
        <f t="shared" si="73"/>
        <v>80375</v>
      </c>
      <c r="AA150" s="32">
        <f t="shared" si="73"/>
        <v>0</v>
      </c>
      <c r="AB150" s="32">
        <f t="shared" si="73"/>
        <v>0</v>
      </c>
      <c r="AC150" s="32">
        <f t="shared" si="73"/>
        <v>0</v>
      </c>
      <c r="AD150" s="66">
        <f>SUM(Y150,T150,O150,J150,E150)</f>
        <v>232197.84</v>
      </c>
      <c r="AE150" s="37"/>
    </row>
    <row r="151" spans="1:31" s="5" customFormat="1" ht="30.75" customHeight="1" x14ac:dyDescent="0.25">
      <c r="A151" s="49"/>
      <c r="B151" s="85" t="s">
        <v>136</v>
      </c>
      <c r="C151" s="85"/>
      <c r="D151" s="83" t="s">
        <v>44</v>
      </c>
      <c r="E151" s="23">
        <f>SUM(E108,E147)</f>
        <v>12012.9</v>
      </c>
      <c r="F151" s="23">
        <f>SUM(F108,F146)</f>
        <v>0</v>
      </c>
      <c r="G151" s="23">
        <f>SUM(G108,G147)</f>
        <v>12012.9</v>
      </c>
      <c r="H151" s="23">
        <f t="shared" ref="H151:AC151" si="74">SUM(H107,H146)</f>
        <v>0</v>
      </c>
      <c r="I151" s="23">
        <f t="shared" si="74"/>
        <v>0</v>
      </c>
      <c r="J151" s="23">
        <f t="shared" si="74"/>
        <v>0</v>
      </c>
      <c r="K151" s="23">
        <f t="shared" si="74"/>
        <v>0</v>
      </c>
      <c r="L151" s="23">
        <f t="shared" si="74"/>
        <v>0</v>
      </c>
      <c r="M151" s="23">
        <f t="shared" si="74"/>
        <v>0</v>
      </c>
      <c r="N151" s="23">
        <f t="shared" si="74"/>
        <v>0</v>
      </c>
      <c r="O151" s="23">
        <f t="shared" si="74"/>
        <v>0</v>
      </c>
      <c r="P151" s="23">
        <f t="shared" si="74"/>
        <v>0</v>
      </c>
      <c r="Q151" s="23">
        <f t="shared" si="74"/>
        <v>0</v>
      </c>
      <c r="R151" s="23">
        <f t="shared" si="74"/>
        <v>0</v>
      </c>
      <c r="S151" s="23">
        <f t="shared" si="74"/>
        <v>0</v>
      </c>
      <c r="T151" s="23">
        <f t="shared" si="74"/>
        <v>0</v>
      </c>
      <c r="U151" s="23">
        <f t="shared" si="74"/>
        <v>0</v>
      </c>
      <c r="V151" s="23">
        <f t="shared" si="74"/>
        <v>0</v>
      </c>
      <c r="W151" s="23">
        <f t="shared" si="74"/>
        <v>0</v>
      </c>
      <c r="X151" s="23">
        <f t="shared" si="74"/>
        <v>0</v>
      </c>
      <c r="Y151" s="23">
        <f t="shared" si="74"/>
        <v>0</v>
      </c>
      <c r="Z151" s="23">
        <f t="shared" si="74"/>
        <v>0</v>
      </c>
      <c r="AA151" s="23">
        <f t="shared" si="74"/>
        <v>0</v>
      </c>
      <c r="AB151" s="23">
        <f t="shared" si="74"/>
        <v>0</v>
      </c>
      <c r="AC151" s="23">
        <f t="shared" si="74"/>
        <v>0</v>
      </c>
      <c r="AD151" s="23">
        <f>SUM(AD108,AD147)</f>
        <v>12012.9</v>
      </c>
      <c r="AE151" s="24"/>
    </row>
    <row r="152" spans="1:31" s="7" customFormat="1" ht="46.5" customHeight="1" x14ac:dyDescent="0.25">
      <c r="A152" s="49"/>
      <c r="B152" s="87" t="s">
        <v>206</v>
      </c>
      <c r="C152" s="85"/>
      <c r="D152" s="49"/>
      <c r="E152" s="32">
        <f t="shared" ref="E152:AD152" si="75">SUM(E150,E101,E81,E67,E33,E27)</f>
        <v>1144110.3</v>
      </c>
      <c r="F152" s="32">
        <f t="shared" si="75"/>
        <v>597336.29999999993</v>
      </c>
      <c r="G152" s="32">
        <f t="shared" si="75"/>
        <v>359671.6</v>
      </c>
      <c r="H152" s="32">
        <f t="shared" si="75"/>
        <v>19118.199999999997</v>
      </c>
      <c r="I152" s="32">
        <f t="shared" si="75"/>
        <v>167984.2</v>
      </c>
      <c r="J152" s="52">
        <f t="shared" si="75"/>
        <v>1173063.7</v>
      </c>
      <c r="K152" s="52">
        <f t="shared" si="75"/>
        <v>940289</v>
      </c>
      <c r="L152" s="32">
        <f t="shared" si="75"/>
        <v>77053</v>
      </c>
      <c r="M152" s="32">
        <f t="shared" si="75"/>
        <v>11434</v>
      </c>
      <c r="N152" s="32">
        <f t="shared" si="75"/>
        <v>144287.70000000001</v>
      </c>
      <c r="O152" s="32">
        <f t="shared" si="75"/>
        <v>1199906.17</v>
      </c>
      <c r="P152" s="32">
        <f t="shared" si="75"/>
        <v>983803.16999999993</v>
      </c>
      <c r="Q152" s="32">
        <f t="shared" si="75"/>
        <v>23943.45</v>
      </c>
      <c r="R152" s="32">
        <f t="shared" si="75"/>
        <v>18016.55</v>
      </c>
      <c r="S152" s="32">
        <f t="shared" si="75"/>
        <v>174143</v>
      </c>
      <c r="T152" s="32">
        <f t="shared" si="75"/>
        <v>1239146.9229199998</v>
      </c>
      <c r="U152" s="32">
        <f t="shared" si="75"/>
        <v>1025635.08</v>
      </c>
      <c r="V152" s="32">
        <f t="shared" si="75"/>
        <v>11404.03292</v>
      </c>
      <c r="W152" s="32">
        <f t="shared" si="75"/>
        <v>17247.43</v>
      </c>
      <c r="X152" s="32">
        <f t="shared" si="75"/>
        <v>184860.38</v>
      </c>
      <c r="Y152" s="95">
        <f t="shared" si="75"/>
        <v>1366431</v>
      </c>
      <c r="Z152" s="95">
        <f t="shared" si="75"/>
        <v>1123407</v>
      </c>
      <c r="AA152" s="95">
        <f t="shared" si="75"/>
        <v>22376</v>
      </c>
      <c r="AB152" s="95">
        <f t="shared" si="75"/>
        <v>63378</v>
      </c>
      <c r="AC152" s="95">
        <f t="shared" si="75"/>
        <v>157270</v>
      </c>
      <c r="AD152" s="95">
        <f t="shared" si="75"/>
        <v>6122658.0929199997</v>
      </c>
      <c r="AE152" s="37"/>
    </row>
    <row r="153" spans="1:31" s="3" customFormat="1" ht="34.9" customHeight="1" x14ac:dyDescent="0.25">
      <c r="A153" s="49"/>
      <c r="B153" s="34" t="s">
        <v>207</v>
      </c>
      <c r="C153" s="85"/>
      <c r="D153" s="49"/>
      <c r="E153" s="32">
        <f>E152-E42-E55-E57-E40</f>
        <v>1128421.3</v>
      </c>
      <c r="F153" s="32">
        <f>F152-F42-F55-F57-F40</f>
        <v>594900.6</v>
      </c>
      <c r="G153" s="32">
        <f>G152-G42-G55-G57-G41</f>
        <v>346418.3</v>
      </c>
      <c r="H153" s="32">
        <f t="shared" ref="H153:N153" si="76">H152-H42-H55-H56-H40</f>
        <v>19118.199999999997</v>
      </c>
      <c r="I153" s="32">
        <f t="shared" si="76"/>
        <v>167984.2</v>
      </c>
      <c r="J153" s="32">
        <f t="shared" si="76"/>
        <v>1156831.7</v>
      </c>
      <c r="K153" s="32">
        <f t="shared" si="76"/>
        <v>924057</v>
      </c>
      <c r="L153" s="32">
        <f t="shared" si="76"/>
        <v>77053</v>
      </c>
      <c r="M153" s="32">
        <f t="shared" si="76"/>
        <v>11434</v>
      </c>
      <c r="N153" s="32">
        <f t="shared" si="76"/>
        <v>144287.70000000001</v>
      </c>
      <c r="O153" s="32">
        <f>O152-O42-O55-O56</f>
        <v>1199906.17</v>
      </c>
      <c r="P153" s="32">
        <f>P152-P42-P55-P56</f>
        <v>983803.16999999993</v>
      </c>
      <c r="Q153" s="32">
        <f>Q152-Q42-Q55-Q56</f>
        <v>23943.45</v>
      </c>
      <c r="R153" s="32">
        <f>R152-R42-R55-R56</f>
        <v>18016.55</v>
      </c>
      <c r="S153" s="32">
        <f>S152-S42-S55-S56-S40</f>
        <v>174143</v>
      </c>
      <c r="T153" s="32">
        <f>T27+T33+T67+T81+T101+T150-T148</f>
        <v>1235501.92292</v>
      </c>
      <c r="U153" s="32">
        <f>U27+U33+U67+U81+U101+U150-U148</f>
        <v>1021990.08</v>
      </c>
      <c r="V153" s="32">
        <f t="shared" ref="V153:AC153" si="77">V152-V42-V55-V56-V40</f>
        <v>11404.03292</v>
      </c>
      <c r="W153" s="32">
        <f t="shared" si="77"/>
        <v>17247.43</v>
      </c>
      <c r="X153" s="32">
        <f t="shared" si="77"/>
        <v>184860.38</v>
      </c>
      <c r="Y153" s="95">
        <f t="shared" si="77"/>
        <v>1366431</v>
      </c>
      <c r="Z153" s="95">
        <f t="shared" si="77"/>
        <v>1123407</v>
      </c>
      <c r="AA153" s="95">
        <f t="shared" si="77"/>
        <v>22376</v>
      </c>
      <c r="AB153" s="95">
        <f t="shared" si="77"/>
        <v>63378</v>
      </c>
      <c r="AC153" s="95">
        <f t="shared" si="77"/>
        <v>157270</v>
      </c>
      <c r="AD153" s="95">
        <f>AD152-AD154-AD155</f>
        <v>6087092.0929199997</v>
      </c>
      <c r="AE153" s="57">
        <f>E153+J153+O153+T153+Y153</f>
        <v>6087092.0929199997</v>
      </c>
    </row>
    <row r="154" spans="1:31" s="3" customFormat="1" ht="34.9" customHeight="1" x14ac:dyDescent="0.25">
      <c r="A154" s="49"/>
      <c r="B154" s="34" t="s">
        <v>208</v>
      </c>
      <c r="C154" s="85"/>
      <c r="D154" s="49"/>
      <c r="E154" s="32">
        <f>E42+E55+E57</f>
        <v>15689</v>
      </c>
      <c r="F154" s="32">
        <f>F42+F55+F57</f>
        <v>2435.6999999999998</v>
      </c>
      <c r="G154" s="32">
        <f>G42+G55+G57</f>
        <v>13253.3</v>
      </c>
      <c r="H154" s="32">
        <f t="shared" ref="H154:S154" si="78">H42+H55+H56</f>
        <v>0</v>
      </c>
      <c r="I154" s="32">
        <f t="shared" si="78"/>
        <v>0</v>
      </c>
      <c r="J154" s="32">
        <f t="shared" si="78"/>
        <v>2685</v>
      </c>
      <c r="K154" s="32">
        <f t="shared" si="78"/>
        <v>2685</v>
      </c>
      <c r="L154" s="32">
        <f t="shared" si="78"/>
        <v>0</v>
      </c>
      <c r="M154" s="32">
        <f t="shared" si="78"/>
        <v>0</v>
      </c>
      <c r="N154" s="32">
        <f t="shared" si="78"/>
        <v>0</v>
      </c>
      <c r="O154" s="32">
        <f t="shared" si="78"/>
        <v>0</v>
      </c>
      <c r="P154" s="32">
        <f t="shared" si="78"/>
        <v>0</v>
      </c>
      <c r="Q154" s="32">
        <f t="shared" si="78"/>
        <v>0</v>
      </c>
      <c r="R154" s="32">
        <f t="shared" si="78"/>
        <v>0</v>
      </c>
      <c r="S154" s="32">
        <f t="shared" si="78"/>
        <v>0</v>
      </c>
      <c r="T154" s="32">
        <f>U154+V154+V154+W154</f>
        <v>3645</v>
      </c>
      <c r="U154" s="32">
        <f>U148</f>
        <v>3645</v>
      </c>
      <c r="V154" s="32">
        <f t="shared" ref="V154:AC154" si="79">V42+V55+V56</f>
        <v>0</v>
      </c>
      <c r="W154" s="32">
        <f t="shared" si="79"/>
        <v>0</v>
      </c>
      <c r="X154" s="32">
        <f t="shared" si="79"/>
        <v>0</v>
      </c>
      <c r="Y154" s="32">
        <f t="shared" si="79"/>
        <v>0</v>
      </c>
      <c r="Z154" s="32">
        <f t="shared" si="79"/>
        <v>0</v>
      </c>
      <c r="AA154" s="32">
        <f t="shared" si="79"/>
        <v>0</v>
      </c>
      <c r="AB154" s="32">
        <f t="shared" si="79"/>
        <v>0</v>
      </c>
      <c r="AC154" s="32">
        <f t="shared" si="79"/>
        <v>0</v>
      </c>
      <c r="AD154" s="32">
        <f>AD42+AD55+AD56+AD57+AD148-T56</f>
        <v>22019</v>
      </c>
      <c r="AE154" s="57">
        <f>E154+J154+O154+T154+Y154</f>
        <v>22019</v>
      </c>
    </row>
    <row r="155" spans="1:31" s="3" customFormat="1" ht="34.9" customHeight="1" x14ac:dyDescent="0.25">
      <c r="A155" s="49"/>
      <c r="B155" s="34" t="s">
        <v>209</v>
      </c>
      <c r="C155" s="85"/>
      <c r="D155" s="49"/>
      <c r="E155" s="32">
        <f t="shared" ref="E155:N155" si="80">E40</f>
        <v>0</v>
      </c>
      <c r="F155" s="32">
        <f t="shared" si="80"/>
        <v>0</v>
      </c>
      <c r="G155" s="32">
        <f t="shared" si="80"/>
        <v>0</v>
      </c>
      <c r="H155" s="32">
        <f t="shared" si="80"/>
        <v>0</v>
      </c>
      <c r="I155" s="32">
        <f t="shared" si="80"/>
        <v>0</v>
      </c>
      <c r="J155" s="32">
        <f t="shared" si="80"/>
        <v>13547</v>
      </c>
      <c r="K155" s="32">
        <f t="shared" si="80"/>
        <v>13547</v>
      </c>
      <c r="L155" s="32">
        <f t="shared" si="80"/>
        <v>0</v>
      </c>
      <c r="M155" s="32">
        <f t="shared" si="80"/>
        <v>0</v>
      </c>
      <c r="N155" s="32">
        <f t="shared" si="80"/>
        <v>0</v>
      </c>
      <c r="O155" s="32">
        <f>O40-O40</f>
        <v>0</v>
      </c>
      <c r="P155" s="32">
        <f>P40-P40</f>
        <v>0</v>
      </c>
      <c r="Q155" s="32">
        <f t="shared" ref="Q155:AC155" si="81">Q40</f>
        <v>0</v>
      </c>
      <c r="R155" s="32">
        <f t="shared" si="81"/>
        <v>0</v>
      </c>
      <c r="S155" s="32">
        <f t="shared" si="81"/>
        <v>0</v>
      </c>
      <c r="T155" s="32">
        <f t="shared" si="81"/>
        <v>0</v>
      </c>
      <c r="U155" s="32">
        <f t="shared" si="81"/>
        <v>0</v>
      </c>
      <c r="V155" s="32">
        <f t="shared" si="81"/>
        <v>0</v>
      </c>
      <c r="W155" s="32">
        <f t="shared" si="81"/>
        <v>0</v>
      </c>
      <c r="X155" s="32">
        <f t="shared" si="81"/>
        <v>0</v>
      </c>
      <c r="Y155" s="32">
        <f t="shared" si="81"/>
        <v>0</v>
      </c>
      <c r="Z155" s="32">
        <f t="shared" si="81"/>
        <v>0</v>
      </c>
      <c r="AA155" s="32">
        <f t="shared" si="81"/>
        <v>0</v>
      </c>
      <c r="AB155" s="32">
        <f t="shared" si="81"/>
        <v>0</v>
      </c>
      <c r="AC155" s="32">
        <f t="shared" si="81"/>
        <v>0</v>
      </c>
      <c r="AD155" s="32">
        <f>AD40+ AD41-O159</f>
        <v>13547</v>
      </c>
      <c r="AE155" s="57">
        <f>E155+J155+O155+T155+Y155</f>
        <v>13547</v>
      </c>
    </row>
    <row r="156" spans="1:31" s="1" customFormat="1" ht="32.450000000000003" customHeight="1" x14ac:dyDescent="0.25">
      <c r="A156" s="58"/>
      <c r="B156" s="34" t="s">
        <v>137</v>
      </c>
      <c r="C156" s="58"/>
      <c r="D156" s="58"/>
      <c r="E156" s="51">
        <f>SUM(E108,E147)</f>
        <v>12012.9</v>
      </c>
      <c r="F156" s="51">
        <f>SUM(F108,F147)</f>
        <v>0</v>
      </c>
      <c r="G156" s="51">
        <f>SUM(G108,G147)</f>
        <v>12012.9</v>
      </c>
      <c r="H156" s="51">
        <f t="shared" ref="H156:N156" si="82">SUM(H107,H146)</f>
        <v>0</v>
      </c>
      <c r="I156" s="51">
        <f t="shared" si="82"/>
        <v>0</v>
      </c>
      <c r="J156" s="59">
        <f t="shared" si="82"/>
        <v>0</v>
      </c>
      <c r="K156" s="59">
        <f t="shared" si="82"/>
        <v>0</v>
      </c>
      <c r="L156" s="51">
        <f t="shared" si="82"/>
        <v>0</v>
      </c>
      <c r="M156" s="51">
        <f t="shared" si="82"/>
        <v>0</v>
      </c>
      <c r="N156" s="51">
        <f t="shared" si="82"/>
        <v>0</v>
      </c>
      <c r="O156" s="51">
        <f>O41+O61</f>
        <v>13947</v>
      </c>
      <c r="P156" s="51">
        <f>P41+P61</f>
        <v>898</v>
      </c>
      <c r="Q156" s="51">
        <f>Q41+Q61</f>
        <v>13049</v>
      </c>
      <c r="R156" s="51">
        <f>R40+R60</f>
        <v>0</v>
      </c>
      <c r="S156" s="51">
        <f>S40+S60</f>
        <v>0</v>
      </c>
      <c r="T156" s="51">
        <f>SUM(T157:T159)</f>
        <v>12272.19</v>
      </c>
      <c r="U156" s="51">
        <f>U157+U158+U159</f>
        <v>12272.19</v>
      </c>
      <c r="V156" s="51">
        <f t="shared" ref="V156:AC156" si="83">SUM(V107,V146)</f>
        <v>0</v>
      </c>
      <c r="W156" s="51">
        <f t="shared" si="83"/>
        <v>0</v>
      </c>
      <c r="X156" s="51">
        <f t="shared" si="83"/>
        <v>0</v>
      </c>
      <c r="Y156" s="51">
        <f t="shared" si="83"/>
        <v>0</v>
      </c>
      <c r="Z156" s="51">
        <f t="shared" si="83"/>
        <v>0</v>
      </c>
      <c r="AA156" s="51">
        <f t="shared" si="83"/>
        <v>0</v>
      </c>
      <c r="AB156" s="51">
        <f t="shared" si="83"/>
        <v>0</v>
      </c>
      <c r="AC156" s="51">
        <f t="shared" si="83"/>
        <v>0</v>
      </c>
      <c r="AD156" s="33">
        <f>SUM(Y156,T156,O156,J156,E156)</f>
        <v>38232.090000000004</v>
      </c>
      <c r="AE156" s="27"/>
    </row>
    <row r="157" spans="1:31" s="4" customFormat="1" ht="32.450000000000003" customHeight="1" x14ac:dyDescent="0.25">
      <c r="A157" s="58"/>
      <c r="B157" s="34" t="s">
        <v>207</v>
      </c>
      <c r="C157" s="58"/>
      <c r="D157" s="58"/>
      <c r="E157" s="51">
        <f>F157+G157+H157+I157</f>
        <v>0</v>
      </c>
      <c r="F157" s="51">
        <v>0</v>
      </c>
      <c r="G157" s="51">
        <v>0</v>
      </c>
      <c r="H157" s="51">
        <v>0</v>
      </c>
      <c r="I157" s="51">
        <v>0</v>
      </c>
      <c r="J157" s="59">
        <v>0</v>
      </c>
      <c r="K157" s="59">
        <v>0</v>
      </c>
      <c r="L157" s="51">
        <v>0</v>
      </c>
      <c r="M157" s="51">
        <v>0</v>
      </c>
      <c r="N157" s="51">
        <v>0</v>
      </c>
      <c r="O157" s="51">
        <f>P157+Q157+R157+S157</f>
        <v>13736</v>
      </c>
      <c r="P157" s="51">
        <v>687</v>
      </c>
      <c r="Q157" s="51">
        <v>13049</v>
      </c>
      <c r="R157" s="51">
        <v>0</v>
      </c>
      <c r="S157" s="51">
        <v>0</v>
      </c>
      <c r="T157" s="51">
        <v>0</v>
      </c>
      <c r="U157" s="51">
        <v>0</v>
      </c>
      <c r="V157" s="51">
        <v>0</v>
      </c>
      <c r="W157" s="51">
        <v>0</v>
      </c>
      <c r="X157" s="51">
        <v>0</v>
      </c>
      <c r="Y157" s="51">
        <v>0</v>
      </c>
      <c r="Z157" s="51">
        <v>0</v>
      </c>
      <c r="AA157" s="51">
        <v>0</v>
      </c>
      <c r="AB157" s="51">
        <v>0</v>
      </c>
      <c r="AC157" s="51">
        <v>0</v>
      </c>
      <c r="AD157" s="33">
        <f>SUM(Y157,T157,O157,J157,E157)</f>
        <v>13736</v>
      </c>
      <c r="AE157" s="25"/>
    </row>
    <row r="158" spans="1:31" s="4" customFormat="1" ht="32.450000000000003" customHeight="1" x14ac:dyDescent="0.25">
      <c r="A158" s="58"/>
      <c r="B158" s="34" t="s">
        <v>208</v>
      </c>
      <c r="C158" s="51"/>
      <c r="D158" s="58"/>
      <c r="E158" s="51">
        <f t="shared" ref="E158:E159" si="84">F158+G158+H158+I158</f>
        <v>12012.9</v>
      </c>
      <c r="F158" s="51">
        <v>0</v>
      </c>
      <c r="G158" s="51">
        <v>12012.9</v>
      </c>
      <c r="H158" s="51">
        <v>0</v>
      </c>
      <c r="I158" s="51">
        <v>0</v>
      </c>
      <c r="J158" s="59">
        <v>0</v>
      </c>
      <c r="K158" s="59">
        <v>0</v>
      </c>
      <c r="L158" s="51">
        <v>0</v>
      </c>
      <c r="M158" s="51">
        <v>0</v>
      </c>
      <c r="N158" s="51">
        <v>0</v>
      </c>
      <c r="O158" s="51">
        <f t="shared" ref="O158:O159" si="85">P158+Q158+R158+S158</f>
        <v>0</v>
      </c>
      <c r="P158" s="51">
        <v>0</v>
      </c>
      <c r="Q158" s="51">
        <v>0</v>
      </c>
      <c r="R158" s="51">
        <v>0</v>
      </c>
      <c r="S158" s="51">
        <v>0</v>
      </c>
      <c r="T158" s="51">
        <f>U158+V158+W158</f>
        <v>12272.19</v>
      </c>
      <c r="U158" s="51">
        <f>U58</f>
        <v>12272.19</v>
      </c>
      <c r="V158" s="51">
        <v>0</v>
      </c>
      <c r="W158" s="51">
        <v>0</v>
      </c>
      <c r="X158" s="51">
        <v>0</v>
      </c>
      <c r="Y158" s="51">
        <v>0</v>
      </c>
      <c r="Z158" s="51">
        <v>0</v>
      </c>
      <c r="AA158" s="51">
        <v>0</v>
      </c>
      <c r="AB158" s="51">
        <v>0</v>
      </c>
      <c r="AC158" s="51">
        <v>0</v>
      </c>
      <c r="AD158" s="33">
        <f t="shared" ref="AD158:AD159" si="86">SUM(Y158,T158,O158,J158,E158)</f>
        <v>24285.09</v>
      </c>
      <c r="AE158" s="25"/>
    </row>
    <row r="159" spans="1:31" s="4" customFormat="1" ht="32.450000000000003" customHeight="1" x14ac:dyDescent="0.25">
      <c r="A159" s="58"/>
      <c r="B159" s="34" t="s">
        <v>209</v>
      </c>
      <c r="C159" s="58"/>
      <c r="D159" s="58"/>
      <c r="E159" s="51">
        <f t="shared" si="84"/>
        <v>0</v>
      </c>
      <c r="F159" s="51">
        <v>0</v>
      </c>
      <c r="G159" s="51">
        <v>0</v>
      </c>
      <c r="H159" s="51">
        <v>0</v>
      </c>
      <c r="I159" s="51">
        <v>0</v>
      </c>
      <c r="J159" s="59">
        <v>0</v>
      </c>
      <c r="K159" s="59">
        <v>0</v>
      </c>
      <c r="L159" s="51">
        <v>0</v>
      </c>
      <c r="M159" s="51">
        <v>0</v>
      </c>
      <c r="N159" s="51">
        <v>0</v>
      </c>
      <c r="O159" s="51">
        <f t="shared" si="85"/>
        <v>211</v>
      </c>
      <c r="P159" s="51">
        <v>211</v>
      </c>
      <c r="Q159" s="51">
        <v>0</v>
      </c>
      <c r="R159" s="51">
        <v>0</v>
      </c>
      <c r="S159" s="51">
        <v>0</v>
      </c>
      <c r="T159" s="51">
        <v>0</v>
      </c>
      <c r="U159" s="51">
        <v>0</v>
      </c>
      <c r="V159" s="51">
        <v>0</v>
      </c>
      <c r="W159" s="51">
        <v>0</v>
      </c>
      <c r="X159" s="51">
        <v>0</v>
      </c>
      <c r="Y159" s="51">
        <v>0</v>
      </c>
      <c r="Z159" s="51">
        <v>0</v>
      </c>
      <c r="AA159" s="51">
        <v>0</v>
      </c>
      <c r="AB159" s="51">
        <v>0</v>
      </c>
      <c r="AC159" s="51">
        <v>0</v>
      </c>
      <c r="AD159" s="33">
        <f t="shared" si="86"/>
        <v>211</v>
      </c>
      <c r="AE159" s="25"/>
    </row>
    <row r="160" spans="1:31" ht="54.75" customHeight="1" x14ac:dyDescent="0.25">
      <c r="A160" s="58"/>
      <c r="B160" s="87" t="s">
        <v>138</v>
      </c>
      <c r="C160" s="51"/>
      <c r="D160" s="58"/>
      <c r="E160" s="60">
        <f t="shared" ref="E160:AC160" si="87">E152+E156</f>
        <v>1156123.2</v>
      </c>
      <c r="F160" s="60">
        <f t="shared" si="87"/>
        <v>597336.29999999993</v>
      </c>
      <c r="G160" s="60">
        <f t="shared" si="87"/>
        <v>371684.5</v>
      </c>
      <c r="H160" s="60">
        <f t="shared" si="87"/>
        <v>19118.199999999997</v>
      </c>
      <c r="I160" s="60">
        <f t="shared" si="87"/>
        <v>167984.2</v>
      </c>
      <c r="J160" s="60">
        <f t="shared" si="87"/>
        <v>1173063.7</v>
      </c>
      <c r="K160" s="60">
        <f t="shared" si="87"/>
        <v>940289</v>
      </c>
      <c r="L160" s="60">
        <f t="shared" si="87"/>
        <v>77053</v>
      </c>
      <c r="M160" s="60">
        <f t="shared" si="87"/>
        <v>11434</v>
      </c>
      <c r="N160" s="60">
        <f t="shared" si="87"/>
        <v>144287.70000000001</v>
      </c>
      <c r="O160" s="60">
        <f t="shared" si="87"/>
        <v>1213853.17</v>
      </c>
      <c r="P160" s="60">
        <f t="shared" si="87"/>
        <v>984701.16999999993</v>
      </c>
      <c r="Q160" s="60">
        <f t="shared" si="87"/>
        <v>36992.449999999997</v>
      </c>
      <c r="R160" s="60">
        <f t="shared" si="87"/>
        <v>18016.55</v>
      </c>
      <c r="S160" s="60">
        <f t="shared" si="87"/>
        <v>174143</v>
      </c>
      <c r="T160" s="60">
        <f t="shared" si="87"/>
        <v>1251419.1129199998</v>
      </c>
      <c r="U160" s="60">
        <f>U152+U156</f>
        <v>1037907.2699999999</v>
      </c>
      <c r="V160" s="60">
        <f>V152+V156</f>
        <v>11404.03292</v>
      </c>
      <c r="W160" s="60">
        <f t="shared" si="87"/>
        <v>17247.43</v>
      </c>
      <c r="X160" s="60">
        <f t="shared" si="87"/>
        <v>184860.38</v>
      </c>
      <c r="Y160" s="94">
        <f>Y152+Y156</f>
        <v>1366431</v>
      </c>
      <c r="Z160" s="94">
        <f t="shared" si="87"/>
        <v>1123407</v>
      </c>
      <c r="AA160" s="60">
        <f t="shared" si="87"/>
        <v>22376</v>
      </c>
      <c r="AB160" s="60">
        <f t="shared" si="87"/>
        <v>63378</v>
      </c>
      <c r="AC160" s="60">
        <f t="shared" si="87"/>
        <v>157270</v>
      </c>
      <c r="AD160" s="94">
        <f>AD161+AD162+AD163</f>
        <v>6160890.1829199996</v>
      </c>
    </row>
    <row r="161" spans="1:31" ht="36" customHeight="1" x14ac:dyDescent="0.25">
      <c r="A161" s="58"/>
      <c r="B161" s="34" t="s">
        <v>207</v>
      </c>
      <c r="C161" s="58"/>
      <c r="D161" s="58"/>
      <c r="E161" s="51">
        <f>E153+E157</f>
        <v>1128421.3</v>
      </c>
      <c r="F161" s="51">
        <f t="shared" ref="F161:AC161" si="88">F153+F157</f>
        <v>594900.6</v>
      </c>
      <c r="G161" s="51">
        <f t="shared" si="88"/>
        <v>346418.3</v>
      </c>
      <c r="H161" s="51">
        <f t="shared" si="88"/>
        <v>19118.199999999997</v>
      </c>
      <c r="I161" s="51">
        <f t="shared" si="88"/>
        <v>167984.2</v>
      </c>
      <c r="J161" s="51">
        <f t="shared" si="88"/>
        <v>1156831.7</v>
      </c>
      <c r="K161" s="51">
        <f t="shared" si="88"/>
        <v>924057</v>
      </c>
      <c r="L161" s="51">
        <f t="shared" si="88"/>
        <v>77053</v>
      </c>
      <c r="M161" s="51">
        <f t="shared" si="88"/>
        <v>11434</v>
      </c>
      <c r="N161" s="51">
        <f t="shared" si="88"/>
        <v>144287.70000000001</v>
      </c>
      <c r="O161" s="51">
        <f t="shared" si="88"/>
        <v>1213642.17</v>
      </c>
      <c r="P161" s="51">
        <f t="shared" si="88"/>
        <v>984490.16999999993</v>
      </c>
      <c r="Q161" s="51">
        <f t="shared" si="88"/>
        <v>36992.449999999997</v>
      </c>
      <c r="R161" s="51">
        <f t="shared" si="88"/>
        <v>18016.55</v>
      </c>
      <c r="S161" s="51">
        <f t="shared" si="88"/>
        <v>174143</v>
      </c>
      <c r="T161" s="51">
        <f t="shared" si="88"/>
        <v>1235501.92292</v>
      </c>
      <c r="U161" s="51">
        <f>U153+U157</f>
        <v>1021990.08</v>
      </c>
      <c r="V161" s="51">
        <f t="shared" si="88"/>
        <v>11404.03292</v>
      </c>
      <c r="W161" s="51">
        <f t="shared" si="88"/>
        <v>17247.43</v>
      </c>
      <c r="X161" s="51">
        <f t="shared" si="88"/>
        <v>184860.38</v>
      </c>
      <c r="Y161" s="51">
        <f t="shared" si="88"/>
        <v>1366431</v>
      </c>
      <c r="Z161" s="51">
        <f t="shared" si="88"/>
        <v>1123407</v>
      </c>
      <c r="AA161" s="51">
        <f t="shared" si="88"/>
        <v>22376</v>
      </c>
      <c r="AB161" s="51">
        <f t="shared" si="88"/>
        <v>63378</v>
      </c>
      <c r="AC161" s="51">
        <f t="shared" si="88"/>
        <v>157270</v>
      </c>
      <c r="AD161" s="51">
        <f>AD153+AD157</f>
        <v>6100828.0929199997</v>
      </c>
      <c r="AE161" s="61">
        <f>E161+J161+O161+T161+Y161</f>
        <v>6100828.0929199997</v>
      </c>
    </row>
    <row r="162" spans="1:31" ht="37.5" customHeight="1" x14ac:dyDescent="0.25">
      <c r="A162" s="31"/>
      <c r="B162" s="34" t="s">
        <v>208</v>
      </c>
      <c r="C162" s="31"/>
      <c r="D162" s="31"/>
      <c r="E162" s="51">
        <f>E154+E158</f>
        <v>27701.9</v>
      </c>
      <c r="F162" s="51">
        <f t="shared" ref="F162:AD162" si="89">F154+F158</f>
        <v>2435.6999999999998</v>
      </c>
      <c r="G162" s="51">
        <f t="shared" si="89"/>
        <v>25266.199999999997</v>
      </c>
      <c r="H162" s="51">
        <f t="shared" si="89"/>
        <v>0</v>
      </c>
      <c r="I162" s="51">
        <f t="shared" si="89"/>
        <v>0</v>
      </c>
      <c r="J162" s="51">
        <f t="shared" si="89"/>
        <v>2685</v>
      </c>
      <c r="K162" s="51">
        <f t="shared" si="89"/>
        <v>2685</v>
      </c>
      <c r="L162" s="51">
        <f t="shared" si="89"/>
        <v>0</v>
      </c>
      <c r="M162" s="51">
        <f t="shared" si="89"/>
        <v>0</v>
      </c>
      <c r="N162" s="51">
        <f t="shared" si="89"/>
        <v>0</v>
      </c>
      <c r="O162" s="51">
        <f t="shared" si="89"/>
        <v>0</v>
      </c>
      <c r="P162" s="51">
        <f t="shared" si="89"/>
        <v>0</v>
      </c>
      <c r="Q162" s="51">
        <f t="shared" si="89"/>
        <v>0</v>
      </c>
      <c r="R162" s="51">
        <f t="shared" si="89"/>
        <v>0</v>
      </c>
      <c r="S162" s="51">
        <f t="shared" si="89"/>
        <v>0</v>
      </c>
      <c r="T162" s="51">
        <f t="shared" si="89"/>
        <v>15917.19</v>
      </c>
      <c r="U162" s="51">
        <f t="shared" si="89"/>
        <v>15917.19</v>
      </c>
      <c r="V162" s="51">
        <f t="shared" si="89"/>
        <v>0</v>
      </c>
      <c r="W162" s="51">
        <f t="shared" si="89"/>
        <v>0</v>
      </c>
      <c r="X162" s="51">
        <f t="shared" si="89"/>
        <v>0</v>
      </c>
      <c r="Y162" s="51">
        <f t="shared" si="89"/>
        <v>0</v>
      </c>
      <c r="Z162" s="51">
        <f t="shared" si="89"/>
        <v>0</v>
      </c>
      <c r="AA162" s="51">
        <f t="shared" si="89"/>
        <v>0</v>
      </c>
      <c r="AB162" s="51">
        <f t="shared" si="89"/>
        <v>0</v>
      </c>
      <c r="AC162" s="51">
        <f t="shared" si="89"/>
        <v>0</v>
      </c>
      <c r="AD162" s="51">
        <f t="shared" si="89"/>
        <v>46304.09</v>
      </c>
      <c r="AE162" s="61">
        <f>E162+J162+O162+T162+Y162</f>
        <v>46304.090000000004</v>
      </c>
    </row>
    <row r="163" spans="1:31" ht="41.25" customHeight="1" x14ac:dyDescent="0.25">
      <c r="A163" s="31"/>
      <c r="B163" s="34" t="s">
        <v>209</v>
      </c>
      <c r="C163" s="31"/>
      <c r="D163" s="31"/>
      <c r="E163" s="51">
        <f>E155+E159</f>
        <v>0</v>
      </c>
      <c r="F163" s="51">
        <f t="shared" ref="F163:AC163" si="90">F155+F159</f>
        <v>0</v>
      </c>
      <c r="G163" s="51">
        <f t="shared" si="90"/>
        <v>0</v>
      </c>
      <c r="H163" s="51">
        <f t="shared" si="90"/>
        <v>0</v>
      </c>
      <c r="I163" s="51">
        <f t="shared" si="90"/>
        <v>0</v>
      </c>
      <c r="J163" s="51">
        <f t="shared" si="90"/>
        <v>13547</v>
      </c>
      <c r="K163" s="51">
        <f t="shared" si="90"/>
        <v>13547</v>
      </c>
      <c r="L163" s="51">
        <f t="shared" si="90"/>
        <v>0</v>
      </c>
      <c r="M163" s="51">
        <f t="shared" si="90"/>
        <v>0</v>
      </c>
      <c r="N163" s="51">
        <f t="shared" si="90"/>
        <v>0</v>
      </c>
      <c r="O163" s="51">
        <f t="shared" si="90"/>
        <v>211</v>
      </c>
      <c r="P163" s="51">
        <f t="shared" si="90"/>
        <v>211</v>
      </c>
      <c r="Q163" s="51">
        <f t="shared" si="90"/>
        <v>0</v>
      </c>
      <c r="R163" s="51">
        <f t="shared" si="90"/>
        <v>0</v>
      </c>
      <c r="S163" s="51">
        <f t="shared" si="90"/>
        <v>0</v>
      </c>
      <c r="T163" s="51">
        <f t="shared" si="90"/>
        <v>0</v>
      </c>
      <c r="U163" s="51">
        <f t="shared" si="90"/>
        <v>0</v>
      </c>
      <c r="V163" s="51">
        <f t="shared" si="90"/>
        <v>0</v>
      </c>
      <c r="W163" s="51">
        <f t="shared" si="90"/>
        <v>0</v>
      </c>
      <c r="X163" s="51">
        <f t="shared" si="90"/>
        <v>0</v>
      </c>
      <c r="Y163" s="51">
        <f t="shared" si="90"/>
        <v>0</v>
      </c>
      <c r="Z163" s="51">
        <f t="shared" si="90"/>
        <v>0</v>
      </c>
      <c r="AA163" s="51">
        <f t="shared" si="90"/>
        <v>0</v>
      </c>
      <c r="AB163" s="51">
        <f t="shared" si="90"/>
        <v>0</v>
      </c>
      <c r="AC163" s="51">
        <f t="shared" si="90"/>
        <v>0</v>
      </c>
      <c r="AD163" s="51">
        <f>AD155+AD159</f>
        <v>13758</v>
      </c>
      <c r="AE163" s="61">
        <f>E163+J163+O163+T163+Y163</f>
        <v>13758</v>
      </c>
    </row>
    <row r="164" spans="1:31" x14ac:dyDescent="0.25">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row>
    <row r="165" spans="1:31" x14ac:dyDescent="0.25">
      <c r="E165" s="62"/>
      <c r="F165" s="62"/>
      <c r="G165" s="62"/>
      <c r="H165" s="62"/>
      <c r="I165" s="62"/>
      <c r="J165" s="62"/>
      <c r="K165" s="62"/>
      <c r="L165" s="62"/>
      <c r="M165" s="62"/>
      <c r="N165" s="62"/>
      <c r="O165" s="62"/>
      <c r="P165" s="62" t="s">
        <v>216</v>
      </c>
      <c r="Q165" s="62"/>
      <c r="R165" s="62"/>
      <c r="S165" s="62"/>
      <c r="T165" s="62"/>
      <c r="U165" s="62"/>
      <c r="V165" s="62"/>
      <c r="W165" s="62"/>
      <c r="X165" s="62"/>
      <c r="Y165" s="62"/>
      <c r="Z165" s="62"/>
      <c r="AA165" s="62"/>
      <c r="AB165" s="62"/>
      <c r="AC165" s="62"/>
      <c r="AD165" s="62"/>
    </row>
    <row r="166" spans="1:31" x14ac:dyDescent="0.25">
      <c r="E166" s="62"/>
      <c r="F166" s="62"/>
      <c r="G166" s="62"/>
      <c r="H166" s="62"/>
      <c r="I166" s="62"/>
      <c r="J166" s="62"/>
      <c r="K166" s="62"/>
      <c r="L166" s="62"/>
      <c r="M166" s="62"/>
      <c r="N166" s="62"/>
      <c r="O166" s="62"/>
      <c r="P166" s="62"/>
      <c r="Q166" s="62"/>
      <c r="R166" s="62"/>
      <c r="S166" s="62"/>
      <c r="T166" s="62"/>
      <c r="U166" s="62"/>
      <c r="V166" s="62"/>
      <c r="W166" s="62" t="s">
        <v>97</v>
      </c>
      <c r="X166" s="62">
        <f>SUM(F152,K152,P152,U152,Z152)</f>
        <v>4670470.55</v>
      </c>
      <c r="Y166" s="62"/>
      <c r="Z166" s="62"/>
      <c r="AA166" s="62"/>
      <c r="AB166" s="62"/>
      <c r="AC166" s="62"/>
      <c r="AD166" s="62"/>
    </row>
    <row r="167" spans="1:31" ht="15.75" x14ac:dyDescent="0.25">
      <c r="E167" s="62"/>
      <c r="F167" s="62"/>
      <c r="G167" s="62"/>
      <c r="H167" s="62"/>
      <c r="I167" s="62"/>
      <c r="J167" s="62">
        <f>J152-J170-J171</f>
        <v>1156831.7</v>
      </c>
      <c r="K167" s="62">
        <f>K152-K170-K171</f>
        <v>924057</v>
      </c>
      <c r="L167" s="62">
        <f>L152-L170-L171</f>
        <v>77053</v>
      </c>
      <c r="M167" s="62">
        <f>M152-M170-M171</f>
        <v>11434</v>
      </c>
      <c r="N167" s="62"/>
      <c r="O167" s="32">
        <f>O51-O51</f>
        <v>0</v>
      </c>
      <c r="P167" s="62"/>
      <c r="Q167" s="62"/>
      <c r="R167" s="62"/>
      <c r="S167" s="62"/>
      <c r="T167" s="62"/>
      <c r="U167" s="62"/>
      <c r="V167" s="62"/>
      <c r="W167" s="62" t="s">
        <v>98</v>
      </c>
      <c r="X167" s="62">
        <f>SUM(G152,L152,Q152,V152,AA152)</f>
        <v>494448.08292000002</v>
      </c>
      <c r="Y167" s="62"/>
      <c r="Z167" s="62"/>
      <c r="AA167" s="62"/>
      <c r="AB167" s="62"/>
      <c r="AC167" s="62"/>
      <c r="AD167" s="62"/>
    </row>
    <row r="168" spans="1:31" x14ac:dyDescent="0.25">
      <c r="E168" s="62"/>
      <c r="F168" s="62"/>
      <c r="G168" s="62"/>
      <c r="H168" s="62"/>
      <c r="I168" s="62"/>
      <c r="J168" s="62"/>
      <c r="K168" s="62"/>
      <c r="L168" s="62"/>
      <c r="M168" s="62"/>
      <c r="N168" s="62"/>
      <c r="O168" s="62"/>
      <c r="P168" s="62"/>
      <c r="Q168" s="62"/>
      <c r="R168" s="62"/>
      <c r="S168" s="62"/>
      <c r="T168" s="62"/>
      <c r="U168" s="62"/>
      <c r="V168" s="62"/>
      <c r="W168" s="62" t="s">
        <v>99</v>
      </c>
      <c r="X168" s="62">
        <f>SUM(H152,M152,R152,W152,AB152)</f>
        <v>129194.18</v>
      </c>
      <c r="Y168" s="62"/>
      <c r="Z168" s="62"/>
      <c r="AA168" s="62"/>
      <c r="AB168" s="62"/>
      <c r="AC168" s="62"/>
      <c r="AD168" s="62"/>
    </row>
    <row r="169" spans="1:31" x14ac:dyDescent="0.25">
      <c r="E169" s="62"/>
      <c r="F169" s="62"/>
      <c r="G169" s="62"/>
      <c r="H169" s="62"/>
      <c r="I169" s="62"/>
      <c r="J169" s="62"/>
      <c r="K169" s="62"/>
      <c r="L169" s="62"/>
      <c r="M169" s="62"/>
      <c r="N169" s="62"/>
      <c r="O169" s="62"/>
      <c r="P169" s="62"/>
      <c r="Q169" s="62"/>
      <c r="R169" s="62"/>
      <c r="S169" s="62"/>
      <c r="T169" s="62"/>
      <c r="U169" s="62"/>
      <c r="V169" s="62"/>
      <c r="W169" s="62" t="s">
        <v>100</v>
      </c>
      <c r="X169" s="62">
        <f>SUM(I152,N152,S152,X152,AC152)</f>
        <v>828545.28</v>
      </c>
      <c r="Y169" s="62"/>
      <c r="Z169" s="62"/>
      <c r="AA169" s="62"/>
      <c r="AB169" s="62"/>
      <c r="AC169" s="62"/>
      <c r="AD169" s="62"/>
    </row>
    <row r="170" spans="1:31" x14ac:dyDescent="0.25">
      <c r="E170" s="62"/>
      <c r="F170" s="62"/>
      <c r="G170" s="62"/>
      <c r="H170" s="62"/>
      <c r="I170" s="62" t="s">
        <v>193</v>
      </c>
      <c r="J170" s="62">
        <f>J56+J55</f>
        <v>2685</v>
      </c>
      <c r="K170" s="62">
        <f>K56+K55</f>
        <v>2685</v>
      </c>
      <c r="L170" s="62">
        <f t="shared" ref="L170:N170" si="91">L56+L55</f>
        <v>0</v>
      </c>
      <c r="M170" s="62">
        <f t="shared" si="91"/>
        <v>0</v>
      </c>
      <c r="N170" s="62">
        <f t="shared" si="91"/>
        <v>0</v>
      </c>
      <c r="O170" s="62"/>
      <c r="P170" s="62"/>
      <c r="Q170" s="62"/>
      <c r="R170" s="62"/>
      <c r="S170" s="62"/>
      <c r="T170" s="62"/>
      <c r="U170" s="62"/>
      <c r="V170" s="93" t="s">
        <v>97</v>
      </c>
      <c r="W170" s="62" t="s">
        <v>152</v>
      </c>
      <c r="X170" s="62">
        <f>F153+K153+P153+U153+Z153</f>
        <v>4648157.8499999996</v>
      </c>
      <c r="Y170" s="62"/>
      <c r="Z170" s="62"/>
      <c r="AA170" s="62"/>
      <c r="AB170" s="62"/>
      <c r="AC170" s="62"/>
      <c r="AD170" s="62"/>
    </row>
    <row r="171" spans="1:31" x14ac:dyDescent="0.25">
      <c r="E171" s="62"/>
      <c r="F171" s="62"/>
      <c r="G171" s="62"/>
      <c r="H171" s="62"/>
      <c r="I171" s="62" t="s">
        <v>194</v>
      </c>
      <c r="J171" s="62">
        <f>J40</f>
        <v>13547</v>
      </c>
      <c r="K171" s="62">
        <f t="shared" ref="K171:M171" si="92">K40</f>
        <v>13547</v>
      </c>
      <c r="L171" s="62">
        <f t="shared" si="92"/>
        <v>0</v>
      </c>
      <c r="M171" s="62">
        <f t="shared" si="92"/>
        <v>0</v>
      </c>
      <c r="N171" s="62"/>
      <c r="O171" s="62"/>
      <c r="P171" s="62"/>
      <c r="Q171" s="62"/>
      <c r="R171" s="62"/>
      <c r="S171" s="62"/>
      <c r="T171" s="62"/>
      <c r="U171" s="62"/>
      <c r="V171" s="93" t="s">
        <v>97</v>
      </c>
      <c r="W171" s="62" t="s">
        <v>153</v>
      </c>
      <c r="X171" s="62">
        <f>F55+F57+K56+U148</f>
        <v>8765.7000000000007</v>
      </c>
      <c r="Y171" s="62"/>
      <c r="Z171" s="62"/>
      <c r="AA171" s="62"/>
      <c r="AB171" s="62"/>
      <c r="AC171" s="62"/>
      <c r="AD171" s="62"/>
    </row>
    <row r="172" spans="1:31" x14ac:dyDescent="0.25">
      <c r="E172" s="62"/>
      <c r="F172" s="62"/>
      <c r="G172" s="62"/>
      <c r="H172" s="62"/>
      <c r="I172" s="62"/>
      <c r="J172" s="62"/>
      <c r="K172" s="62"/>
      <c r="L172" s="62"/>
      <c r="M172" s="62"/>
      <c r="N172" s="62"/>
      <c r="O172" s="62"/>
      <c r="P172" s="62"/>
      <c r="Q172" s="62"/>
      <c r="R172" s="62"/>
      <c r="S172" s="62"/>
      <c r="T172" s="62"/>
      <c r="U172" s="62"/>
      <c r="V172" s="93" t="s">
        <v>154</v>
      </c>
      <c r="W172" s="62" t="s">
        <v>155</v>
      </c>
      <c r="X172" s="62">
        <f>X167-G57-L56-Q56</f>
        <v>481194.78292000003</v>
      </c>
      <c r="Y172" s="62"/>
      <c r="Z172" s="62"/>
      <c r="AA172" s="62"/>
      <c r="AB172" s="62"/>
      <c r="AC172" s="62"/>
      <c r="AD172" s="62"/>
    </row>
    <row r="173" spans="1:31" x14ac:dyDescent="0.25">
      <c r="E173" s="62"/>
      <c r="F173" s="62"/>
      <c r="G173" s="62"/>
      <c r="H173" s="62"/>
      <c r="I173" s="62"/>
      <c r="J173" s="62">
        <f>K152-P152+2631.02</f>
        <v>-40883.149999999929</v>
      </c>
      <c r="K173" s="62"/>
      <c r="L173" s="62"/>
      <c r="M173" s="62"/>
      <c r="N173" s="62"/>
      <c r="O173" s="62"/>
      <c r="P173" s="62"/>
      <c r="Q173" s="62"/>
      <c r="R173" s="62"/>
      <c r="S173" s="62"/>
      <c r="T173" s="62"/>
      <c r="U173" s="62"/>
      <c r="V173" s="93" t="s">
        <v>154</v>
      </c>
      <c r="W173" s="62" t="s">
        <v>153</v>
      </c>
      <c r="X173" s="62">
        <f>G57+L56+Q56</f>
        <v>13253.3</v>
      </c>
      <c r="Y173" s="62"/>
      <c r="Z173" s="62"/>
      <c r="AA173" s="62"/>
      <c r="AB173" s="62"/>
      <c r="AC173" s="62"/>
      <c r="AD173" s="62"/>
    </row>
    <row r="174" spans="1:31" x14ac:dyDescent="0.25">
      <c r="E174" s="62"/>
      <c r="F174" s="62"/>
      <c r="G174" s="62"/>
      <c r="H174" s="62"/>
      <c r="I174" s="62"/>
      <c r="J174" s="62"/>
      <c r="K174" s="62"/>
      <c r="L174" s="62"/>
      <c r="M174" s="62"/>
      <c r="N174" s="62"/>
      <c r="O174" s="62"/>
      <c r="P174" s="62"/>
      <c r="Q174" s="62"/>
      <c r="R174" s="62"/>
      <c r="S174" s="62"/>
      <c r="T174" s="62"/>
      <c r="U174" s="62"/>
      <c r="V174" s="93" t="s">
        <v>181</v>
      </c>
      <c r="W174" s="62" t="s">
        <v>180</v>
      </c>
      <c r="X174" s="62">
        <f>K40</f>
        <v>13547</v>
      </c>
      <c r="Y174" s="62"/>
      <c r="Z174" s="62"/>
      <c r="AA174" s="62"/>
      <c r="AB174" s="62"/>
      <c r="AC174" s="62"/>
      <c r="AD174" s="62"/>
    </row>
    <row r="175" spans="1:31" x14ac:dyDescent="0.25">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row>
    <row r="176" spans="1:31" x14ac:dyDescent="0.25">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row>
  </sheetData>
  <mergeCells count="57">
    <mergeCell ref="Y7:AC7"/>
    <mergeCell ref="T7:X7"/>
    <mergeCell ref="A22:A23"/>
    <mergeCell ref="D45:D50"/>
    <mergeCell ref="A52:A53"/>
    <mergeCell ref="A44:A50"/>
    <mergeCell ref="A37:A42"/>
    <mergeCell ref="A6:A8"/>
    <mergeCell ref="Y6:AD6"/>
    <mergeCell ref="B28:C28"/>
    <mergeCell ref="B34:C34"/>
    <mergeCell ref="AD7:AD8"/>
    <mergeCell ref="D56:D57"/>
    <mergeCell ref="D37:D39"/>
    <mergeCell ref="O7:S7"/>
    <mergeCell ref="O6:X6"/>
    <mergeCell ref="C103:C110"/>
    <mergeCell ref="C40:C41"/>
    <mergeCell ref="C37:C39"/>
    <mergeCell ref="B10:C10"/>
    <mergeCell ref="B11:C11"/>
    <mergeCell ref="B13:B14"/>
    <mergeCell ref="C12:C16"/>
    <mergeCell ref="D12:D15"/>
    <mergeCell ref="C6:C8"/>
    <mergeCell ref="B6:B8"/>
    <mergeCell ref="D88:D94"/>
    <mergeCell ref="C88:C94"/>
    <mergeCell ref="A60:A61"/>
    <mergeCell ref="C60:C61"/>
    <mergeCell ref="A56:A58"/>
    <mergeCell ref="C56:C58"/>
    <mergeCell ref="A103:A110"/>
    <mergeCell ref="A88:A94"/>
    <mergeCell ref="B102:C102"/>
    <mergeCell ref="B69:C69"/>
    <mergeCell ref="B82:C82"/>
    <mergeCell ref="F1:M1"/>
    <mergeCell ref="D6:D8"/>
    <mergeCell ref="J7:N7"/>
    <mergeCell ref="F2:L2"/>
    <mergeCell ref="E7:I7"/>
    <mergeCell ref="E6:N6"/>
    <mergeCell ref="B3:D3"/>
    <mergeCell ref="A146:A147"/>
    <mergeCell ref="C146:C147"/>
    <mergeCell ref="A111:A115"/>
    <mergeCell ref="A142:A144"/>
    <mergeCell ref="A121:A140"/>
    <mergeCell ref="A116:A120"/>
    <mergeCell ref="D121:D140"/>
    <mergeCell ref="C142:C144"/>
    <mergeCell ref="D142:D144"/>
    <mergeCell ref="C121:C140"/>
    <mergeCell ref="C111:C115"/>
    <mergeCell ref="D112:D115"/>
    <mergeCell ref="C116:C119"/>
  </mergeCells>
  <phoneticPr fontId="3" type="noConversion"/>
  <pageMargins left="0.43307086614173229" right="0.23622047244094491" top="0.74803149606299213" bottom="0.74803149606299213" header="0.31496062992125984" footer="0.31496062992125984"/>
  <pageSetup paperSize="9" scale="49" fitToWidth="0" fitToHeight="0" orientation="landscape" useFirstPageNumber="1" r:id="rId1"/>
  <headerFooter>
    <oddHeader>&amp;C&amp;P</oddHeader>
  </headerFooter>
  <rowBreaks count="5" manualBreakCount="5">
    <brk id="23" max="29" man="1"/>
    <brk id="37" max="29" man="1"/>
    <brk id="55" max="29" man="1"/>
    <brk id="115" max="29" man="1"/>
    <brk id="145" max="2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M8"/>
  <sheetViews>
    <sheetView workbookViewId="0">
      <selection activeCell="H13" sqref="H13"/>
    </sheetView>
  </sheetViews>
  <sheetFormatPr defaultRowHeight="15" x14ac:dyDescent="0.25"/>
  <cols>
    <col min="1" max="1" width="15.85546875" customWidth="1"/>
    <col min="2" max="2" width="9" hidden="1" customWidth="1"/>
    <col min="3" max="3" width="0.140625" customWidth="1"/>
    <col min="4" max="4" width="9.140625" hidden="1" customWidth="1"/>
    <col min="5" max="5" width="14.28515625" hidden="1" customWidth="1"/>
    <col min="6" max="6" width="9.140625" hidden="1" customWidth="1"/>
    <col min="7" max="7" width="14.5703125" customWidth="1"/>
    <col min="8" max="8" width="15.85546875" customWidth="1"/>
    <col min="9" max="9" width="14.7109375" customWidth="1"/>
    <col min="10" max="10" width="9.140625" hidden="1" customWidth="1"/>
    <col min="11" max="11" width="14.28515625" customWidth="1"/>
    <col min="12" max="12" width="13.7109375" hidden="1" customWidth="1"/>
    <col min="13" max="13" width="10.85546875" customWidth="1"/>
  </cols>
  <sheetData>
    <row r="4" spans="1:13" s="11" customFormat="1" ht="47.25" x14ac:dyDescent="0.25">
      <c r="A4" s="6"/>
      <c r="B4" s="6"/>
      <c r="C4" s="6"/>
      <c r="D4" s="6"/>
      <c r="E4" s="6"/>
      <c r="F4" s="6"/>
      <c r="G4" s="8" t="s">
        <v>233</v>
      </c>
      <c r="H4" s="9" t="s">
        <v>234</v>
      </c>
      <c r="I4" s="9" t="s">
        <v>232</v>
      </c>
      <c r="J4" s="9"/>
      <c r="K4" s="9" t="s">
        <v>1</v>
      </c>
      <c r="L4" s="6"/>
      <c r="M4" s="10" t="s">
        <v>20</v>
      </c>
    </row>
    <row r="5" spans="1:13" s="11" customFormat="1" ht="16.5" thickBot="1" x14ac:dyDescent="0.3">
      <c r="A5" s="12" t="s">
        <v>229</v>
      </c>
      <c r="B5" s="13">
        <v>1913289</v>
      </c>
      <c r="C5" s="13">
        <v>102</v>
      </c>
      <c r="D5" s="13">
        <v>1.02</v>
      </c>
      <c r="E5" s="14">
        <v>1956792.23</v>
      </c>
      <c r="F5" s="13">
        <v>11.2</v>
      </c>
      <c r="G5" s="15">
        <f>H5+I5</f>
        <v>1913665.08</v>
      </c>
      <c r="H5" s="15">
        <v>1224745.6499999999</v>
      </c>
      <c r="I5" s="16">
        <v>688919.43</v>
      </c>
      <c r="J5" s="17">
        <v>1914</v>
      </c>
      <c r="K5" s="18">
        <f>ROUND(((H5+I5)*100/99),2)</f>
        <v>1932995.03</v>
      </c>
      <c r="L5" s="19">
        <f>I5/G5*100</f>
        <v>36.000000062706903</v>
      </c>
      <c r="M5" s="18">
        <f>K5-G5</f>
        <v>19329.949999999953</v>
      </c>
    </row>
    <row r="6" spans="1:13" s="11" customFormat="1" ht="16.5" thickBot="1" x14ac:dyDescent="0.3">
      <c r="A6" s="12" t="s">
        <v>230</v>
      </c>
      <c r="B6" s="13">
        <v>391677</v>
      </c>
      <c r="C6" s="13">
        <v>102</v>
      </c>
      <c r="D6" s="13">
        <v>1.02</v>
      </c>
      <c r="E6" s="14">
        <v>400582.72</v>
      </c>
      <c r="F6" s="13">
        <v>2.2999999999999998</v>
      </c>
      <c r="G6" s="20">
        <f t="shared" ref="G6:G7" si="0">H6+I6</f>
        <v>391753.98</v>
      </c>
      <c r="H6" s="15">
        <v>250722.55</v>
      </c>
      <c r="I6" s="16">
        <v>141031.43</v>
      </c>
      <c r="J6" s="17">
        <v>392</v>
      </c>
      <c r="K6" s="21">
        <f t="shared" ref="K6:K7" si="1">ROUND(((H6+I6)*100/99),2)</f>
        <v>395711.09</v>
      </c>
      <c r="L6" s="9">
        <f t="shared" ref="L6:L7" si="2">I6/G6*100</f>
        <v>35.999999285265716</v>
      </c>
      <c r="M6" s="21">
        <f t="shared" ref="M6:M7" si="3">K6-G6</f>
        <v>3957.1100000000442</v>
      </c>
    </row>
    <row r="7" spans="1:13" s="11" customFormat="1" ht="16.5" thickBot="1" x14ac:dyDescent="0.3">
      <c r="A7" s="12" t="s">
        <v>231</v>
      </c>
      <c r="B7" s="13">
        <v>905537</v>
      </c>
      <c r="C7" s="13">
        <v>102</v>
      </c>
      <c r="D7" s="13">
        <v>1.02</v>
      </c>
      <c r="E7" s="14">
        <v>926126.56</v>
      </c>
      <c r="F7" s="13">
        <v>5.3</v>
      </c>
      <c r="G7" s="20">
        <f t="shared" si="0"/>
        <v>905714.99</v>
      </c>
      <c r="H7" s="15">
        <v>579657.59</v>
      </c>
      <c r="I7" s="16">
        <v>326057.40000000002</v>
      </c>
      <c r="J7" s="17">
        <v>906</v>
      </c>
      <c r="K7" s="21">
        <f t="shared" si="1"/>
        <v>914863.63</v>
      </c>
      <c r="L7" s="9">
        <f t="shared" si="2"/>
        <v>36.000000397476036</v>
      </c>
      <c r="M7" s="21">
        <f t="shared" si="3"/>
        <v>9148.640000000014</v>
      </c>
    </row>
    <row r="8" spans="1:13" s="11" customFormat="1" ht="15.75" x14ac:dyDescent="0.25">
      <c r="B8" s="11">
        <f>SUM(B5:B7)</f>
        <v>3210503</v>
      </c>
      <c r="C8" s="11">
        <f t="shared" ref="C8:K8" si="4">SUM(C5:C7)</f>
        <v>306</v>
      </c>
      <c r="D8" s="11">
        <f t="shared" si="4"/>
        <v>3.06</v>
      </c>
      <c r="E8" s="11">
        <f t="shared" si="4"/>
        <v>3283501.5100000002</v>
      </c>
      <c r="F8" s="11">
        <f t="shared" si="4"/>
        <v>18.8</v>
      </c>
      <c r="G8" s="22">
        <f t="shared" si="4"/>
        <v>3211134.05</v>
      </c>
      <c r="H8" s="22">
        <f t="shared" si="4"/>
        <v>2055125.79</v>
      </c>
      <c r="I8" s="22">
        <f t="shared" si="4"/>
        <v>1156008.2600000002</v>
      </c>
      <c r="J8" s="22">
        <f t="shared" si="4"/>
        <v>3212</v>
      </c>
      <c r="K8" s="22">
        <f t="shared" si="4"/>
        <v>3243569.75</v>
      </c>
      <c r="L8" s="22">
        <f t="shared" ref="L8" si="5">SUM(L5:L7)</f>
        <v>107.99999974544866</v>
      </c>
      <c r="M8" s="22">
        <f t="shared" ref="M8" si="6">SUM(M5:M7)</f>
        <v>32435.700000000012</v>
      </c>
    </row>
  </sheetData>
  <phoneticPr fontId="3"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Лист1</vt:lpstr>
      <vt:lpstr>Лист3</vt:lpstr>
      <vt:lpstr>Лист1!Заголовки_для_печати</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gilimanova.en</cp:lastModifiedBy>
  <cp:lastPrinted>2023-04-19T07:25:49Z</cp:lastPrinted>
  <dcterms:created xsi:type="dcterms:W3CDTF">2013-07-24T10:56:02Z</dcterms:created>
  <dcterms:modified xsi:type="dcterms:W3CDTF">2023-11-28T07:52:49Z</dcterms:modified>
</cp:coreProperties>
</file>