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17400" windowHeight="9210" firstSheet="5" activeTab="5"/>
  </bookViews>
  <sheets>
    <sheet name="15.07.2020" sheetId="4" r:id="rId1"/>
    <sheet name="06.10.2020 4 изм" sheetId="5" r:id="rId2"/>
    <sheet name="5  изм." sheetId="7" r:id="rId3"/>
    <sheet name="2021" sheetId="8" r:id="rId4"/>
    <sheet name="1 изм. 2021" sheetId="9" r:id="rId5"/>
    <sheet name="2023" sheetId="23" r:id="rId6"/>
  </sheets>
  <definedNames>
    <definedName name="_xlnm.Print_Area" localSheetId="0">'15.07.2020'!$A$1:$U$123</definedName>
    <definedName name="_xlnm.Print_Area" localSheetId="3">'2021'!$A$1:$U$97</definedName>
    <definedName name="_xlnm.Print_Area" localSheetId="5">'2023'!$A$1:$U$96</definedName>
    <definedName name="_xlnm.Print_Area" localSheetId="2">'5  изм.'!$A$1:$U$95</definedName>
  </definedNames>
  <calcPr calcId="124519"/>
</workbook>
</file>

<file path=xl/calcChain.xml><?xml version="1.0" encoding="utf-8"?>
<calcChain xmlns="http://schemas.openxmlformats.org/spreadsheetml/2006/main">
  <c r="N87" i="23"/>
  <c r="U86"/>
  <c r="T84"/>
  <c r="Q84"/>
  <c r="N84"/>
  <c r="H84"/>
  <c r="K83"/>
  <c r="U83" s="1"/>
  <c r="U82"/>
  <c r="K82"/>
  <c r="T80"/>
  <c r="Q80"/>
  <c r="H80"/>
  <c r="T79"/>
  <c r="Q79"/>
  <c r="H79"/>
  <c r="N78"/>
  <c r="N80" s="1"/>
  <c r="K78"/>
  <c r="K80" s="1"/>
  <c r="T76"/>
  <c r="Q76"/>
  <c r="T75"/>
  <c r="Q75"/>
  <c r="K75"/>
  <c r="H75"/>
  <c r="U74"/>
  <c r="H74"/>
  <c r="U73"/>
  <c r="N73"/>
  <c r="K73"/>
  <c r="N72"/>
  <c r="N76" s="1"/>
  <c r="N75" s="1"/>
  <c r="K72"/>
  <c r="K76" s="1"/>
  <c r="H72"/>
  <c r="H76" s="1"/>
  <c r="U76" s="1"/>
  <c r="T70"/>
  <c r="T69" s="1"/>
  <c r="Q70"/>
  <c r="Q69" s="1"/>
  <c r="H70"/>
  <c r="N68"/>
  <c r="N70" s="1"/>
  <c r="N69" s="1"/>
  <c r="K68"/>
  <c r="K70" s="1"/>
  <c r="K69" s="1"/>
  <c r="H68"/>
  <c r="U68" s="1"/>
  <c r="T66"/>
  <c r="T65" s="1"/>
  <c r="Q66"/>
  <c r="Q65" s="1"/>
  <c r="N66"/>
  <c r="H66"/>
  <c r="N64"/>
  <c r="K64"/>
  <c r="K66" s="1"/>
  <c r="K65" s="1"/>
  <c r="H64"/>
  <c r="U64" s="1"/>
  <c r="T62"/>
  <c r="Q62"/>
  <c r="T60"/>
  <c r="Q60"/>
  <c r="U59"/>
  <c r="N59"/>
  <c r="K59"/>
  <c r="H59"/>
  <c r="H62" s="1"/>
  <c r="U58"/>
  <c r="N58"/>
  <c r="N62" s="1"/>
  <c r="N60" s="1"/>
  <c r="K58"/>
  <c r="K62" s="1"/>
  <c r="K60" s="1"/>
  <c r="H57"/>
  <c r="U57" s="1"/>
  <c r="T55"/>
  <c r="Q55"/>
  <c r="N55"/>
  <c r="N54" s="1"/>
  <c r="K55"/>
  <c r="K54" s="1"/>
  <c r="T54"/>
  <c r="Q54"/>
  <c r="N53"/>
  <c r="K53"/>
  <c r="H53"/>
  <c r="H55" s="1"/>
  <c r="T51"/>
  <c r="T50"/>
  <c r="T49" s="1"/>
  <c r="Q50"/>
  <c r="H50"/>
  <c r="U48"/>
  <c r="U47"/>
  <c r="N47"/>
  <c r="N50" s="1"/>
  <c r="K47"/>
  <c r="K50" s="1"/>
  <c r="H47"/>
  <c r="U46"/>
  <c r="K46"/>
  <c r="H46"/>
  <c r="N45"/>
  <c r="K45"/>
  <c r="H45"/>
  <c r="U45" s="1"/>
  <c r="N44"/>
  <c r="K44"/>
  <c r="U44" s="1"/>
  <c r="Q43"/>
  <c r="Q51" s="1"/>
  <c r="N43"/>
  <c r="K43"/>
  <c r="U43" s="1"/>
  <c r="N42"/>
  <c r="K42"/>
  <c r="H42"/>
  <c r="U42" s="1"/>
  <c r="N41"/>
  <c r="K41"/>
  <c r="U41" s="1"/>
  <c r="U40"/>
  <c r="U39"/>
  <c r="N38"/>
  <c r="N51" s="1"/>
  <c r="K38"/>
  <c r="U38" s="1"/>
  <c r="N37"/>
  <c r="K37"/>
  <c r="U37" s="1"/>
  <c r="U36"/>
  <c r="H36"/>
  <c r="H51" s="1"/>
  <c r="U35"/>
  <c r="U34"/>
  <c r="N34"/>
  <c r="K34"/>
  <c r="T32"/>
  <c r="T31" s="1"/>
  <c r="Q32"/>
  <c r="Q31" s="1"/>
  <c r="H32"/>
  <c r="N30"/>
  <c r="N32" s="1"/>
  <c r="N31" s="1"/>
  <c r="K30"/>
  <c r="K32" s="1"/>
  <c r="K31" s="1"/>
  <c r="H30"/>
  <c r="U30" s="1"/>
  <c r="T28"/>
  <c r="R89" s="1"/>
  <c r="Q28"/>
  <c r="O89" s="1"/>
  <c r="H28"/>
  <c r="T27"/>
  <c r="R90" s="1"/>
  <c r="Q27"/>
  <c r="O90" s="1"/>
  <c r="T26"/>
  <c r="T25" s="1"/>
  <c r="Q26"/>
  <c r="Q25" s="1"/>
  <c r="N26"/>
  <c r="L91" s="1"/>
  <c r="H26"/>
  <c r="H24"/>
  <c r="U24" s="1"/>
  <c r="U23"/>
  <c r="N23"/>
  <c r="K23"/>
  <c r="U22"/>
  <c r="N22"/>
  <c r="N28" s="1"/>
  <c r="L89" s="1"/>
  <c r="K22"/>
  <c r="K28" s="1"/>
  <c r="N21"/>
  <c r="U21" s="1"/>
  <c r="U20"/>
  <c r="H20"/>
  <c r="H19"/>
  <c r="U19" s="1"/>
  <c r="U18"/>
  <c r="H18"/>
  <c r="K17"/>
  <c r="H17"/>
  <c r="U17" s="1"/>
  <c r="N16"/>
  <c r="K16"/>
  <c r="K27" s="1"/>
  <c r="H16"/>
  <c r="H27" s="1"/>
  <c r="U15"/>
  <c r="H15"/>
  <c r="U14"/>
  <c r="H14"/>
  <c r="U13"/>
  <c r="H13"/>
  <c r="U12"/>
  <c r="H12"/>
  <c r="N11"/>
  <c r="K11"/>
  <c r="K26" s="1"/>
  <c r="H11"/>
  <c r="U11" s="1"/>
  <c r="U55" l="1"/>
  <c r="H54"/>
  <c r="U54" s="1"/>
  <c r="U26"/>
  <c r="U32"/>
  <c r="U50"/>
  <c r="U66"/>
  <c r="U65" s="1"/>
  <c r="I91"/>
  <c r="K25"/>
  <c r="U70"/>
  <c r="U75"/>
  <c r="U28"/>
  <c r="N49"/>
  <c r="U62"/>
  <c r="N27"/>
  <c r="U27" s="1"/>
  <c r="N79"/>
  <c r="F89"/>
  <c r="F91"/>
  <c r="R91"/>
  <c r="R88" s="1"/>
  <c r="K51"/>
  <c r="K49" s="1"/>
  <c r="U53"/>
  <c r="H61"/>
  <c r="F90" s="1"/>
  <c r="H65"/>
  <c r="K79"/>
  <c r="U79" s="1"/>
  <c r="K84"/>
  <c r="U84" s="1"/>
  <c r="O91"/>
  <c r="O88" s="1"/>
  <c r="U16"/>
  <c r="H25"/>
  <c r="H31"/>
  <c r="U31" s="1"/>
  <c r="H49"/>
  <c r="H69"/>
  <c r="U69" s="1"/>
  <c r="Q49"/>
  <c r="U72"/>
  <c r="U78"/>
  <c r="U80" s="1"/>
  <c r="U88" i="9"/>
  <c r="R88" s="1"/>
  <c r="O88" s="1"/>
  <c r="I88"/>
  <c r="F88"/>
  <c r="U87" s="1"/>
  <c r="R87"/>
  <c r="O87" s="1"/>
  <c r="L87" s="1"/>
  <c r="I87" s="1"/>
  <c r="F87"/>
  <c r="U86"/>
  <c r="R86" s="1"/>
  <c r="O86" s="1"/>
  <c r="L86" s="1"/>
  <c r="I86" s="1"/>
  <c r="F86"/>
  <c r="U85" s="1"/>
  <c r="R85" s="1"/>
  <c r="O85"/>
  <c r="L85"/>
  <c r="I85"/>
  <c r="F85"/>
  <c r="U84" s="1"/>
  <c r="T84" s="1"/>
  <c r="Q84"/>
  <c r="N84"/>
  <c r="K84"/>
  <c r="H84"/>
  <c r="U83" s="1"/>
  <c r="T83"/>
  <c r="U82"/>
  <c r="T82"/>
  <c r="U80" s="1"/>
  <c r="T80"/>
  <c r="Q80"/>
  <c r="N80"/>
  <c r="K80"/>
  <c r="H80"/>
  <c r="U79" s="1"/>
  <c r="T79"/>
  <c r="Q79"/>
  <c r="N79"/>
  <c r="K79"/>
  <c r="H79"/>
  <c r="U78"/>
  <c r="U76" s="1"/>
  <c r="T76"/>
  <c r="Q76"/>
  <c r="N76"/>
  <c r="K76"/>
  <c r="H76"/>
  <c r="U75" s="1"/>
  <c r="T75"/>
  <c r="Q75"/>
  <c r="N75"/>
  <c r="K75"/>
  <c r="H75" s="1"/>
  <c r="U74" s="1"/>
  <c r="H74"/>
  <c r="U73"/>
  <c r="U72"/>
  <c r="H72"/>
  <c r="U70"/>
  <c r="T70"/>
  <c r="Q70"/>
  <c r="N70"/>
  <c r="K70"/>
  <c r="H70" s="1"/>
  <c r="U69" s="1"/>
  <c r="T69" s="1"/>
  <c r="Q69"/>
  <c r="N69"/>
  <c r="K69" s="1"/>
  <c r="H69"/>
  <c r="U68"/>
  <c r="K68"/>
  <c r="H68"/>
  <c r="U66"/>
  <c r="T66"/>
  <c r="Q66"/>
  <c r="N66"/>
  <c r="K66"/>
  <c r="H66"/>
  <c r="U65" s="1"/>
  <c r="T65" s="1"/>
  <c r="Q65"/>
  <c r="N65"/>
  <c r="K65"/>
  <c r="H65"/>
  <c r="U64" s="1"/>
  <c r="H64"/>
  <c r="U62" s="1"/>
  <c r="T62"/>
  <c r="Q62"/>
  <c r="N62"/>
  <c r="K62"/>
  <c r="H62"/>
  <c r="U61" s="1"/>
  <c r="H61"/>
  <c r="U60" s="1"/>
  <c r="T60"/>
  <c r="Q60"/>
  <c r="N60"/>
  <c r="K60"/>
  <c r="H60"/>
  <c r="U59" s="1"/>
  <c r="H59"/>
  <c r="U58" s="1"/>
  <c r="U57"/>
  <c r="H57"/>
  <c r="U55"/>
  <c r="T55"/>
  <c r="Q55"/>
  <c r="N55"/>
  <c r="K55"/>
  <c r="H55" s="1"/>
  <c r="U54" s="1"/>
  <c r="T54"/>
  <c r="Q54"/>
  <c r="N54"/>
  <c r="K54" s="1"/>
  <c r="H54"/>
  <c r="U53"/>
  <c r="H53"/>
  <c r="U51"/>
  <c r="T51"/>
  <c r="Q51"/>
  <c r="N51"/>
  <c r="K51" s="1"/>
  <c r="H51" s="1"/>
  <c r="U50"/>
  <c r="T50"/>
  <c r="Q50"/>
  <c r="N50"/>
  <c r="K50"/>
  <c r="H50" s="1"/>
  <c r="U49"/>
  <c r="T49"/>
  <c r="Q49"/>
  <c r="N49" s="1"/>
  <c r="K49"/>
  <c r="H49"/>
  <c r="U48"/>
  <c r="U47"/>
  <c r="H47"/>
  <c r="U46" s="1"/>
  <c r="H46"/>
  <c r="U45" s="1"/>
  <c r="H45"/>
  <c r="U44" s="1"/>
  <c r="K44"/>
  <c r="U43" s="1"/>
  <c r="K43"/>
  <c r="U42" s="1"/>
  <c r="H42"/>
  <c r="U41"/>
  <c r="K41"/>
  <c r="U40"/>
  <c r="U39"/>
  <c r="U38"/>
  <c r="U37"/>
  <c r="U36"/>
  <c r="H36"/>
  <c r="U35"/>
  <c r="U34"/>
  <c r="U32"/>
  <c r="T32" s="1"/>
  <c r="Q32"/>
  <c r="N32"/>
  <c r="K32"/>
  <c r="H32"/>
  <c r="U31" s="1"/>
  <c r="T31" s="1"/>
  <c r="Q31"/>
  <c r="N31"/>
  <c r="K31"/>
  <c r="H31"/>
  <c r="U30" s="1"/>
  <c r="T30"/>
  <c r="H30"/>
  <c r="U28" s="1"/>
  <c r="T28"/>
  <c r="Q28"/>
  <c r="N28"/>
  <c r="K28" s="1"/>
  <c r="H28"/>
  <c r="U27"/>
  <c r="T27"/>
  <c r="Q27"/>
  <c r="N27"/>
  <c r="K27"/>
  <c r="H27"/>
  <c r="U26"/>
  <c r="T26"/>
  <c r="Q26"/>
  <c r="N26"/>
  <c r="K26"/>
  <c r="H26" s="1"/>
  <c r="U25" s="1"/>
  <c r="T25"/>
  <c r="Q25"/>
  <c r="N25" s="1"/>
  <c r="K25"/>
  <c r="H25"/>
  <c r="U24"/>
  <c r="H24"/>
  <c r="U23"/>
  <c r="K23"/>
  <c r="U22"/>
  <c r="U21"/>
  <c r="U20"/>
  <c r="H20"/>
  <c r="U19" s="1"/>
  <c r="H19"/>
  <c r="U18"/>
  <c r="H18"/>
  <c r="U17" s="1"/>
  <c r="K17"/>
  <c r="H17"/>
  <c r="U16" s="1"/>
  <c r="H16"/>
  <c r="U15" s="1"/>
  <c r="H15"/>
  <c r="U14" s="1"/>
  <c r="H14"/>
  <c r="U13" s="1"/>
  <c r="H13"/>
  <c r="U12" s="1"/>
  <c r="H12"/>
  <c r="U11"/>
  <c r="H11"/>
  <c r="U88" i="8"/>
  <c r="R88" s="1"/>
  <c r="O88" s="1"/>
  <c r="I88"/>
  <c r="F88"/>
  <c r="F88" i="23" l="1"/>
  <c r="I90"/>
  <c r="H60"/>
  <c r="U60" s="1"/>
  <c r="U61"/>
  <c r="U49"/>
  <c r="U91"/>
  <c r="L90"/>
  <c r="L88" s="1"/>
  <c r="N25"/>
  <c r="U25" s="1"/>
  <c r="U51"/>
  <c r="I89"/>
  <c r="I88" s="1"/>
  <c r="U87" i="8"/>
  <c r="R87" s="1"/>
  <c r="O87" s="1"/>
  <c r="L87"/>
  <c r="I87" s="1"/>
  <c r="F87"/>
  <c r="U86"/>
  <c r="U89" i="23" l="1"/>
  <c r="U90"/>
  <c r="U88"/>
  <c r="R86" i="8"/>
  <c r="O86"/>
  <c r="L86" s="1"/>
  <c r="I86" s="1"/>
  <c r="F86" s="1"/>
  <c r="U85" l="1"/>
  <c r="R85" l="1"/>
  <c r="O85"/>
  <c r="L85"/>
  <c r="I85" s="1"/>
  <c r="F85"/>
  <c r="U84"/>
  <c r="T84"/>
  <c r="Q84"/>
  <c r="N84"/>
  <c r="K84"/>
  <c r="H84"/>
  <c r="U83"/>
  <c r="T83"/>
  <c r="U82"/>
  <c r="T82"/>
  <c r="U80" s="1"/>
  <c r="T80"/>
  <c r="Q80"/>
  <c r="N80"/>
  <c r="K80"/>
  <c r="H80"/>
  <c r="U79"/>
  <c r="T79"/>
  <c r="Q79"/>
  <c r="N79"/>
  <c r="K79"/>
  <c r="H79"/>
  <c r="U78"/>
  <c r="U76"/>
  <c r="T76"/>
  <c r="Q76"/>
  <c r="N76"/>
  <c r="K76"/>
  <c r="H76" s="1"/>
  <c r="U75" s="1"/>
  <c r="T75"/>
  <c r="Q75"/>
  <c r="N75" s="1"/>
  <c r="K75"/>
  <c r="H75"/>
  <c r="U74"/>
  <c r="H74"/>
  <c r="U73"/>
  <c r="U72"/>
  <c r="H72"/>
  <c r="U70"/>
  <c r="T70"/>
  <c r="Q70"/>
  <c r="N70"/>
  <c r="K70"/>
  <c r="H70" s="1"/>
  <c r="U69" s="1"/>
  <c r="T69" s="1"/>
  <c r="Q69" s="1"/>
  <c r="N69" s="1"/>
  <c r="K69" s="1"/>
  <c r="H69"/>
  <c r="U68"/>
  <c r="K68"/>
  <c r="H68"/>
  <c r="U66"/>
  <c r="T66"/>
  <c r="Q66"/>
  <c r="N66"/>
  <c r="K66"/>
  <c r="H66" s="1"/>
  <c r="U65" s="1"/>
  <c r="T65"/>
  <c r="Q65" s="1"/>
  <c r="N65" s="1"/>
  <c r="K65" s="1"/>
  <c r="H65"/>
  <c r="U64"/>
  <c r="H64"/>
  <c r="U62"/>
  <c r="T62"/>
  <c r="Q62"/>
  <c r="N62"/>
  <c r="K62"/>
  <c r="H62"/>
  <c r="U61"/>
  <c r="H61" s="1"/>
  <c r="U60"/>
  <c r="T60"/>
  <c r="Q60"/>
  <c r="N60"/>
  <c r="K60"/>
  <c r="H60"/>
  <c r="U59" s="1"/>
  <c r="H59"/>
  <c r="U58"/>
  <c r="U57"/>
  <c r="H57"/>
  <c r="U55"/>
  <c r="T55"/>
  <c r="Q55"/>
  <c r="N55"/>
  <c r="K55"/>
  <c r="H55" s="1"/>
  <c r="U54" s="1"/>
  <c r="T54"/>
  <c r="Q54" s="1"/>
  <c r="N54" s="1"/>
  <c r="K54" s="1"/>
  <c r="H54"/>
  <c r="U53"/>
  <c r="H53"/>
  <c r="U51"/>
  <c r="T51"/>
  <c r="Q51"/>
  <c r="N51"/>
  <c r="K51"/>
  <c r="H51"/>
  <c r="U50"/>
  <c r="T50"/>
  <c r="Q50"/>
  <c r="N50"/>
  <c r="K50"/>
  <c r="H50" s="1"/>
  <c r="U49" l="1"/>
  <c r="T49" s="1"/>
  <c r="Q49"/>
  <c r="N49" s="1"/>
  <c r="K49"/>
  <c r="H49"/>
  <c r="U48"/>
  <c r="U47"/>
  <c r="H47"/>
  <c r="U46"/>
  <c r="H46"/>
  <c r="U45" s="1"/>
  <c r="H45"/>
  <c r="U44"/>
  <c r="K44"/>
  <c r="U43"/>
  <c r="K43"/>
  <c r="U42" s="1"/>
  <c r="H42"/>
  <c r="U41"/>
  <c r="K41"/>
  <c r="U40"/>
  <c r="U39"/>
  <c r="U38"/>
  <c r="U37"/>
  <c r="U36"/>
  <c r="H36"/>
  <c r="U35"/>
  <c r="U34"/>
  <c r="U32" s="1"/>
  <c r="T32" s="1"/>
  <c r="Q32"/>
  <c r="N32"/>
  <c r="K32"/>
  <c r="H32"/>
  <c r="U31" s="1"/>
  <c r="T31" s="1"/>
  <c r="Q31" s="1"/>
  <c r="N31" s="1"/>
  <c r="K31"/>
  <c r="H31"/>
  <c r="U30" s="1"/>
  <c r="T30"/>
  <c r="H30"/>
  <c r="U28"/>
  <c r="T28"/>
  <c r="Q28"/>
  <c r="N28"/>
  <c r="K28"/>
  <c r="H28"/>
  <c r="U27"/>
  <c r="T27"/>
  <c r="Q27"/>
  <c r="N27"/>
  <c r="K27"/>
  <c r="H27"/>
  <c r="U26"/>
  <c r="T26"/>
  <c r="Q26"/>
  <c r="N26"/>
  <c r="K26"/>
  <c r="H26" s="1"/>
  <c r="U25"/>
  <c r="T25"/>
  <c r="Q25"/>
  <c r="N25"/>
  <c r="K25"/>
  <c r="H25"/>
  <c r="U24" s="1"/>
  <c r="H24"/>
  <c r="U23"/>
  <c r="K23"/>
  <c r="U22"/>
  <c r="U21"/>
  <c r="U20"/>
  <c r="H20"/>
  <c r="U19"/>
  <c r="H19"/>
  <c r="U18"/>
  <c r="H18"/>
  <c r="U17"/>
  <c r="K17" l="1"/>
  <c r="H17"/>
  <c r="U16"/>
  <c r="H16"/>
  <c r="U15" s="1"/>
  <c r="H15"/>
  <c r="U14" s="1"/>
  <c r="H14"/>
  <c r="U13" s="1"/>
  <c r="H13"/>
  <c r="U12" s="1"/>
  <c r="H12"/>
  <c r="U11"/>
  <c r="H11"/>
  <c r="U91" i="7"/>
  <c r="R91"/>
  <c r="O91"/>
  <c r="L91"/>
  <c r="I91"/>
  <c r="F91"/>
  <c r="U90" l="1"/>
  <c r="R90"/>
  <c r="O90"/>
  <c r="L90"/>
  <c r="I90"/>
  <c r="F90" s="1"/>
  <c r="U89"/>
  <c r="R89" s="1"/>
  <c r="O89"/>
  <c r="L89"/>
  <c r="I89"/>
  <c r="F89"/>
  <c r="U88"/>
  <c r="R88"/>
  <c r="O88" s="1"/>
  <c r="L88" s="1"/>
  <c r="I88" l="1"/>
  <c r="F88" s="1"/>
  <c r="U87" s="1"/>
  <c r="T87" s="1"/>
  <c r="Q87"/>
  <c r="N87"/>
  <c r="K87"/>
  <c r="H87"/>
  <c r="U86"/>
  <c r="T86"/>
  <c r="Q86"/>
  <c r="U85"/>
  <c r="T85"/>
  <c r="Q85"/>
  <c r="U83" s="1"/>
  <c r="T83"/>
  <c r="Q83"/>
  <c r="N83"/>
  <c r="K83"/>
  <c r="H83"/>
  <c r="U82" s="1"/>
  <c r="T82"/>
  <c r="Q82"/>
  <c r="N82"/>
  <c r="K82"/>
  <c r="H82"/>
  <c r="U81"/>
  <c r="U79"/>
  <c r="T79"/>
  <c r="Q79"/>
  <c r="N79"/>
  <c r="K79"/>
  <c r="H79"/>
  <c r="U78"/>
  <c r="T78"/>
  <c r="Q78"/>
  <c r="N78"/>
  <c r="K78"/>
  <c r="H78"/>
  <c r="U77"/>
  <c r="H77"/>
  <c r="U76"/>
  <c r="U75"/>
  <c r="H75"/>
  <c r="U73"/>
  <c r="T73"/>
  <c r="Q73"/>
  <c r="N73"/>
  <c r="K73"/>
  <c r="H73"/>
  <c r="U72"/>
  <c r="T72" s="1"/>
  <c r="Q72" s="1"/>
  <c r="N72" s="1"/>
  <c r="K72" s="1"/>
  <c r="H72"/>
  <c r="U71"/>
  <c r="H71"/>
  <c r="U69"/>
  <c r="T69"/>
  <c r="Q69"/>
  <c r="N69"/>
  <c r="K69"/>
  <c r="H69" s="1"/>
  <c r="U68" s="1"/>
  <c r="T68" s="1"/>
  <c r="Q68" s="1"/>
  <c r="N68" s="1"/>
  <c r="K68" s="1"/>
  <c r="H68"/>
  <c r="U67"/>
  <c r="H67"/>
  <c r="U65"/>
  <c r="T65"/>
  <c r="Q65"/>
  <c r="N65"/>
  <c r="K65"/>
  <c r="H65" s="1"/>
  <c r="U64"/>
  <c r="T64"/>
  <c r="Q64"/>
  <c r="N64"/>
  <c r="K64"/>
  <c r="H64" s="1"/>
  <c r="U63" s="1"/>
  <c r="T63" s="1"/>
  <c r="Q63"/>
  <c r="N63" s="1"/>
  <c r="K63" s="1"/>
  <c r="H63"/>
  <c r="U62"/>
  <c r="H62"/>
  <c r="U61"/>
  <c r="H61"/>
  <c r="U59"/>
  <c r="T59"/>
  <c r="Q59"/>
  <c r="N59"/>
  <c r="K59"/>
  <c r="H59" s="1"/>
  <c r="U58" s="1"/>
  <c r="T58" s="1"/>
  <c r="Q58" s="1"/>
  <c r="N58" s="1"/>
  <c r="K58" s="1"/>
  <c r="H58"/>
  <c r="U57"/>
  <c r="H57"/>
  <c r="U55" s="1"/>
  <c r="T55" s="1"/>
  <c r="Q55" s="1"/>
  <c r="N55" s="1"/>
  <c r="K55"/>
  <c r="H55" s="1"/>
  <c r="U54"/>
  <c r="T54"/>
  <c r="Q54"/>
  <c r="N54"/>
  <c r="K54"/>
  <c r="H54" s="1"/>
  <c r="U53"/>
  <c r="T53"/>
  <c r="Q53"/>
  <c r="N53"/>
  <c r="K53"/>
  <c r="H53"/>
  <c r="U52"/>
  <c r="U51"/>
  <c r="H51"/>
  <c r="U50" s="1"/>
  <c r="H50"/>
  <c r="U49" s="1"/>
  <c r="H49"/>
  <c r="U48"/>
  <c r="U47"/>
  <c r="U46" s="1"/>
  <c r="H46"/>
  <c r="U45"/>
  <c r="U44"/>
  <c r="U43"/>
  <c r="U42"/>
  <c r="U41"/>
  <c r="U40" s="1"/>
  <c r="H40"/>
  <c r="U39"/>
  <c r="U38" s="1"/>
  <c r="H38"/>
  <c r="U37" s="1"/>
  <c r="H37"/>
  <c r="U36" s="1"/>
  <c r="H36"/>
  <c r="U35" s="1"/>
  <c r="H35"/>
  <c r="U34"/>
  <c r="T34"/>
  <c r="Q34"/>
  <c r="N34"/>
  <c r="K34"/>
  <c r="H34"/>
  <c r="U32"/>
  <c r="T32" s="1"/>
  <c r="Q32" s="1"/>
  <c r="N32" s="1"/>
  <c r="K32" s="1"/>
  <c r="H32" s="1"/>
  <c r="U31"/>
  <c r="T31" s="1"/>
  <c r="Q31" s="1"/>
  <c r="N31" s="1"/>
  <c r="K31"/>
  <c r="H31"/>
  <c r="U30"/>
  <c r="T30"/>
  <c r="Q30"/>
  <c r="N30"/>
  <c r="K30"/>
  <c r="H30"/>
  <c r="U28"/>
  <c r="T28"/>
  <c r="Q28"/>
  <c r="N28"/>
  <c r="K28"/>
  <c r="H28"/>
  <c r="U27"/>
  <c r="T27"/>
  <c r="Q27"/>
  <c r="N27"/>
  <c r="K27"/>
  <c r="H27"/>
  <c r="U26"/>
  <c r="T26"/>
  <c r="Q26"/>
  <c r="N26"/>
  <c r="K26"/>
  <c r="H26" s="1"/>
  <c r="U25"/>
  <c r="T25"/>
  <c r="Q25"/>
  <c r="N25"/>
  <c r="K25"/>
  <c r="H25"/>
  <c r="U24"/>
  <c r="H24"/>
  <c r="H20"/>
  <c r="H19"/>
  <c r="H18"/>
  <c r="H17"/>
  <c r="H16"/>
  <c r="U15"/>
  <c r="H15"/>
  <c r="U14" s="1"/>
  <c r="H14"/>
  <c r="U13"/>
  <c r="H13"/>
  <c r="U12"/>
  <c r="H12"/>
  <c r="U11"/>
  <c r="H11"/>
  <c r="U114" i="5" l="1"/>
  <c r="R114"/>
  <c r="O114"/>
  <c r="L114"/>
  <c r="I114" s="1"/>
  <c r="F114" s="1"/>
  <c r="U113" l="1"/>
  <c r="R113" s="1"/>
  <c r="O113"/>
  <c r="L113"/>
  <c r="I113" s="1"/>
  <c r="F113"/>
  <c r="U112"/>
  <c r="R112"/>
  <c r="O112" s="1"/>
  <c r="L112" s="1"/>
  <c r="I112" s="1"/>
  <c r="F112"/>
  <c r="U111" l="1"/>
  <c r="R111"/>
  <c r="O111" s="1"/>
  <c r="L111" s="1"/>
  <c r="I111" s="1"/>
  <c r="F111"/>
  <c r="U110"/>
  <c r="U108"/>
  <c r="T108" s="1"/>
  <c r="Q108"/>
  <c r="N108"/>
  <c r="K108"/>
  <c r="H108"/>
  <c r="U107"/>
  <c r="T107"/>
  <c r="Q107"/>
  <c r="U106" s="1"/>
  <c r="T106"/>
  <c r="Q106"/>
  <c r="U105"/>
  <c r="T103"/>
  <c r="Q103"/>
  <c r="N103"/>
  <c r="K103"/>
  <c r="H103"/>
  <c r="U102" s="1"/>
  <c r="T102" s="1"/>
  <c r="Q102"/>
  <c r="N102"/>
  <c r="K102"/>
  <c r="H102"/>
  <c r="U101"/>
  <c r="H101"/>
  <c r="U100"/>
  <c r="T100"/>
  <c r="Q100"/>
  <c r="U99" s="1"/>
  <c r="T99"/>
  <c r="Q99"/>
  <c r="U97" s="1"/>
  <c r="T97" s="1"/>
  <c r="Q97"/>
  <c r="N97"/>
  <c r="K97"/>
  <c r="H97"/>
  <c r="U96" s="1"/>
  <c r="T96"/>
  <c r="Q96" s="1"/>
  <c r="N96" s="1"/>
  <c r="K96" s="1"/>
  <c r="H96" s="1"/>
  <c r="U95"/>
  <c r="H95"/>
  <c r="U94"/>
  <c r="H94"/>
  <c r="U93" l="1"/>
  <c r="T93"/>
  <c r="Q93"/>
  <c r="N93"/>
  <c r="K93"/>
  <c r="H93"/>
  <c r="H90"/>
  <c r="H89" s="1"/>
  <c r="H85"/>
  <c r="H84"/>
  <c r="H83"/>
  <c r="H82"/>
  <c r="H81"/>
  <c r="U79" s="1"/>
  <c r="T79"/>
  <c r="Q79"/>
  <c r="N79"/>
  <c r="K79"/>
  <c r="H79"/>
  <c r="U78" s="1"/>
  <c r="T78"/>
  <c r="Q78"/>
  <c r="N78"/>
  <c r="K78"/>
  <c r="H78"/>
  <c r="U77" s="1"/>
  <c r="T77" s="1"/>
  <c r="Q77" s="1"/>
  <c r="N77"/>
  <c r="K77"/>
  <c r="H77"/>
  <c r="U76"/>
  <c r="H76"/>
  <c r="U75"/>
  <c r="H75"/>
  <c r="U73" s="1"/>
  <c r="T73"/>
  <c r="Q73"/>
  <c r="N73"/>
  <c r="K73"/>
  <c r="H73"/>
  <c r="U72"/>
  <c r="T72"/>
  <c r="Q72" s="1"/>
  <c r="N72" s="1"/>
  <c r="K72"/>
  <c r="H72"/>
  <c r="U71"/>
  <c r="U69"/>
  <c r="T69"/>
  <c r="Q69"/>
  <c r="N69"/>
  <c r="K69"/>
  <c r="H69"/>
  <c r="U68" s="1"/>
  <c r="T68" s="1"/>
  <c r="Q68" s="1"/>
  <c r="N68"/>
  <c r="K68"/>
  <c r="H68"/>
  <c r="U67" s="1"/>
  <c r="H67"/>
  <c r="U65" s="1"/>
  <c r="T65"/>
  <c r="Q65"/>
  <c r="N65"/>
  <c r="K65"/>
  <c r="H65"/>
  <c r="U64" s="1"/>
  <c r="T64"/>
  <c r="Q64"/>
  <c r="N64"/>
  <c r="K64"/>
  <c r="H64"/>
  <c r="U63" s="1"/>
  <c r="T63" s="1"/>
  <c r="Q63"/>
  <c r="N63"/>
  <c r="K63"/>
  <c r="H63"/>
  <c r="U62"/>
  <c r="H62"/>
  <c r="U61"/>
  <c r="H61"/>
  <c r="U59"/>
  <c r="T59"/>
  <c r="Q59"/>
  <c r="N59"/>
  <c r="K59"/>
  <c r="H59"/>
  <c r="U58" s="1"/>
  <c r="T58"/>
  <c r="Q58" s="1"/>
  <c r="N58" s="1"/>
  <c r="K58"/>
  <c r="H58"/>
  <c r="U57"/>
  <c r="H57"/>
  <c r="U55"/>
  <c r="T55"/>
  <c r="Q55" s="1"/>
  <c r="N55" s="1"/>
  <c r="K55" s="1"/>
  <c r="H55"/>
  <c r="U54"/>
  <c r="T54"/>
  <c r="Q54"/>
  <c r="N54"/>
  <c r="K54"/>
  <c r="H54"/>
  <c r="U53"/>
  <c r="U51"/>
  <c r="T51" s="1"/>
  <c r="Q51"/>
  <c r="N51" s="1"/>
  <c r="K51" s="1"/>
  <c r="H51"/>
  <c r="U50"/>
  <c r="T50"/>
  <c r="Q50"/>
  <c r="N50"/>
  <c r="K50"/>
  <c r="H50"/>
  <c r="U49" s="1"/>
  <c r="T49"/>
  <c r="Q49" s="1"/>
  <c r="N49" s="1"/>
  <c r="K49"/>
  <c r="H49"/>
  <c r="U48"/>
  <c r="H48"/>
  <c r="U47"/>
  <c r="H47"/>
  <c r="U46"/>
  <c r="H46"/>
  <c r="U45"/>
  <c r="U44"/>
  <c r="U43" s="1"/>
  <c r="H43"/>
  <c r="U42"/>
  <c r="U41"/>
  <c r="U40"/>
  <c r="U39"/>
  <c r="U38"/>
  <c r="U37"/>
  <c r="H37"/>
  <c r="U36"/>
  <c r="U35"/>
  <c r="H35"/>
  <c r="U34"/>
  <c r="H34"/>
  <c r="U33"/>
  <c r="H33"/>
  <c r="U32"/>
  <c r="H32"/>
  <c r="U31"/>
  <c r="T31"/>
  <c r="Q31"/>
  <c r="N31"/>
  <c r="K31"/>
  <c r="H31"/>
  <c r="U29" l="1"/>
  <c r="T29"/>
  <c r="Q29"/>
  <c r="N29" s="1"/>
  <c r="K29" s="1"/>
  <c r="H29"/>
  <c r="U28"/>
  <c r="T28"/>
  <c r="Q28"/>
  <c r="N28"/>
  <c r="K28"/>
  <c r="H28"/>
  <c r="U27"/>
  <c r="H27"/>
  <c r="U26"/>
  <c r="U24"/>
  <c r="T24" s="1"/>
  <c r="Q24" s="1"/>
  <c r="N24" s="1"/>
  <c r="K24" s="1"/>
  <c r="H24"/>
  <c r="U23"/>
  <c r="T23"/>
  <c r="Q23"/>
  <c r="N23" s="1"/>
  <c r="K23" s="1"/>
  <c r="H23"/>
  <c r="U22"/>
  <c r="T22"/>
  <c r="Q22"/>
  <c r="N22"/>
  <c r="K22"/>
  <c r="H22"/>
  <c r="U20"/>
  <c r="T20"/>
  <c r="Q20"/>
  <c r="N20"/>
  <c r="K20"/>
  <c r="H20"/>
  <c r="U19"/>
  <c r="T19"/>
  <c r="Q19"/>
  <c r="N19"/>
  <c r="K19"/>
  <c r="H19"/>
  <c r="U18"/>
  <c r="T18"/>
  <c r="Q18"/>
  <c r="N18" s="1"/>
  <c r="K18"/>
  <c r="H18"/>
  <c r="U17"/>
  <c r="U16"/>
  <c r="U15"/>
  <c r="U14"/>
  <c r="U13"/>
  <c r="H13"/>
  <c r="U12"/>
  <c r="U11"/>
  <c r="H75" i="4"/>
  <c r="H33"/>
  <c r="H22"/>
  <c r="H13"/>
</calcChain>
</file>

<file path=xl/sharedStrings.xml><?xml version="1.0" encoding="utf-8"?>
<sst xmlns="http://schemas.openxmlformats.org/spreadsheetml/2006/main" count="4129" uniqueCount="620">
  <si>
    <t>ВСЕГО по задаче 5, из них по главным распорядителям бюджетных средств:</t>
  </si>
  <si>
    <r>
      <t xml:space="preserve">единовременно                         </t>
    </r>
    <r>
      <rPr>
        <sz val="10"/>
        <rFont val="Times New Roman"/>
        <family val="1"/>
        <charset val="204"/>
      </rPr>
      <t>в течение одного календарного года</t>
    </r>
  </si>
  <si>
    <t>ВСЕГО по задаче 6, из них по главным распорядителям бюджетных средств:</t>
  </si>
  <si>
    <t>по мере необходимости</t>
  </si>
  <si>
    <t>ВСЕГО по задаче 7, из них по главным распорядителям бюджетных средств:</t>
  </si>
  <si>
    <t>в течение года</t>
  </si>
  <si>
    <t>Департамент социального обеспечения</t>
  </si>
  <si>
    <t>ВСЕГО по задаче 8, из них по главным распорядителям бюджетных средств:</t>
  </si>
  <si>
    <t>Департамент информационных технологий и связи (МАУ "МФЦ")</t>
  </si>
  <si>
    <t>ВСЕГО по задаче 10, из них по главным распорядителям бюджетных средств:</t>
  </si>
  <si>
    <t>5,0 тыс. руб.</t>
  </si>
  <si>
    <t>30 чел.</t>
  </si>
  <si>
    <t>2,0 тыс. руб.</t>
  </si>
  <si>
    <t>0,5 тыс. руб.</t>
  </si>
  <si>
    <t>30,0 тыс. руб.</t>
  </si>
  <si>
    <t>ВСЕГО по задаче 13:</t>
  </si>
  <si>
    <t>Проведение городских массовых мероприятий:</t>
  </si>
  <si>
    <t>«День семьи»</t>
  </si>
  <si>
    <t>«День матери»</t>
  </si>
  <si>
    <r>
      <t xml:space="preserve">ИТОГО ПО ВСЕМ ЗАДАЧАМ, </t>
    </r>
    <r>
      <rPr>
        <b/>
        <sz val="13"/>
        <rFont val="Times New Roman"/>
        <family val="1"/>
        <charset val="204"/>
      </rPr>
      <t>из них по главным распорядителям бюджетных средств:</t>
    </r>
  </si>
  <si>
    <t xml:space="preserve">Департамент информационных технологий и связи** </t>
  </si>
  <si>
    <t>Департамент образования*</t>
  </si>
  <si>
    <t>Примечания:</t>
  </si>
  <si>
    <t xml:space="preserve">*- в том числе внебюджетные средства </t>
  </si>
  <si>
    <t>** - в том числе средства областного бюджета</t>
  </si>
  <si>
    <t>№ п/п</t>
  </si>
  <si>
    <t>Цель: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</si>
  <si>
    <r>
      <t>1.</t>
    </r>
    <r>
      <rPr>
        <sz val="7"/>
        <rFont val="Times New Roman"/>
        <family val="1"/>
        <charset val="204"/>
      </rPr>
      <t> </t>
    </r>
  </si>
  <si>
    <t>1.1.</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</si>
  <si>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</si>
  <si>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t>1.2.</t>
  </si>
  <si>
    <t>1.3.</t>
  </si>
  <si>
    <t>1.4.</t>
  </si>
  <si>
    <t>-</t>
  </si>
  <si>
    <r>
      <t>2.</t>
    </r>
    <r>
      <rPr>
        <sz val="7"/>
        <rFont val="Times New Roman"/>
        <family val="1"/>
        <charset val="204"/>
      </rPr>
      <t> </t>
    </r>
  </si>
  <si>
    <t>2.1.</t>
  </si>
  <si>
    <r>
      <t>3.</t>
    </r>
    <r>
      <rPr>
        <sz val="7"/>
        <rFont val="Times New Roman"/>
        <family val="1"/>
        <charset val="204"/>
      </rPr>
      <t> </t>
    </r>
  </si>
  <si>
    <t>3.1.</t>
  </si>
  <si>
    <r>
      <t>4.</t>
    </r>
    <r>
      <rPr>
        <sz val="7"/>
        <rFont val="Times New Roman"/>
        <family val="1"/>
        <charset val="204"/>
      </rPr>
      <t> </t>
    </r>
  </si>
  <si>
    <t>4.1.</t>
  </si>
  <si>
    <t>Единовременные денежные выплаты к отдельным датам:</t>
  </si>
  <si>
    <t>4.1.1.</t>
  </si>
  <si>
    <t>4.1.2.</t>
  </si>
  <si>
    <r>
      <t>Единовременная денежная выплата ко дню воинской славы России - Дню Победы советского народа в Великой Отечественной войне 1941-1945 годов (9 мая)</t>
    </r>
    <r>
      <rPr>
        <i/>
        <sz val="12"/>
        <rFont val="Times New Roman"/>
        <family val="1"/>
        <charset val="204"/>
      </rPr>
      <t xml:space="preserve"> </t>
    </r>
  </si>
  <si>
    <t>4.1.3.</t>
  </si>
  <si>
    <t xml:space="preserve">Единовременная денежная выплата ко Дню памяти жертв политических репрессий (30 октября) </t>
  </si>
  <si>
    <t>4.1.4.</t>
  </si>
  <si>
    <t>Единовременная денежная выплата к памятной дате России - Дню Героев Отечества (9 декабря)</t>
  </si>
  <si>
    <t>4.2.</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</si>
  <si>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</si>
  <si>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4.3.</t>
  </si>
  <si>
    <t xml:space="preserve">Денежные выплаты на оплату социальных услуг, предоставляемых на условиях оплаты отдельным категориям граждан </t>
  </si>
  <si>
    <t>4.4.</t>
  </si>
  <si>
    <t>4.5.</t>
  </si>
  <si>
    <t>4.6.</t>
  </si>
  <si>
    <t>4.7.</t>
  </si>
  <si>
    <t>4.8.</t>
  </si>
  <si>
    <t>4.9.</t>
  </si>
  <si>
    <t>4.10.</t>
  </si>
  <si>
    <t>4.11.</t>
  </si>
  <si>
    <t>4.12.</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</si>
  <si>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</si>
  <si>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4.13.</t>
  </si>
  <si>
    <r>
      <t>5.</t>
    </r>
    <r>
      <rPr>
        <sz val="7"/>
        <rFont val="Times New Roman"/>
        <family val="1"/>
        <charset val="204"/>
      </rPr>
      <t> </t>
    </r>
  </si>
  <si>
    <t>5.1.</t>
  </si>
  <si>
    <r>
      <t>6.</t>
    </r>
    <r>
      <rPr>
        <sz val="7"/>
        <rFont val="Times New Roman"/>
        <family val="1"/>
        <charset val="204"/>
      </rPr>
      <t> </t>
    </r>
  </si>
  <si>
    <t>6.1.</t>
  </si>
  <si>
    <r>
      <t>7.</t>
    </r>
    <r>
      <rPr>
        <sz val="7"/>
        <rFont val="Times New Roman"/>
        <family val="1"/>
        <charset val="204"/>
      </rPr>
      <t> </t>
    </r>
  </si>
  <si>
    <t>7.1.</t>
  </si>
  <si>
    <t>7.2.</t>
  </si>
  <si>
    <t>10.</t>
  </si>
  <si>
    <t>11.</t>
  </si>
  <si>
    <t>11.1.</t>
  </si>
  <si>
    <t>12.</t>
  </si>
  <si>
    <t>12.1.</t>
  </si>
  <si>
    <t>13.</t>
  </si>
  <si>
    <t>13.1.</t>
  </si>
  <si>
    <t>Проведение фестиваля творчества детей-инвалидов «Серебряная птица»</t>
  </si>
  <si>
    <t>Источник финансового обеспечения</t>
  </si>
  <si>
    <t>Сроки исполнения</t>
  </si>
  <si>
    <r>
      <t xml:space="preserve">Общий объем финансового обеспечения, </t>
    </r>
    <r>
      <rPr>
        <i/>
        <sz val="10"/>
        <rFont val="Times New Roman"/>
        <family val="1"/>
        <charset val="204"/>
      </rPr>
      <t>тыс.руб.</t>
    </r>
  </si>
  <si>
    <t>количество</t>
  </si>
  <si>
    <r>
      <t xml:space="preserve">сумма затрат на 1 чел. (1 усл.ед.), </t>
    </r>
    <r>
      <rPr>
        <i/>
        <sz val="8"/>
        <rFont val="Times New Roman"/>
        <family val="1"/>
        <charset val="204"/>
      </rPr>
      <t>руб.</t>
    </r>
  </si>
  <si>
    <r>
      <t xml:space="preserve">План. объем финансового обеспечения, </t>
    </r>
    <r>
      <rPr>
        <i/>
        <sz val="10"/>
        <rFont val="Times New Roman"/>
        <family val="1"/>
        <charset val="204"/>
      </rPr>
      <t>тыс.руб.</t>
    </r>
  </si>
  <si>
    <t>Департамент образования</t>
  </si>
  <si>
    <t>бюджет городского округа</t>
  </si>
  <si>
    <t xml:space="preserve"> ежемесячно на учащихся: январь-май, сентябрь-декабрь  </t>
  </si>
  <si>
    <t>январь-декабрь: 58 руб.-завтраки в день, 68 руб. - обеды в день</t>
  </si>
  <si>
    <t>бюджет городского округа, внебюджетные средства</t>
  </si>
  <si>
    <t xml:space="preserve"> ежемесячно: январь-май, сентябрь-декабрь  </t>
  </si>
  <si>
    <t>Департамент информационных технологий и связи(МАУ "МФЦ")</t>
  </si>
  <si>
    <t>ежемесячно</t>
  </si>
  <si>
    <t>ежемесячно: июнь-декабрь</t>
  </si>
  <si>
    <t>830 чел.</t>
  </si>
  <si>
    <t>ВСЕГО по задаче 1, из них по главным распорядителям бюджетных средств:</t>
  </si>
  <si>
    <t xml:space="preserve">Департамент информационных технологий и связи </t>
  </si>
  <si>
    <r>
      <t xml:space="preserve">ежемесячно, </t>
    </r>
    <r>
      <rPr>
        <sz val="10"/>
        <rFont val="Times New Roman"/>
        <family val="1"/>
        <charset val="204"/>
      </rPr>
      <t xml:space="preserve">                      за исключением каникулярного времени,                                           для  учащихся:</t>
    </r>
    <r>
      <rPr>
        <sz val="8"/>
        <rFont val="Times New Roman"/>
        <family val="1"/>
        <charset val="204"/>
      </rPr>
      <t xml:space="preserve"> июнь - август,</t>
    </r>
    <r>
      <rPr>
        <sz val="10"/>
        <rFont val="Times New Roman"/>
        <family val="1"/>
        <charset val="204"/>
      </rPr>
      <t xml:space="preserve">     для студентов: </t>
    </r>
    <r>
      <rPr>
        <sz val="8"/>
        <rFont val="Times New Roman"/>
        <family val="1"/>
        <charset val="204"/>
      </rPr>
      <t>июль - август</t>
    </r>
  </si>
  <si>
    <t>ВСЕГО по задаче 2, из них по главным распорядителям бюджетных средств:</t>
  </si>
  <si>
    <r>
      <t xml:space="preserve">500,0 </t>
    </r>
    <r>
      <rPr>
        <i/>
        <sz val="8"/>
        <rFont val="Times New Roman"/>
        <family val="1"/>
        <charset val="204"/>
      </rPr>
      <t>руб.</t>
    </r>
    <r>
      <rPr>
        <sz val="10"/>
        <rFont val="Times New Roman"/>
        <family val="1"/>
        <charset val="204"/>
      </rPr>
      <t xml:space="preserve"> в месяц</t>
    </r>
  </si>
  <si>
    <t xml:space="preserve">Департамент социального обеспечения </t>
  </si>
  <si>
    <t>ежемесячно (с 4 до 12 месяцев жизни получателя) (8 мес.)</t>
  </si>
  <si>
    <t>ВСЕГО по задаче 3, из них по главным распорядителям бюджетных средств:</t>
  </si>
  <si>
    <t>единовременно</t>
  </si>
  <si>
    <r>
      <t>700 ,0</t>
    </r>
    <r>
      <rPr>
        <i/>
        <sz val="8"/>
        <rFont val="Times New Roman"/>
        <family val="1"/>
        <charset val="204"/>
      </rPr>
      <t>руб.</t>
    </r>
  </si>
  <si>
    <r>
      <t xml:space="preserve">1 </t>
    </r>
    <r>
      <rPr>
        <i/>
        <sz val="8"/>
        <rFont val="Times New Roman"/>
        <family val="1"/>
        <charset val="204"/>
      </rPr>
      <t>чел.</t>
    </r>
    <r>
      <rPr>
        <i/>
        <sz val="10"/>
        <rFont val="Times New Roman"/>
        <family val="1"/>
        <charset val="204"/>
      </rPr>
      <t/>
    </r>
  </si>
  <si>
    <t>750,0 руб. в месяц</t>
  </si>
  <si>
    <r>
      <t xml:space="preserve">ежемесячно </t>
    </r>
    <r>
      <rPr>
        <i/>
        <sz val="10"/>
        <rFont val="Times New Roman"/>
        <family val="1"/>
        <charset val="204"/>
      </rPr>
      <t>в течение года, (+1 Почетный гр-н - 8 мес.)</t>
    </r>
  </si>
  <si>
    <t>14 тыс. руб. в месяц на 1 чел.</t>
  </si>
  <si>
    <t xml:space="preserve">ежемесячно </t>
  </si>
  <si>
    <r>
      <t xml:space="preserve"> 4,5 </t>
    </r>
    <r>
      <rPr>
        <sz val="8"/>
        <rFont val="Times New Roman"/>
        <family val="1"/>
        <charset val="204"/>
      </rPr>
      <t>т.руб. в месяц на 1 чел.</t>
    </r>
  </si>
  <si>
    <t>1000,0 руб. в месяц</t>
  </si>
  <si>
    <r>
      <t xml:space="preserve">50,0 </t>
    </r>
    <r>
      <rPr>
        <i/>
        <sz val="10"/>
        <rFont val="Times New Roman"/>
        <family val="1"/>
        <charset val="204"/>
      </rPr>
      <t>т.руб. на 1 чел.</t>
    </r>
  </si>
  <si>
    <r>
      <t xml:space="preserve">10,0 </t>
    </r>
    <r>
      <rPr>
        <i/>
        <u/>
        <sz val="8"/>
        <rFont val="Times New Roman"/>
        <family val="1"/>
        <charset val="204"/>
      </rPr>
      <t>т.руб.</t>
    </r>
    <r>
      <rPr>
        <u/>
        <sz val="10"/>
        <rFont val="Times New Roman"/>
        <family val="1"/>
        <charset val="204"/>
      </rPr>
      <t xml:space="preserve"> на 1 чел.</t>
    </r>
    <r>
      <rPr>
        <sz val="10"/>
        <rFont val="Times New Roman"/>
        <family val="1"/>
        <charset val="204"/>
      </rPr>
      <t xml:space="preserve"> </t>
    </r>
  </si>
  <si>
    <t>бюджет городского округа; бюджет Самарской области</t>
  </si>
  <si>
    <t>ВСЕГО по задаче 4, из них по главным распорядителям бюджетных средств:</t>
  </si>
  <si>
    <t>бесплатное питание:       232,16 руб.              льготное питание:   185,73 руб.</t>
  </si>
  <si>
    <t>2 заявителя на заключение договора ренты / 2 умерших рентополучателя</t>
  </si>
  <si>
    <t>36000 руб. -  оплата услуг, связанных  с заключением договоров ренты  / 25000 руб. - оплата ритуальных услуг на 1 чел.</t>
  </si>
  <si>
    <t>1,5 тыс.руб</t>
  </si>
  <si>
    <r>
      <t xml:space="preserve">700,0 </t>
    </r>
    <r>
      <rPr>
        <i/>
        <sz val="8"/>
        <rFont val="Times New Roman"/>
        <family val="1"/>
        <charset val="204"/>
      </rPr>
      <t>руб.</t>
    </r>
  </si>
  <si>
    <r>
      <t xml:space="preserve">8 </t>
    </r>
    <r>
      <rPr>
        <i/>
        <sz val="8"/>
        <rFont val="Times New Roman"/>
        <family val="1"/>
        <charset val="204"/>
      </rPr>
      <t>чел.</t>
    </r>
    <r>
      <rPr>
        <i/>
        <sz val="10"/>
        <color indexed="8"/>
        <rFont val="Times New Roman"/>
        <family val="1"/>
        <charset val="204"/>
      </rPr>
      <t/>
    </r>
  </si>
  <si>
    <r>
      <t xml:space="preserve">5 </t>
    </r>
    <r>
      <rPr>
        <i/>
        <sz val="10"/>
        <rFont val="Times New Roman"/>
        <family val="1"/>
        <charset val="204"/>
      </rPr>
      <t>чел.</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</si>
  <si>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</si>
  <si>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ТЖС - 1,5 т.руб. - средний размер выплаты 1 получателю,  ЧО - 9 т.руб. - средний размер выплаты 1 получателю</t>
  </si>
  <si>
    <t xml:space="preserve">237 получателей, в т.ч.: ТЖС - 191 получателей, ЧО - 46 получателей </t>
  </si>
  <si>
    <t>660 руб.</t>
  </si>
  <si>
    <t>1 мер.</t>
  </si>
  <si>
    <t>2 мер.</t>
  </si>
  <si>
    <t>166 чел.</t>
  </si>
  <si>
    <t>971  руб.  средний размер расходов на обеспечение 1 получателя адаптированной молочной смесью в месяц</t>
  </si>
  <si>
    <r>
      <t xml:space="preserve">700 ,0 </t>
    </r>
    <r>
      <rPr>
        <i/>
        <sz val="8"/>
        <rFont val="Times New Roman"/>
        <family val="1"/>
        <charset val="204"/>
      </rPr>
      <t>руб.</t>
    </r>
  </si>
  <si>
    <t>3 чел.</t>
  </si>
  <si>
    <t>субвенции областного бюджета</t>
  </si>
  <si>
    <t xml:space="preserve"> Потребность в финансовом обеспечении муниципальной программы</t>
  </si>
  <si>
    <t>2020 год</t>
  </si>
  <si>
    <t>2021год</t>
  </si>
  <si>
    <t>2022 год</t>
  </si>
  <si>
    <t xml:space="preserve">7 чел. </t>
  </si>
  <si>
    <r>
      <t xml:space="preserve">50,0 </t>
    </r>
    <r>
      <rPr>
        <i/>
        <u/>
        <sz val="8"/>
        <rFont val="Times New Roman"/>
        <family val="1"/>
        <charset val="204"/>
      </rPr>
      <t>т.руб.</t>
    </r>
    <r>
      <rPr>
        <u/>
        <sz val="10"/>
        <rFont val="Times New Roman"/>
        <family val="1"/>
        <charset val="204"/>
      </rPr>
      <t xml:space="preserve"> на 1 чел.</t>
    </r>
    <r>
      <rPr>
        <sz val="10"/>
        <rFont val="Times New Roman"/>
        <family val="1"/>
        <charset val="204"/>
      </rPr>
      <t xml:space="preserve"> </t>
    </r>
  </si>
  <si>
    <t xml:space="preserve">9876 чел. </t>
  </si>
  <si>
    <t xml:space="preserve">10 216 чел. </t>
  </si>
  <si>
    <t xml:space="preserve">5975чел. * 340,11 руб. * 12 мес. = 24386 тыс. руб., 340 чел. * 343,74 руб. * 6 мес. = 701 тыс. руб.,3561 чел.*63,14 руб *12 мес.=2699 тыс.руб.
</t>
  </si>
  <si>
    <t xml:space="preserve">9876чел. * 332,61 руб. * 12 мес. = 39419 тыс. руб.,340 чел.*343,74 руб *6 мес.=701 тыс.руб.
</t>
  </si>
  <si>
    <t>385 чел.,               в т.ч.: учащ-ся - 190 чел., студенты -     195 чел.</t>
  </si>
  <si>
    <t>учащ-ся - 600,0 руб., студенты -           840,0 руб.</t>
  </si>
  <si>
    <t>1315 чел.</t>
  </si>
  <si>
    <t>1 чел.</t>
  </si>
  <si>
    <t xml:space="preserve">215 чел. </t>
  </si>
  <si>
    <t>165 руб. (в среднем в месяц)</t>
  </si>
  <si>
    <t>11000 на 1 чел.                     (без учета областного софинансирования)</t>
  </si>
  <si>
    <r>
      <rPr>
        <i/>
        <sz val="11"/>
        <color indexed="8"/>
        <rFont val="Times New Roman"/>
        <family val="1"/>
        <charset val="204"/>
      </rPr>
      <t>585</t>
    </r>
    <r>
      <rPr>
        <i/>
        <sz val="10"/>
        <color indexed="8"/>
        <rFont val="Times New Roman"/>
        <family val="1"/>
        <charset val="204"/>
      </rPr>
      <t xml:space="preserve"> чел.</t>
    </r>
  </si>
  <si>
    <r>
      <t xml:space="preserve">660 </t>
    </r>
    <r>
      <rPr>
        <i/>
        <sz val="8"/>
        <color indexed="8"/>
        <rFont val="Times New Roman"/>
        <family val="1"/>
        <charset val="204"/>
      </rPr>
      <t>руб.</t>
    </r>
  </si>
  <si>
    <t>17250руб. средний платеж по договору ренты в месяц (включая услуги по уходу)</t>
  </si>
  <si>
    <r>
      <rPr>
        <i/>
        <sz val="8"/>
        <rFont val="Times New Roman"/>
        <family val="1"/>
        <charset val="204"/>
      </rPr>
      <t>8 чел.</t>
    </r>
    <r>
      <rPr>
        <i/>
        <sz val="10"/>
        <color indexed="8"/>
        <rFont val="Times New Roman"/>
        <family val="1"/>
        <charset val="204"/>
      </rPr>
      <t/>
    </r>
  </si>
  <si>
    <t>4 квартал</t>
  </si>
  <si>
    <t>2 квартал</t>
  </si>
  <si>
    <t>3 квартал</t>
  </si>
  <si>
    <t xml:space="preserve">10000 руб. </t>
  </si>
  <si>
    <t>100% ч/з кред. орг.</t>
  </si>
  <si>
    <t>ежемесячно: январь - май, сентябрь - декабрь</t>
  </si>
  <si>
    <t>86 чел.</t>
  </si>
  <si>
    <t>1000,0 руб.
 в месяц</t>
  </si>
  <si>
    <t xml:space="preserve">Предоставление ежемесячной денежной выплаты на проезд для отдельных категорий граждан из числа инвалидов </t>
  </si>
  <si>
    <t>4.14.</t>
  </si>
  <si>
    <t>Департамент социального обеспечения**</t>
  </si>
  <si>
    <t>1.5.</t>
  </si>
  <si>
    <t>9.</t>
  </si>
  <si>
    <t>10.1.</t>
  </si>
  <si>
    <t>11.2.</t>
  </si>
  <si>
    <t>ВСЕГО по задаче 12:</t>
  </si>
  <si>
    <t>ВСЕГО по задаче 9, из них по главным распорядителям бюджетных средств:</t>
  </si>
  <si>
    <t>2023 год</t>
  </si>
  <si>
    <t>2024 год</t>
  </si>
  <si>
    <t>2020-2024</t>
  </si>
  <si>
    <t>100 семей</t>
  </si>
  <si>
    <t>20000 руб.</t>
  </si>
  <si>
    <r>
      <t xml:space="preserve">сумма затрат на 1 чел. (1 усл.ед.),  </t>
    </r>
    <r>
      <rPr>
        <i/>
        <sz val="8"/>
        <rFont val="Times New Roman"/>
        <family val="1"/>
        <charset val="204"/>
      </rPr>
      <t>руб.</t>
    </r>
  </si>
  <si>
    <t>Наименование целей, задач и  мероприятий муниципальной программы</t>
  </si>
  <si>
    <t>Ответтвенный исполнитель</t>
  </si>
  <si>
    <t>95 чел.</t>
  </si>
  <si>
    <r>
      <t xml:space="preserve">1200,0 </t>
    </r>
    <r>
      <rPr>
        <i/>
        <sz val="8"/>
        <rFont val="Times New Roman"/>
        <family val="1"/>
        <charset val="204"/>
      </rPr>
      <t>руб.</t>
    </r>
  </si>
  <si>
    <t>8.</t>
  </si>
  <si>
    <t>8.1</t>
  </si>
  <si>
    <t>9.1.</t>
  </si>
  <si>
    <t>10.2.</t>
  </si>
  <si>
    <t>11.3.</t>
  </si>
  <si>
    <t>ВСЕГО по задаче 11:</t>
  </si>
  <si>
    <t>12.1.1.</t>
  </si>
  <si>
    <t>12.1.2.</t>
  </si>
  <si>
    <t xml:space="preserve">13.3. </t>
  </si>
  <si>
    <t>20 семей</t>
  </si>
  <si>
    <t>Департамент информационных технологий и связи(МАУ "МФЦ"), Управление муниципально службы и кадровой политики (УМСиКП)</t>
  </si>
  <si>
    <t>Департамент информационных технологий и связи(МАУ "МФЦ"), Управление физической культуры и спорта</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</si>
  <si>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</si>
  <si>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500 000 руб.</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</si>
  <si>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</si>
  <si>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</si>
  <si>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</si>
  <si>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</si>
  <si>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</si>
  <si>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Предоставление ежемесячной денежной выплаты на питание учащимся, осваивающим образовательные программы начального общего, основного общего или среднего общего образования в муниципальных образовательных учреждениях городского округа Тольятти</t>
  </si>
  <si>
    <t xml:space="preserve"> Предоставление ежемесячной денежной выплаты Почетным гражданам городского округа Тольятти</t>
  </si>
  <si>
    <t xml:space="preserve"> Предоставление единовременной денежной выплаты на оплату оздоровительных услуг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</si>
  <si>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</si>
  <si>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Выплата ренты по договорам  пожизненной ренты</t>
  </si>
  <si>
    <t>Департамент информационных технологий и связи(МАУ "МФЦ"), Департамент социального обеспечения</t>
  </si>
  <si>
    <t xml:space="preserve">Предоставление единовременного пособия гражданам в связи с рождением детей в День исторического рождения города Тольятти (20 июня)
</t>
  </si>
  <si>
    <t>Предоставление единовременного пособия на первоочередные нужды</t>
  </si>
  <si>
    <t>Предоставление единовременного пособия в связи с принятием ребенка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</si>
  <si>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</si>
  <si>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</si>
  <si>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</si>
  <si>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11.4.</t>
  </si>
  <si>
    <t>11.5.</t>
  </si>
  <si>
    <t>11.6.</t>
  </si>
  <si>
    <t>11.7.</t>
  </si>
  <si>
    <t xml:space="preserve"> Предоставление ежемесячного пособия на содержание ребенка, переданного на воспитание в приемную семью, на патронатное воспитание </t>
  </si>
  <si>
    <t>ком.сбор: кред.орг.- не более 2,5% ч/з почт. отд. , 0,4% ч/з банк</t>
  </si>
  <si>
    <t xml:space="preserve"> год комиссия по хадаче 13</t>
  </si>
  <si>
    <t xml:space="preserve">48тыс. В </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</si>
  <si>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</si>
  <si>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Организация бесплатного питания, льготного питания  учащимся, осваивающим образовательные программы начального общего,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</si>
  <si>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</si>
  <si>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Задача: 2 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</si>
  <si>
    <t>Задача: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и адаптированных молочных смесей</t>
  </si>
  <si>
    <t>Задача:  4 Предоставление социальных выплат гражданам, имеющим особые заслуги перед сообществом</t>
  </si>
  <si>
    <t>Задача:  5 Предоставление дополнительных мер социальной поддержки спортсменам высокого класса, тренерам, подготовившим спортсменов высокого класса, бывшим работникам физкультурно-спортивных организаций</t>
  </si>
  <si>
    <t>Задача:  6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</si>
  <si>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7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</si>
  <si>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r>
      <t xml:space="preserve">Задача: </t>
    </r>
    <r>
      <rPr>
        <sz val="14"/>
        <rFont val="Times New Roman"/>
        <family val="1"/>
        <charset val="204"/>
      </rPr>
      <t xml:space="preserve"> 8 Обеспечение условия для реализации дополнительных мер социальной поддрежки населения</t>
    </r>
  </si>
  <si>
    <r>
      <t>Задача:</t>
    </r>
    <r>
      <rPr>
        <sz val="14"/>
        <rFont val="Times New Roman"/>
        <family val="1"/>
        <charset val="204"/>
      </rPr>
      <t>9 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</si>
  <si>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rFont val="Times New Roman"/>
        <family val="1"/>
        <charset val="204"/>
      </rPr>
      <t xml:space="preserve"> 10 Предоставление дополнительных мер социальной поддержки для отдельных категорий граждан из числа инвалидов </t>
    </r>
  </si>
  <si>
    <r>
      <t xml:space="preserve">Задача: </t>
    </r>
    <r>
      <rPr>
        <sz val="14"/>
        <rFont val="Times New Roman"/>
        <family val="1"/>
        <charset val="204"/>
      </rPr>
      <t xml:space="preserve"> 12 Популяризация семейных ценностей.</t>
    </r>
  </si>
  <si>
    <r>
      <t xml:space="preserve">Задача: </t>
    </r>
    <r>
      <rPr>
        <sz val="14"/>
        <rFont val="Times New Roman"/>
        <family val="1"/>
        <charset val="204"/>
      </rPr>
      <t xml:space="preserve"> 13 Финансовая поддержка семей при рождении детей</t>
    </r>
  </si>
  <si>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</si>
  <si>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Оплата расходов, связанных с заключением и сопровождением договоров пожизненной ренты </t>
  </si>
  <si>
    <t>14.</t>
  </si>
  <si>
    <t>14.1.</t>
  </si>
  <si>
    <t>14.2.</t>
  </si>
  <si>
    <t>Департамент информационных технологий и связи ( МАУ МФЦ),Департамент образования</t>
  </si>
  <si>
    <t xml:space="preserve">1000 руб.в мес </t>
  </si>
  <si>
    <t>14.3.</t>
  </si>
  <si>
    <t>8 чел.</t>
  </si>
  <si>
    <t>330 чел в т.ч. дети до 3- лет 100 чел., от 3-х до 7 лет 230 чел.</t>
  </si>
  <si>
    <t xml:space="preserve">540 чел </t>
  </si>
  <si>
    <t>60000,0 руб в мес.</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</si>
  <si>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</si>
  <si>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</si>
  <si>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r>
      <t xml:space="preserve">Задача: </t>
    </r>
    <r>
      <rPr>
        <sz val="14"/>
        <rFont val="Times New Roman"/>
        <family val="1"/>
        <charset val="204"/>
      </rPr>
      <t xml:space="preserve"> 15:  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r>
  </si>
  <si>
    <t>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</si>
  <si>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4142 выплаты</t>
  </si>
  <si>
    <t>4100 выплаты</t>
  </si>
  <si>
    <t>1314,0 руб. на человека</t>
  </si>
  <si>
    <t>15.1.</t>
  </si>
  <si>
    <t>март-май, сентябрь-ноябрь</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</si>
  <si>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на возмещение затрат на присмотр и уход за детьми-инвалидами, детьми-сиротами и детьми, оставшимися без попечения родителей, а также за детьми с туберкулезной интоксикацией</t>
  </si>
  <si>
    <t xml:space="preserve">77 чел. </t>
  </si>
  <si>
    <t>1.7.</t>
  </si>
  <si>
    <t>Предоставление субсидий социально ориентированным некоммерческим организациям, не являющимся государственными и (муниципальными) учреждениями, реализующими основную общеобразовательную программу дошкольного образования, в целях возмещения затрат на предоставление бесплатного двухразового питания (завтрак, обед) для обучающихся с ограниченными возможностями здоровья</t>
  </si>
  <si>
    <t>1098 чел.</t>
  </si>
  <si>
    <t>1098 чел в т.ч. дети до 3- лет 22 чел., от 3-х до 7 лет 1076 чел.</t>
  </si>
  <si>
    <t xml:space="preserve">  77 чел в т.ч. дети до 3- лет 5 чел., от 3-х до 7 лет 72 чел.</t>
  </si>
  <si>
    <t>Предоставление врачам государственных учреждений здравоохранения Самарской области, расположенных на территории городского округа Тольятти, компенсационных денежных выплат части родительской платы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</si>
  <si>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</si>
  <si>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Задача: 1 Предоставление дополнительных мер социальной поддержки учащимся, осваивающим образовательные программы начального общего, основного общего или среднего общего образования в муниципальных  и не муниципальных образовательных учреждениях городского округа Тольятти, а также отдельным категориям граждан, имеющим детей, посещающих муниципальные и не муниципальные  образовательные учреждения городского округа Тольятти, реализующие образовательную программу дошкольного образования</t>
  </si>
  <si>
    <t xml:space="preserve">категории получателей по 2000 руб. - участники ВОВ, бывшие узники концлагерей; категории получателей по 300 руб. - труженники тыла и другие установленные категории </t>
  </si>
  <si>
    <r>
      <t xml:space="preserve">4 </t>
    </r>
    <r>
      <rPr>
        <i/>
        <sz val="8"/>
        <rFont val="Times New Roman"/>
        <family val="1"/>
        <charset val="204"/>
      </rPr>
      <t>чел.</t>
    </r>
    <r>
      <rPr>
        <i/>
        <sz val="10"/>
        <rFont val="Times New Roman"/>
        <family val="1"/>
        <charset val="204"/>
      </rPr>
      <t/>
    </r>
  </si>
  <si>
    <t>Дети до 3- лет 36,58 руб., от 3-х до 7 лет - 44,21 руб.</t>
  </si>
  <si>
    <r>
      <t xml:space="preserve">177 </t>
    </r>
    <r>
      <rPr>
        <i/>
        <sz val="8"/>
        <rFont val="Times New Roman"/>
        <family val="1"/>
        <charset val="204"/>
      </rPr>
      <t>чел.</t>
    </r>
    <r>
      <rPr>
        <i/>
        <sz val="10"/>
        <rFont val="Times New Roman"/>
        <family val="1"/>
        <charset val="204"/>
      </rPr>
      <t/>
    </r>
  </si>
  <si>
    <t>4775 получателей, в т.ч. категории получателей по 2000 руб. - 420 чел.; категории получателей по 300 руб. - 4355 чел. средний размер выплаты 750 руб.</t>
  </si>
  <si>
    <t>1600 руб. (в среднем в месяц)</t>
  </si>
  <si>
    <t>Предоставление ежемесячной денежной выплаты на питание учашимся , осваивающим образовательные программы начального общего, основного общего или среднего общего образования в муниципальных учреждениях городского  округа Тольятти ( в период их пребывания в профильных лагерях, организованных на базе данных учреждений).</t>
  </si>
  <si>
    <t>1630 чел в т.ч. дети до 3- лет 230 чел., от 3-х до 7 лет 1400 чел.</t>
  </si>
  <si>
    <r>
      <t xml:space="preserve">6054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-1423 </t>
    </r>
    <r>
      <rPr>
        <i/>
        <sz val="8"/>
        <rFont val="Times New Roman"/>
        <family val="1"/>
        <charset val="204"/>
      </rPr>
      <t>чел.</t>
    </r>
    <r>
      <rPr>
        <i/>
        <sz val="10"/>
        <rFont val="Times New Roman"/>
        <family val="1"/>
        <charset val="204"/>
      </rPr>
      <t>,</t>
    </r>
    <r>
      <rPr>
        <sz val="10"/>
        <rFont val="Times New Roman"/>
        <family val="1"/>
        <charset val="204"/>
      </rPr>
      <t xml:space="preserve"> обеды -4631 </t>
    </r>
    <r>
      <rPr>
        <i/>
        <sz val="8"/>
        <rFont val="Times New Roman"/>
        <family val="1"/>
        <charset val="204"/>
      </rPr>
      <t>чел.</t>
    </r>
    <r>
      <rPr>
        <i/>
        <sz val="10"/>
        <rFont val="Times New Roman"/>
        <family val="1"/>
        <charset val="204"/>
      </rPr>
      <t xml:space="preserve">, </t>
    </r>
    <r>
      <rPr>
        <sz val="10"/>
        <rFont val="Times New Roman"/>
        <family val="1"/>
        <charset val="204"/>
      </rPr>
      <t xml:space="preserve">(из них: льготн. - 4188 </t>
    </r>
    <r>
      <rPr>
        <i/>
        <sz val="8"/>
        <rFont val="Times New Roman"/>
        <family val="1"/>
        <charset val="204"/>
      </rPr>
      <t>чел.</t>
    </r>
    <r>
      <rPr>
        <sz val="8"/>
        <rFont val="Times New Roman"/>
        <family val="1"/>
        <charset val="204"/>
      </rPr>
      <t>,</t>
    </r>
    <r>
      <rPr>
        <sz val="10"/>
        <rFont val="Times New Roman"/>
        <family val="1"/>
        <charset val="204"/>
      </rPr>
      <t xml:space="preserve"> беспл. - 1866 </t>
    </r>
    <r>
      <rPr>
        <i/>
        <sz val="8"/>
        <rFont val="Times New Roman"/>
        <family val="1"/>
        <charset val="204"/>
      </rPr>
      <t>чел.</t>
    </r>
    <r>
      <rPr>
        <sz val="10"/>
        <rFont val="Times New Roman"/>
        <family val="1"/>
        <charset val="204"/>
      </rPr>
      <t>)</t>
    </r>
  </si>
  <si>
    <r>
      <t xml:space="preserve">1782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-418 </t>
    </r>
    <r>
      <rPr>
        <i/>
        <sz val="8"/>
        <rFont val="Times New Roman"/>
        <family val="1"/>
        <charset val="204"/>
      </rPr>
      <t>чел.</t>
    </r>
    <r>
      <rPr>
        <i/>
        <sz val="10"/>
        <rFont val="Times New Roman"/>
        <family val="1"/>
        <charset val="204"/>
      </rPr>
      <t>,</t>
    </r>
    <r>
      <rPr>
        <sz val="10"/>
        <rFont val="Times New Roman"/>
        <family val="1"/>
        <charset val="204"/>
      </rPr>
      <t xml:space="preserve"> обеды -1364 </t>
    </r>
    <r>
      <rPr>
        <i/>
        <sz val="8"/>
        <rFont val="Times New Roman"/>
        <family val="1"/>
        <charset val="204"/>
      </rPr>
      <t>чел.</t>
    </r>
    <r>
      <rPr>
        <i/>
        <sz val="10"/>
        <rFont val="Times New Roman"/>
        <family val="1"/>
        <charset val="204"/>
      </rPr>
      <t xml:space="preserve">, </t>
    </r>
    <r>
      <rPr>
        <sz val="10"/>
        <rFont val="Times New Roman"/>
        <family val="1"/>
        <charset val="204"/>
      </rPr>
      <t>(из них: льготн. - 1236 че</t>
    </r>
    <r>
      <rPr>
        <i/>
        <sz val="8"/>
        <rFont val="Times New Roman"/>
        <family val="1"/>
        <charset val="204"/>
      </rPr>
      <t>л.</t>
    </r>
    <r>
      <rPr>
        <sz val="8"/>
        <rFont val="Times New Roman"/>
        <family val="1"/>
        <charset val="204"/>
      </rPr>
      <t>,</t>
    </r>
    <r>
      <rPr>
        <sz val="10"/>
        <rFont val="Times New Roman"/>
        <family val="1"/>
        <charset val="204"/>
      </rPr>
      <t xml:space="preserve"> беспл. - 545 </t>
    </r>
    <r>
      <rPr>
        <i/>
        <sz val="8"/>
        <rFont val="Times New Roman"/>
        <family val="1"/>
        <charset val="204"/>
      </rPr>
      <t>чел.</t>
    </r>
    <r>
      <rPr>
        <sz val="10"/>
        <rFont val="Times New Roman"/>
        <family val="1"/>
        <charset val="204"/>
      </rPr>
      <t>)</t>
    </r>
  </si>
  <si>
    <t>211 чел.</t>
  </si>
  <si>
    <t>2300руб. усредненный размер выплаты в месяц</t>
  </si>
  <si>
    <t xml:space="preserve">235 чел. </t>
  </si>
  <si>
    <t>157 выплат</t>
  </si>
  <si>
    <t>55 выплат</t>
  </si>
  <si>
    <t>106 выплат</t>
  </si>
  <si>
    <t>56 выплат</t>
  </si>
  <si>
    <t>188 выплат</t>
  </si>
  <si>
    <t>70 выплат</t>
  </si>
  <si>
    <t>100 выплат</t>
  </si>
  <si>
    <t>30 выплат</t>
  </si>
  <si>
    <t>3 выплаты</t>
  </si>
  <si>
    <t>190 выплат</t>
  </si>
  <si>
    <t xml:space="preserve">13.2. </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</si>
  <si>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</si>
  <si>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</si>
  <si>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</si>
  <si>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30000,0 руб в мес.</t>
  </si>
  <si>
    <t>Предоставление единовременной денежной  выплаты  на улучшение жилищниых условий при рождении (усыновлении) седьмого и последующих детей</t>
  </si>
  <si>
    <t xml:space="preserve">Предоставление единовременной денежной выплаты при рождении двух и более детей в случае многоплодной беременности </t>
  </si>
  <si>
    <t xml:space="preserve">Единовременная денежная выплата к памятной дате России - Дню участников ликвидации последствий радиационных аварий и катастроф и памяти жертв этих аварий и катастроф (26 апреля) </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</si>
  <si>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</si>
  <si>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</si>
  <si>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55000 руб.  на 1 чел.                   </t>
  </si>
  <si>
    <t>168 чел.</t>
  </si>
  <si>
    <t>586чел.</t>
  </si>
  <si>
    <r>
      <rPr>
        <i/>
        <sz val="11"/>
        <color indexed="8"/>
        <rFont val="Times New Roman"/>
        <family val="1"/>
        <charset val="204"/>
      </rPr>
      <t>586</t>
    </r>
    <r>
      <rPr>
        <i/>
        <sz val="10"/>
        <color indexed="8"/>
        <rFont val="Times New Roman"/>
        <family val="1"/>
        <charset val="204"/>
      </rPr>
      <t xml:space="preserve"> чел.</t>
    </r>
  </si>
  <si>
    <t>30000 руб. -  оплата услуг, связанных  с заключением договоров ренты  / 28000 руб. - оплата ритуальных услуг на 1 чел.</t>
  </si>
  <si>
    <t xml:space="preserve">41 чел </t>
  </si>
  <si>
    <t>11.8.</t>
  </si>
  <si>
    <t xml:space="preserve">Департамент информационных технологий и связи(МАУ "МФЦ"), Департамент социального обеспечения </t>
  </si>
  <si>
    <t>бюжет Самарской области</t>
  </si>
  <si>
    <t>1 выплата</t>
  </si>
  <si>
    <t>238,0 тыс. руб.</t>
  </si>
  <si>
    <t>500 руб. на 1 чел.</t>
  </si>
  <si>
    <r>
      <t xml:space="preserve">6362 </t>
    </r>
    <r>
      <rPr>
        <sz val="8"/>
        <color theme="1"/>
        <rFont val="Times New Roman"/>
        <family val="1"/>
        <charset val="204"/>
      </rPr>
      <t>чел</t>
    </r>
  </si>
  <si>
    <t>3000 человекодней</t>
  </si>
  <si>
    <t>3.2.</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</si>
  <si>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</si>
  <si>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бесплатное питание:       280,0 руб.              льготное питание:   280,0 руб.( в.т.ч. 20% внебюджет)</t>
  </si>
  <si>
    <t>993 чел. в т.ч. - 543 чел *21 день*280 руб.; 450 чел*7 дней*280 руб.</t>
  </si>
  <si>
    <t>ежемесячно (ежедневная выплата за 180 дней посещения в год)</t>
  </si>
  <si>
    <r>
      <t xml:space="preserve">ПГ - 20 </t>
    </r>
    <r>
      <rPr>
        <i/>
        <sz val="8"/>
        <rFont val="Times New Roman"/>
        <family val="1"/>
        <charset val="204"/>
      </rPr>
      <t>чел. (19 чел.*12 мес,  1 чел.*8 мес.)</t>
    </r>
  </si>
  <si>
    <t>298 чел.</t>
  </si>
  <si>
    <t>113 чел.*12 мес. ; 1 чел. *6 мес.</t>
  </si>
  <si>
    <t>коэф. 1 - 3949,0 руб.; коэф. 2 - 5923,50 руб.; коэф. 3 - 7898,0 руб.</t>
  </si>
  <si>
    <t>4481 выплата</t>
  </si>
  <si>
    <t xml:space="preserve">Приложение 3 к муниципальной программе "Создание условий для улучшения качества жизни жителей городского округа Тольятти" на 2020-2024 годы 
</t>
  </si>
  <si>
    <t xml:space="preserve">Приложение №3 к Постановлению администрации городского                 округа  Тольятти от                      №                    </t>
  </si>
  <si>
    <t>4 выплаты</t>
  </si>
  <si>
    <t>Задача: 11 Создание благоприятных условий для содержания и воспитания детей-сирот и детей, оставшихся без попечения родителей, находящихся на воспитании в семье (под опекой, попечительством или в приемной семье), и поддержания детей-сирот, детей, оставшихся без попечения родителей, а также лиц из числа детей-сирот и детей, оставшихся без попечения родителей, в т.ч. ранее находившихся на воспитании в семьях (под опекой, попечительством или в приемной семье)</t>
  </si>
  <si>
    <t>Департамент социального обеспечения, Департамент информационных технологий и связи(МАУ "МФЦ"), Департамент городского хозяйства</t>
  </si>
  <si>
    <t>515 чел.</t>
  </si>
  <si>
    <t xml:space="preserve">Осуществление денежных выплат на вознаграждение, причитающееся приёмным родителям, патронатным воспитателям </t>
  </si>
  <si>
    <t xml:space="preserve"> (815 семей)1058 чел в т.ч. дети до 3- лет 114 чел., от 3-х до 7 лет 944 чел.</t>
  </si>
  <si>
    <r>
      <t xml:space="preserve">7 </t>
    </r>
    <r>
      <rPr>
        <i/>
        <sz val="8"/>
        <color rgb="FFFF0000"/>
        <rFont val="Times New Roman"/>
        <family val="1"/>
        <charset val="204"/>
      </rPr>
      <t>чел.</t>
    </r>
    <r>
      <rPr>
        <i/>
        <sz val="10"/>
        <rFont val="Times New Roman"/>
        <family val="1"/>
        <charset val="204"/>
      </rPr>
      <t/>
    </r>
  </si>
  <si>
    <r>
      <t xml:space="preserve">10,0 </t>
    </r>
    <r>
      <rPr>
        <i/>
        <u/>
        <sz val="8"/>
        <color rgb="FFFF0000"/>
        <rFont val="Times New Roman"/>
        <family val="1"/>
        <charset val="204"/>
      </rPr>
      <t>т.руб.</t>
    </r>
    <r>
      <rPr>
        <u/>
        <sz val="10"/>
        <color rgb="FFFF0000"/>
        <rFont val="Times New Roman"/>
        <family val="1"/>
        <charset val="204"/>
      </rPr>
      <t xml:space="preserve"> на 1 чел.</t>
    </r>
    <r>
      <rPr>
        <sz val="10"/>
        <color rgb="FFFF0000"/>
        <rFont val="Times New Roman"/>
        <family val="1"/>
        <charset val="204"/>
      </rPr>
      <t xml:space="preserve"> </t>
    </r>
  </si>
  <si>
    <t>39 чел.(спор. выс. класса)*1,5 тыс.руб.  в мес., 14чел. ( тренера, подг. спор. выс. класса)*1,5 тыс. руб., 13 чел (быв. работ. спор. орг-ий) * 1,0 тыс. руб</t>
  </si>
  <si>
    <r>
      <t xml:space="preserve">7 </t>
    </r>
    <r>
      <rPr>
        <i/>
        <sz val="8"/>
        <color rgb="FFFF0000"/>
        <rFont val="Times New Roman"/>
        <family val="1"/>
        <charset val="204"/>
      </rPr>
      <t>чел.</t>
    </r>
    <r>
      <rPr>
        <i/>
        <sz val="10"/>
        <color indexed="8"/>
        <rFont val="Times New Roman"/>
        <family val="1"/>
        <charset val="204"/>
      </rPr>
      <t/>
    </r>
  </si>
  <si>
    <t>ком.сбор: кред.орг.- не более 2,5% ч/з почт. отд. , 0,7% ч/з банк</t>
  </si>
  <si>
    <t>Общий объем финансового обеспечения, тыс.руб.</t>
  </si>
  <si>
    <t>сумма затрат на 1 чел. (1 усл.ед.),  руб.</t>
  </si>
  <si>
    <t>План. объем финансового обеспечения, тыс.руб.</t>
  </si>
  <si>
    <t>сумма затрат на 1 чел. (1 усл.ед.), руб.</t>
  </si>
  <si>
    <t>1. </t>
  </si>
  <si>
    <t>6054 чел., в т.ч.: завтраки -2439 чел., обеды -3615 чел., (из них: льготн. - 4188 чел., беспл. - 1866 чел.)</t>
  </si>
  <si>
    <t>6054 чел., в т.ч.: завтраки -1423 чел., обеды -4631 чел., (из них: льготн. - 4188 чел., беспл. - 1866 чел.)</t>
  </si>
  <si>
    <t>1782 чел., в т.ч.: завтраки -718 чел., обеды -1064 чел., (из них: льготн. - 1236 чел., беспл. - 546 чел.)</t>
  </si>
  <si>
    <t>1782 чел., в т.ч.: завтраки -418 чел., обеды -1364 чел., (из них: льготн. - 1236 чел., беспл. - 545 чел.)</t>
  </si>
  <si>
    <t>2. </t>
  </si>
  <si>
    <t>ежемесячно,                       за исключением каникулярного времени,                                           для  учащихся: июнь - август,     для студентов: июль - август</t>
  </si>
  <si>
    <t>3. </t>
  </si>
  <si>
    <t>500,0 руб. в месяц</t>
  </si>
  <si>
    <t>4. </t>
  </si>
  <si>
    <t>6362 чел</t>
  </si>
  <si>
    <t>177 чел.</t>
  </si>
  <si>
    <t>700 ,0руб.</t>
  </si>
  <si>
    <t>700 ,0 руб.</t>
  </si>
  <si>
    <t xml:space="preserve">Единовременная денежная выплата ко дню воинской славы России - Дню Победы советского народа в Великой Отечественной войне 1941-1945 годов (9 мая) </t>
  </si>
  <si>
    <t>700,0 руб.</t>
  </si>
  <si>
    <t>1200,0 руб.</t>
  </si>
  <si>
    <t>ежемесячно в течение года, (+1 Почетный гр-н - 8 мес.)</t>
  </si>
  <si>
    <t>ПГ - 20 чел. (19 чел.*12 мес,  1 чел.*8 мес.)</t>
  </si>
  <si>
    <t xml:space="preserve"> 4,5 т.руб. в месяц на 1 чел.</t>
  </si>
  <si>
    <t>50,0 т.руб. на 1 чел.</t>
  </si>
  <si>
    <t xml:space="preserve">50,0 т.руб. на 1 чел. </t>
  </si>
  <si>
    <t>4 чел.</t>
  </si>
  <si>
    <t xml:space="preserve">10,0 т.руб. на 1 чел. </t>
  </si>
  <si>
    <t>5 чел.</t>
  </si>
  <si>
    <t>586 чел.</t>
  </si>
  <si>
    <t>585 чел.</t>
  </si>
  <si>
    <t>5. </t>
  </si>
  <si>
    <t>41 чел.(спор. выс. класса)*1,5 тыс.руб.  в мес., 17 чел. ( тренера, подг. спор. выс. класса)*1,5 тыс. руб., 17 чел (быв. работ. спор. орг-ий) * 1,0 тыс. руб</t>
  </si>
  <si>
    <t>6. </t>
  </si>
  <si>
    <t>единовременно                         в течение одного календарного года</t>
  </si>
  <si>
    <t>7. </t>
  </si>
  <si>
    <t>Задача:  8 Обеспечение условия для реализации дополнительных мер социальной поддрежки населения</t>
  </si>
  <si>
    <t>Задача:9 Предоставление дополнительных мер социальной поддержки отдельным категориям граждан в виде ежемесячной денежной выплаты к пенсии</t>
  </si>
  <si>
    <t xml:space="preserve">Задача:  10 Предоставление дополнительных мер социальной поддержки для отдельных категорий граждан из числа инвалидов </t>
  </si>
  <si>
    <t>4122 выплаты.</t>
  </si>
  <si>
    <t>Задача:  12 Популяризация семейных ценностей.</t>
  </si>
  <si>
    <t>Задача:  13 Финансовая поддержка семей при рождении детей</t>
  </si>
  <si>
    <t xml:space="preserve">Задача:  14: Создание условий для обеспечения квалифицированными медицинскими кадрами  государственных учреждений здравоохранения расположенных на территории городского округа Тольятти </t>
  </si>
  <si>
    <t>Задача:  15:  Предоставление дополнительных мер социальной поддержки для отдельных категорий граждан, зарегистрированных в городском округе Тольятти,  в виде оздоровительных услуг.</t>
  </si>
  <si>
    <t>ИТОГО ПО ВСЕМ ЗАДАЧАМ, из них по главным распорядителям бюджетных средств:</t>
  </si>
  <si>
    <t>учащ-ся - 609,0 руб., студенты -           870,0 руб.</t>
  </si>
  <si>
    <t>125 руб. (в среднем в месяц)</t>
  </si>
  <si>
    <r>
      <t xml:space="preserve">595 </t>
    </r>
    <r>
      <rPr>
        <i/>
        <sz val="8"/>
        <color rgb="FFFF0000"/>
        <rFont val="Times New Roman"/>
        <family val="1"/>
        <charset val="204"/>
      </rPr>
      <t>чел.</t>
    </r>
  </si>
  <si>
    <t>647 руб.</t>
  </si>
  <si>
    <t>285 чел.,               в т.ч.: учащ-ся - 190 чел., студенты -     195 чел.</t>
  </si>
  <si>
    <r>
      <t xml:space="preserve">385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- 190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195 ч</t>
    </r>
    <r>
      <rPr>
        <i/>
        <sz val="8"/>
        <color theme="1"/>
        <rFont val="Times New Roman"/>
        <family val="1"/>
        <charset val="204"/>
      </rPr>
      <t>ел.</t>
    </r>
    <r>
      <rPr>
        <i/>
        <sz val="10"/>
        <color indexed="8"/>
        <rFont val="Times New Roman"/>
        <family val="1"/>
        <charset val="204"/>
      </rPr>
      <t/>
    </r>
  </si>
  <si>
    <r>
      <t xml:space="preserve">учащ-ся - 609,0 </t>
    </r>
    <r>
      <rPr>
        <i/>
        <sz val="8"/>
        <color theme="1"/>
        <rFont val="Times New Roman"/>
        <family val="1"/>
        <charset val="204"/>
      </rPr>
      <t>руб.</t>
    </r>
    <r>
      <rPr>
        <sz val="10"/>
        <color theme="1"/>
        <rFont val="Times New Roman"/>
        <family val="1"/>
        <charset val="204"/>
      </rPr>
      <t xml:space="preserve">, студенты -           870,0 </t>
    </r>
    <r>
      <rPr>
        <i/>
        <sz val="8"/>
        <color theme="1"/>
        <rFont val="Times New Roman"/>
        <family val="1"/>
        <charset val="204"/>
      </rPr>
      <t>руб.</t>
    </r>
  </si>
  <si>
    <t xml:space="preserve">113 чел.*12 мес. </t>
  </si>
  <si>
    <t xml:space="preserve">Задача:  3 Предоставление дополнительных мер социальной поддержки для отдельных категорий граждан, зарегистрированных в городском округе Тольятти, в виде ежемесячных денежных выплат </t>
  </si>
  <si>
    <r>
      <t xml:space="preserve">177 </t>
    </r>
    <r>
      <rPr>
        <i/>
        <sz val="8"/>
        <color theme="1"/>
        <rFont val="Times New Roman"/>
        <family val="1"/>
        <charset val="204"/>
      </rPr>
      <t>чел.</t>
    </r>
    <r>
      <rPr>
        <i/>
        <sz val="10"/>
        <rFont val="Times New Roman"/>
        <family val="1"/>
        <charset val="204"/>
      </rPr>
      <t/>
    </r>
  </si>
  <si>
    <r>
      <t>700 ,0</t>
    </r>
    <r>
      <rPr>
        <i/>
        <sz val="8"/>
        <color theme="1"/>
        <rFont val="Times New Roman"/>
        <family val="1"/>
        <charset val="204"/>
      </rPr>
      <t>руб.</t>
    </r>
  </si>
  <si>
    <t>4004 получателей, в т.ч. категории получателей по 2000 руб. - 346 чел.; категории получателей по 300 руб. - 3658 чел. средний размер выплаты 750 руб.</t>
  </si>
  <si>
    <r>
      <t xml:space="preserve">Задача: </t>
    </r>
    <r>
      <rPr>
        <sz val="14"/>
        <rFont val="Times New Roman"/>
        <family val="1"/>
        <charset val="204"/>
      </rPr>
      <t xml:space="preserve"> 14: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</si>
  <si>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700,0 </t>
    </r>
    <r>
      <rPr>
        <i/>
        <sz val="8"/>
        <color theme="1"/>
        <rFont val="Times New Roman"/>
        <family val="1"/>
        <charset val="204"/>
      </rPr>
      <t>руб.</t>
    </r>
  </si>
  <si>
    <r>
      <t xml:space="preserve">1200,0 </t>
    </r>
    <r>
      <rPr>
        <i/>
        <sz val="8"/>
        <color theme="1"/>
        <rFont val="Times New Roman"/>
        <family val="1"/>
        <charset val="204"/>
      </rPr>
      <t>руб.</t>
    </r>
  </si>
  <si>
    <r>
      <t xml:space="preserve">5 </t>
    </r>
    <r>
      <rPr>
        <i/>
        <sz val="10"/>
        <color theme="1"/>
        <rFont val="Times New Roman"/>
        <family val="1"/>
        <charset val="204"/>
      </rPr>
      <t>чел.</t>
    </r>
  </si>
  <si>
    <r>
      <t xml:space="preserve">5591 </t>
    </r>
    <r>
      <rPr>
        <sz val="8"/>
        <color theme="1"/>
        <rFont val="Times New Roman"/>
        <family val="1"/>
        <charset val="204"/>
      </rPr>
      <t>чел</t>
    </r>
  </si>
  <si>
    <t>0 заявителей на заключение договора ренты / 2 умерших рентополучателя</t>
  </si>
  <si>
    <t xml:space="preserve">235чел. </t>
  </si>
  <si>
    <t>4040 выплат.</t>
  </si>
  <si>
    <t>55 выплата</t>
  </si>
  <si>
    <r>
      <t xml:space="preserve">5774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-1183 </t>
    </r>
    <r>
      <rPr>
        <i/>
        <sz val="8"/>
        <rFont val="Times New Roman"/>
        <family val="1"/>
        <charset val="204"/>
      </rPr>
      <t>чел.</t>
    </r>
    <r>
      <rPr>
        <i/>
        <sz val="10"/>
        <rFont val="Times New Roman"/>
        <family val="1"/>
        <charset val="204"/>
      </rPr>
      <t>,</t>
    </r>
    <r>
      <rPr>
        <sz val="10"/>
        <rFont val="Times New Roman"/>
        <family val="1"/>
        <charset val="204"/>
      </rPr>
      <t xml:space="preserve"> обеды -4591 </t>
    </r>
    <r>
      <rPr>
        <i/>
        <sz val="8"/>
        <rFont val="Times New Roman"/>
        <family val="1"/>
        <charset val="204"/>
      </rPr>
      <t>чел.</t>
    </r>
    <r>
      <rPr>
        <i/>
        <sz val="10"/>
        <rFont val="Times New Roman"/>
        <family val="1"/>
        <charset val="204"/>
      </rPr>
      <t xml:space="preserve">, </t>
    </r>
    <r>
      <rPr>
        <sz val="10"/>
        <rFont val="Times New Roman"/>
        <family val="1"/>
        <charset val="204"/>
      </rPr>
      <t xml:space="preserve">(из них: льготн. - 3690 </t>
    </r>
    <r>
      <rPr>
        <i/>
        <sz val="8"/>
        <rFont val="Times New Roman"/>
        <family val="1"/>
        <charset val="204"/>
      </rPr>
      <t>чел.</t>
    </r>
    <r>
      <rPr>
        <sz val="8"/>
        <rFont val="Times New Roman"/>
        <family val="1"/>
        <charset val="204"/>
      </rPr>
      <t>,</t>
    </r>
    <r>
      <rPr>
        <sz val="10"/>
        <rFont val="Times New Roman"/>
        <family val="1"/>
        <charset val="204"/>
      </rPr>
      <t xml:space="preserve"> беспл. - 2084 </t>
    </r>
    <r>
      <rPr>
        <i/>
        <sz val="8"/>
        <rFont val="Times New Roman"/>
        <family val="1"/>
        <charset val="204"/>
      </rPr>
      <t>чел.</t>
    </r>
    <r>
      <rPr>
        <sz val="10"/>
        <rFont val="Times New Roman"/>
        <family val="1"/>
        <charset val="204"/>
      </rPr>
      <t>)</t>
    </r>
  </si>
  <si>
    <r>
      <rPr>
        <u/>
        <sz val="10"/>
        <rFont val="Times New Roman"/>
        <family val="1"/>
        <charset val="204"/>
      </rPr>
      <t>январь- май</t>
    </r>
    <r>
      <rPr>
        <sz val="10"/>
        <rFont val="Times New Roman"/>
        <family val="1"/>
        <charset val="204"/>
      </rPr>
      <t xml:space="preserve">: 58 руб.-завтраки в день, 68 руб. - обеды в день. </t>
    </r>
    <r>
      <rPr>
        <u/>
        <sz val="10"/>
        <rFont val="Times New Roman"/>
        <family val="1"/>
        <charset val="204"/>
      </rPr>
      <t>сентябрь-декабрь:</t>
    </r>
    <r>
      <rPr>
        <sz val="10"/>
        <rFont val="Times New Roman"/>
        <family val="1"/>
        <charset val="204"/>
      </rPr>
      <t xml:space="preserve"> 57 руб. -  завтраки в день, 71 руб.- обеды в день</t>
    </r>
  </si>
  <si>
    <r>
      <t xml:space="preserve">1720 </t>
    </r>
    <r>
      <rPr>
        <i/>
        <sz val="8"/>
        <rFont val="Times New Roman"/>
        <family val="1"/>
        <charset val="204"/>
      </rPr>
      <t>чел.</t>
    </r>
    <r>
      <rPr>
        <i/>
        <sz val="10"/>
        <rFont val="Times New Roman"/>
        <family val="1"/>
        <charset val="204"/>
      </rPr>
      <t xml:space="preserve">, </t>
    </r>
    <r>
      <rPr>
        <sz val="10"/>
        <rFont val="Times New Roman"/>
        <family val="1"/>
        <charset val="204"/>
      </rPr>
      <t xml:space="preserve">в т.ч.: завтраки -353 </t>
    </r>
    <r>
      <rPr>
        <i/>
        <sz val="8"/>
        <rFont val="Times New Roman"/>
        <family val="1"/>
        <charset val="204"/>
      </rPr>
      <t>чел.</t>
    </r>
    <r>
      <rPr>
        <i/>
        <sz val="10"/>
        <rFont val="Times New Roman"/>
        <family val="1"/>
        <charset val="204"/>
      </rPr>
      <t>,</t>
    </r>
    <r>
      <rPr>
        <sz val="10"/>
        <rFont val="Times New Roman"/>
        <family val="1"/>
        <charset val="204"/>
      </rPr>
      <t xml:space="preserve"> обеды -1367 </t>
    </r>
    <r>
      <rPr>
        <i/>
        <sz val="8"/>
        <rFont val="Times New Roman"/>
        <family val="1"/>
        <charset val="204"/>
      </rPr>
      <t>чел.</t>
    </r>
    <r>
      <rPr>
        <i/>
        <sz val="10"/>
        <rFont val="Times New Roman"/>
        <family val="1"/>
        <charset val="204"/>
      </rPr>
      <t xml:space="preserve">, </t>
    </r>
    <r>
      <rPr>
        <sz val="10"/>
        <rFont val="Times New Roman"/>
        <family val="1"/>
        <charset val="204"/>
      </rPr>
      <t>(из них: льготн. - 1099 че</t>
    </r>
    <r>
      <rPr>
        <i/>
        <sz val="8"/>
        <rFont val="Times New Roman"/>
        <family val="1"/>
        <charset val="204"/>
      </rPr>
      <t>л.</t>
    </r>
    <r>
      <rPr>
        <sz val="8"/>
        <rFont val="Times New Roman"/>
        <family val="1"/>
        <charset val="204"/>
      </rPr>
      <t>,</t>
    </r>
    <r>
      <rPr>
        <sz val="10"/>
        <rFont val="Times New Roman"/>
        <family val="1"/>
        <charset val="204"/>
      </rPr>
      <t xml:space="preserve"> беспл. - 621 </t>
    </r>
    <r>
      <rPr>
        <i/>
        <sz val="8"/>
        <rFont val="Times New Roman"/>
        <family val="1"/>
        <charset val="204"/>
      </rPr>
      <t>чел.</t>
    </r>
    <r>
      <rPr>
        <sz val="10"/>
        <rFont val="Times New Roman"/>
        <family val="1"/>
        <charset val="204"/>
      </rPr>
      <t>)</t>
    </r>
  </si>
  <si>
    <r>
      <t xml:space="preserve">учащ-ся - 609,0 </t>
    </r>
    <r>
      <rPr>
        <i/>
        <sz val="8"/>
        <color rgb="FFFF0000"/>
        <rFont val="Times New Roman"/>
        <family val="1"/>
        <charset val="204"/>
      </rPr>
      <t>руб.</t>
    </r>
    <r>
      <rPr>
        <sz val="10"/>
        <color rgb="FFFF0000"/>
        <rFont val="Times New Roman"/>
        <family val="1"/>
        <charset val="204"/>
      </rPr>
      <t xml:space="preserve">, студенты -           870,0 </t>
    </r>
    <r>
      <rPr>
        <i/>
        <sz val="8"/>
        <color rgb="FFFF0000"/>
        <rFont val="Times New Roman"/>
        <family val="1"/>
        <charset val="204"/>
      </rPr>
      <t>руб.</t>
    </r>
  </si>
  <si>
    <r>
      <t xml:space="preserve">7 </t>
    </r>
    <r>
      <rPr>
        <i/>
        <sz val="8"/>
        <color theme="1"/>
        <rFont val="Times New Roman"/>
        <family val="1"/>
        <charset val="204"/>
      </rPr>
      <t>чел.</t>
    </r>
    <r>
      <rPr>
        <i/>
        <sz val="10"/>
        <color indexed="8"/>
        <rFont val="Times New Roman"/>
        <family val="1"/>
        <charset val="204"/>
      </rPr>
      <t/>
    </r>
  </si>
  <si>
    <t xml:space="preserve">241 чел. </t>
  </si>
  <si>
    <r>
      <t xml:space="preserve">260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учащ-ся - 115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студенты -     145 ч</t>
    </r>
    <r>
      <rPr>
        <i/>
        <sz val="8"/>
        <color rgb="FFFF0000"/>
        <rFont val="Times New Roman"/>
        <family val="1"/>
        <charset val="204"/>
      </rPr>
      <t>ел.</t>
    </r>
    <r>
      <rPr>
        <i/>
        <sz val="10"/>
        <color indexed="8"/>
        <rFont val="Times New Roman"/>
        <family val="1"/>
        <charset val="204"/>
      </rPr>
      <t/>
    </r>
  </si>
  <si>
    <r>
      <t xml:space="preserve">7 </t>
    </r>
    <r>
      <rPr>
        <i/>
        <sz val="8"/>
        <color theme="1"/>
        <rFont val="Times New Roman"/>
        <family val="1"/>
        <charset val="204"/>
      </rPr>
      <t>чел.</t>
    </r>
    <r>
      <rPr>
        <i/>
        <sz val="10"/>
        <rFont val="Times New Roman"/>
        <family val="1"/>
        <charset val="204"/>
      </rPr>
      <t/>
    </r>
  </si>
  <si>
    <r>
      <t xml:space="preserve">10,0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</si>
  <si>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595 </t>
    </r>
    <r>
      <rPr>
        <i/>
        <sz val="8"/>
        <color theme="1"/>
        <rFont val="Times New Roman"/>
        <family val="1"/>
        <charset val="204"/>
      </rPr>
      <t>чел.</t>
    </r>
  </si>
  <si>
    <t>2566руб. усредненный размер выплаты в месяц</t>
  </si>
  <si>
    <t>65 выплат</t>
  </si>
  <si>
    <t>12 чел.</t>
  </si>
  <si>
    <t>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t>
  </si>
  <si>
    <t>Предоставление единовременного пособия гражданам в связи с рождением детей в День исторического рождения города Тольятти (20 июня)</t>
  </si>
  <si>
    <t>1.8.</t>
  </si>
  <si>
    <t>1.9.</t>
  </si>
  <si>
    <t>1.10.</t>
  </si>
  <si>
    <t>1.11.</t>
  </si>
  <si>
    <t>1.12.</t>
  </si>
  <si>
    <t>1.13.</t>
  </si>
  <si>
    <t>1.14.</t>
  </si>
  <si>
    <t>Задача:  3 Предоставление социальных выплат гражданам, имеющим особые заслуги перед сообществом</t>
  </si>
  <si>
    <t>3.1.1.</t>
  </si>
  <si>
    <t>3.1.2.</t>
  </si>
  <si>
    <t>3.1.3.</t>
  </si>
  <si>
    <t>3.1.4.</t>
  </si>
  <si>
    <t>3.3.</t>
  </si>
  <si>
    <t>3.4.</t>
  </si>
  <si>
    <t>3.5.</t>
  </si>
  <si>
    <t>3.6.</t>
  </si>
  <si>
    <t>3.7.</t>
  </si>
  <si>
    <t>3.8.</t>
  </si>
  <si>
    <t>3.9.</t>
  </si>
  <si>
    <t>3.10.</t>
  </si>
  <si>
    <t>3.11.</t>
  </si>
  <si>
    <t>3.12.</t>
  </si>
  <si>
    <t>3.13.</t>
  </si>
  <si>
    <t>3.14.</t>
  </si>
  <si>
    <t>3.15.</t>
  </si>
  <si>
    <t>Задача:  4 Предоставление дополнительных мер социальной поддержки для граждан, находящихся в трудной жизненной ситуации, чрезвычайных обстоятельствах</t>
  </si>
  <si>
    <t>Задача: 5 Организация пожизненной ренты граждан, передающих на праве собственности жилые помещения в муниципальную собственность городского округа Тольятти</t>
  </si>
  <si>
    <t>5.2.</t>
  </si>
  <si>
    <t>6.</t>
  </si>
  <si>
    <r>
      <t xml:space="preserve">Задача: </t>
    </r>
    <r>
      <rPr>
        <sz val="14"/>
        <rFont val="Times New Roman"/>
        <family val="1"/>
        <charset val="204"/>
      </rPr>
      <t xml:space="preserve"> 6 Обеспечение условия для реализации дополнительных мер социальной поддрежки населения</t>
    </r>
  </si>
  <si>
    <t>6.1</t>
  </si>
  <si>
    <t>7.</t>
  </si>
  <si>
    <r>
      <t xml:space="preserve">Задача:7 </t>
    </r>
    <r>
      <rPr>
        <sz val="14"/>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</si>
  <si>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</si>
  <si>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t>8.1.</t>
  </si>
  <si>
    <t>8.2.</t>
  </si>
  <si>
    <t>8.3.</t>
  </si>
  <si>
    <r>
      <t xml:space="preserve">Задача: </t>
    </r>
    <r>
      <rPr>
        <sz val="14"/>
        <rFont val="Times New Roman"/>
        <family val="1"/>
        <charset val="204"/>
      </rPr>
      <t xml:space="preserve"> 9 Популяризация семейных ценностей.</t>
    </r>
  </si>
  <si>
    <t>Праздничные мероприятия при участии департамента социального обеспечения администрации городского окруаг Тольятти , предусмотренные в рамках утвержденных перечней праздничных мероприятий на территории городского округа Тольятти на соответствующий год, но не включенные в муниципальное задание муниципальных учреждений городского округа Тольятти, находящимся в ведомственном подчинении департамента культуры администрации городского округа Тольятти</t>
  </si>
  <si>
    <t>3 мер.</t>
  </si>
  <si>
    <t>ВСЕГО по задаче 9:</t>
  </si>
  <si>
    <t xml:space="preserve">Задача: 1 Финансовая поддержка семей с детьми   </t>
  </si>
  <si>
    <r>
      <t xml:space="preserve">Задача: </t>
    </r>
    <r>
      <rPr>
        <sz val="14"/>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</si>
  <si>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t>,</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</si>
  <si>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столовая»с за счет средств бюджета городского округа Тольятти путем заключения соглашения о предоставлении субсидий в соответствии с абзацем вторым пункта 1 статьи 78.1 Бюджетного кодекса Российской Федерации</t>
  </si>
  <si>
    <r>
      <t xml:space="preserve">4032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завтраки -826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обеды -3206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(из них: льготн. - 2389 </t>
    </r>
    <r>
      <rPr>
        <i/>
        <sz val="8"/>
        <color rgb="FFFF0000"/>
        <rFont val="Times New Roman"/>
        <family val="1"/>
        <charset val="204"/>
      </rPr>
      <t>чел.</t>
    </r>
    <r>
      <rPr>
        <sz val="8"/>
        <color rgb="FFFF0000"/>
        <rFont val="Times New Roman"/>
        <family val="1"/>
        <charset val="204"/>
      </rPr>
      <t>,</t>
    </r>
    <r>
      <rPr>
        <sz val="10"/>
        <color rgb="FFFF0000"/>
        <rFont val="Times New Roman"/>
        <family val="1"/>
        <charset val="204"/>
      </rPr>
      <t xml:space="preserve"> беспл. - 1643</t>
    </r>
    <r>
      <rPr>
        <i/>
        <sz val="8"/>
        <color rgb="FFFF0000"/>
        <rFont val="Times New Roman"/>
        <family val="1"/>
        <charset val="204"/>
      </rPr>
      <t>чел.</t>
    </r>
    <r>
      <rPr>
        <sz val="10"/>
        <color rgb="FFFF0000"/>
        <rFont val="Times New Roman"/>
        <family val="1"/>
        <charset val="204"/>
      </rPr>
      <t>)</t>
    </r>
  </si>
  <si>
    <r>
      <t xml:space="preserve">846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 xml:space="preserve">в т.ч.: завтраки -174 </t>
    </r>
    <r>
      <rPr>
        <i/>
        <sz val="8"/>
        <color rgb="FFFF0000"/>
        <rFont val="Times New Roman"/>
        <family val="1"/>
        <charset val="204"/>
      </rPr>
      <t>чел.</t>
    </r>
    <r>
      <rPr>
        <i/>
        <sz val="10"/>
        <color rgb="FFFF0000"/>
        <rFont val="Times New Roman"/>
        <family val="1"/>
        <charset val="204"/>
      </rPr>
      <t>,</t>
    </r>
    <r>
      <rPr>
        <sz val="10"/>
        <color rgb="FFFF0000"/>
        <rFont val="Times New Roman"/>
        <family val="1"/>
        <charset val="204"/>
      </rPr>
      <t xml:space="preserve"> обеды -672 </t>
    </r>
    <r>
      <rPr>
        <i/>
        <sz val="8"/>
        <color rgb="FFFF0000"/>
        <rFont val="Times New Roman"/>
        <family val="1"/>
        <charset val="204"/>
      </rPr>
      <t>чел.</t>
    </r>
    <r>
      <rPr>
        <i/>
        <sz val="10"/>
        <color rgb="FFFF0000"/>
        <rFont val="Times New Roman"/>
        <family val="1"/>
        <charset val="204"/>
      </rPr>
      <t xml:space="preserve">, </t>
    </r>
    <r>
      <rPr>
        <sz val="10"/>
        <color rgb="FFFF0000"/>
        <rFont val="Times New Roman"/>
        <family val="1"/>
        <charset val="204"/>
      </rPr>
      <t>(из них: льготн. - 490 че</t>
    </r>
    <r>
      <rPr>
        <i/>
        <sz val="8"/>
        <color rgb="FFFF0000"/>
        <rFont val="Times New Roman"/>
        <family val="1"/>
        <charset val="204"/>
      </rPr>
      <t>л.</t>
    </r>
    <r>
      <rPr>
        <sz val="8"/>
        <color rgb="FFFF0000"/>
        <rFont val="Times New Roman"/>
        <family val="1"/>
        <charset val="204"/>
      </rPr>
      <t>,</t>
    </r>
    <r>
      <rPr>
        <sz val="10"/>
        <color rgb="FFFF0000"/>
        <rFont val="Times New Roman"/>
        <family val="1"/>
        <charset val="204"/>
      </rPr>
      <t xml:space="preserve"> беспл. - 356 </t>
    </r>
    <r>
      <rPr>
        <i/>
        <sz val="8"/>
        <color rgb="FFFF0000"/>
        <rFont val="Times New Roman"/>
        <family val="1"/>
        <charset val="204"/>
      </rPr>
      <t>чел.</t>
    </r>
    <r>
      <rPr>
        <sz val="10"/>
        <color rgb="FFFF0000"/>
        <rFont val="Times New Roman"/>
        <family val="1"/>
        <charset val="204"/>
      </rPr>
      <t>)</t>
    </r>
  </si>
  <si>
    <t xml:space="preserve">210 чел. </t>
  </si>
  <si>
    <t>41 чел.(спор. выс. класса)*1,5 тыс.руб.  в мес., 17чел. ( тренера, подг. спор. выс. класса)*1,5 тыс. руб., 17 чел (быв. работ. спор. орг-ий) * 1,0 тыс. руб</t>
  </si>
  <si>
    <t>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</si>
  <si>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ком.сбор: кред.орг.- не более 2,4% ч/з почт. отд. , 0,8% ч/з банк</t>
  </si>
  <si>
    <t>Департамент информационных технологий и связи (МАУ "МФЦ"), Департамент образования</t>
  </si>
  <si>
    <t>кком.сбор: кред.орг.- не более 2,4% ч/з почт. отд. , 0,8% ч/з банк</t>
  </si>
  <si>
    <t>6411 чел.</t>
  </si>
  <si>
    <t xml:space="preserve">5975чел. * 340,11 руб. * 12 мес. = 24386 тыс. руб., 436 чел. * 343,74 руб. * 6 мес. = 900 тыс. руб.,
</t>
  </si>
  <si>
    <t xml:space="preserve">Оплата расходов, связанных исполнением и сопровождением договоров пожизненной ренты </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</si>
  <si>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</si>
  <si>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</si>
  <si>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1000,0 руб.
 в месяц *  5 мес.</t>
  </si>
  <si>
    <t xml:space="preserve">6чел. </t>
  </si>
  <si>
    <t>Предоставление дополнительных мер социальной поддержки для отдельных категорий граждан, зарегистрированных в городском округе Тльятти, в виде единовременных денежных выплат к отдельным датам</t>
  </si>
  <si>
    <t>18 выплат</t>
  </si>
  <si>
    <t xml:space="preserve"> (1185 семей)1540 чел в т.ч. дети до 3- лет 540 чел., от 3-х до 7 лет 1000 чел.</t>
  </si>
  <si>
    <t>2 выплаты</t>
  </si>
  <si>
    <t>средний размер выплаты 439,0 руб.</t>
  </si>
  <si>
    <t>1900 руб. (в среднем в месяц)</t>
  </si>
  <si>
    <t>2 чел.</t>
  </si>
  <si>
    <t xml:space="preserve">170 получателей, в т.ч.: ТЖС - 124 получателей, ЧО - 46 получателей </t>
  </si>
  <si>
    <t>260 чел.,               в т.ч.: учащ-ся - 115 чел., студенты -   145 чел.</t>
  </si>
  <si>
    <t xml:space="preserve">245 чел. </t>
  </si>
  <si>
    <t>2500руб. усредненный размер выплаты в месяц</t>
  </si>
  <si>
    <t>50 чел.</t>
  </si>
  <si>
    <t xml:space="preserve">114 чел.*12 мес. </t>
  </si>
  <si>
    <t>3888 выплат</t>
  </si>
  <si>
    <t>2 заявителя на  внесение изменений в договора ренты / 2 умерших рентополучателя</t>
  </si>
  <si>
    <t>17000 Комиссионное вознаграждение по операциям кредитной организациилибо доставка данных выплат через почтовые отделения связи, 25500 руб. -  оплата услуг, связанных  с заключением договоров ренты  / 27500 руб. - оплата ритуальных услуг на 1 чел.</t>
  </si>
  <si>
    <r>
      <t xml:space="preserve">Общий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</si>
  <si>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</si>
  <si>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 xml:space="preserve">План. объем финансового обеспечения, </t>
    </r>
    <r>
      <rPr>
        <i/>
        <sz val="10"/>
        <color theme="1"/>
        <rFont val="Times New Roman"/>
        <family val="1"/>
        <charset val="204"/>
      </rPr>
      <t>тыс.руб.</t>
    </r>
  </si>
  <si>
    <r>
      <t xml:space="preserve">сумма затрат на 1 чел. (1 усл.ед.), </t>
    </r>
    <r>
      <rPr>
        <i/>
        <sz val="8"/>
        <color theme="1"/>
        <rFont val="Times New Roman"/>
        <family val="1"/>
        <charset val="204"/>
      </rPr>
      <t>руб.</t>
    </r>
  </si>
  <si>
    <r>
      <t>1.</t>
    </r>
    <r>
      <rPr>
        <sz val="7"/>
        <color theme="1"/>
        <rFont val="Times New Roman"/>
        <family val="1"/>
        <charset val="204"/>
      </rPr>
      <t> </t>
    </r>
  </si>
  <si>
    <r>
      <t xml:space="preserve">4032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-826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-3206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- 2389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- 1643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</si>
  <si>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58 руб.-завтраки в день, 68 руб. - обеды в день. </t>
    </r>
    <r>
      <rPr>
        <u/>
        <sz val="10"/>
        <color theme="1"/>
        <rFont val="Times New Roman"/>
        <family val="1"/>
        <charset val="204"/>
      </rPr>
      <t>сентябрь-декабрь:</t>
    </r>
    <r>
      <rPr>
        <sz val="10"/>
        <color theme="1"/>
        <rFont val="Times New Roman"/>
        <family val="1"/>
        <charset val="204"/>
      </rPr>
      <t xml:space="preserve"> 57 руб. -  завтраки в день, 71 руб.- обеды в день</t>
    </r>
  </si>
  <si>
    <r>
      <t>4354</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-614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-3740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(из них: льготн. - 2391 </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- 1963 </t>
    </r>
    <r>
      <rPr>
        <i/>
        <sz val="8"/>
        <color theme="1"/>
        <rFont val="Times New Roman"/>
        <family val="1"/>
        <charset val="204"/>
      </rPr>
      <t>чел.</t>
    </r>
    <r>
      <rPr>
        <sz val="10"/>
        <color theme="1"/>
        <rFont val="Times New Roman"/>
        <family val="1"/>
        <charset val="204"/>
      </rPr>
      <t>)</t>
    </r>
  </si>
  <si>
    <r>
      <t xml:space="preserve">846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-174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-672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- 490 че</t>
    </r>
    <r>
      <rPr>
        <i/>
        <sz val="8"/>
        <color theme="1"/>
        <rFont val="Times New Roman"/>
        <family val="1"/>
        <charset val="204"/>
      </rPr>
      <t>л.</t>
    </r>
    <r>
      <rPr>
        <sz val="8"/>
        <color theme="1"/>
        <rFont val="Times New Roman"/>
        <family val="1"/>
        <charset val="204"/>
      </rPr>
      <t>,</t>
    </r>
    <r>
      <rPr>
        <sz val="10"/>
        <color theme="1"/>
        <rFont val="Times New Roman"/>
        <family val="1"/>
        <charset val="204"/>
      </rPr>
      <t xml:space="preserve"> беспл. - 356 </t>
    </r>
    <r>
      <rPr>
        <i/>
        <sz val="8"/>
        <color theme="1"/>
        <rFont val="Times New Roman"/>
        <family val="1"/>
        <charset val="204"/>
      </rPr>
      <t>чел.</t>
    </r>
    <r>
      <rPr>
        <sz val="10"/>
        <color theme="1"/>
        <rFont val="Times New Roman"/>
        <family val="1"/>
        <charset val="204"/>
      </rPr>
      <t>)</t>
    </r>
  </si>
  <si>
    <r>
      <t>2.</t>
    </r>
    <r>
      <rPr>
        <sz val="7"/>
        <color theme="1"/>
        <rFont val="Times New Roman"/>
        <family val="1"/>
        <charset val="204"/>
      </rPr>
      <t> </t>
    </r>
  </si>
  <si>
    <r>
      <t xml:space="preserve">ежемесячно, </t>
    </r>
    <r>
      <rPr>
        <sz val="10"/>
        <color theme="1"/>
        <rFont val="Times New Roman"/>
        <family val="1"/>
        <charset val="204"/>
      </rPr>
      <t xml:space="preserve">                      за исключением каникулярного времени,                                           для  учащихся:</t>
    </r>
    <r>
      <rPr>
        <sz val="8"/>
        <color theme="1"/>
        <rFont val="Times New Roman"/>
        <family val="1"/>
        <charset val="204"/>
      </rPr>
      <t xml:space="preserve"> июнь - август,</t>
    </r>
    <r>
      <rPr>
        <sz val="10"/>
        <color theme="1"/>
        <rFont val="Times New Roman"/>
        <family val="1"/>
        <charset val="204"/>
      </rPr>
      <t xml:space="preserve">     для студентов: </t>
    </r>
    <r>
      <rPr>
        <sz val="8"/>
        <color theme="1"/>
        <rFont val="Times New Roman"/>
        <family val="1"/>
        <charset val="204"/>
      </rPr>
      <t>июль - август</t>
    </r>
  </si>
  <si>
    <r>
      <t xml:space="preserve">260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учащ-ся - 115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студенты -     145 ч</t>
    </r>
    <r>
      <rPr>
        <i/>
        <sz val="8"/>
        <color theme="1"/>
        <rFont val="Times New Roman"/>
        <family val="1"/>
        <charset val="204"/>
      </rPr>
      <t>ел.</t>
    </r>
    <r>
      <rPr>
        <i/>
        <sz val="10"/>
        <color indexed="8"/>
        <rFont val="Times New Roman"/>
        <family val="1"/>
        <charset val="204"/>
      </rPr>
      <t/>
    </r>
  </si>
  <si>
    <r>
      <t>3.</t>
    </r>
    <r>
      <rPr>
        <sz val="7"/>
        <color theme="1"/>
        <rFont val="Times New Roman"/>
        <family val="1"/>
        <charset val="204"/>
      </rPr>
      <t> </t>
    </r>
  </si>
  <si>
    <r>
      <t xml:space="preserve">4044 </t>
    </r>
    <r>
      <rPr>
        <sz val="8"/>
        <color theme="1"/>
        <rFont val="Times New Roman"/>
        <family val="1"/>
        <charset val="204"/>
      </rPr>
      <t>чел</t>
    </r>
  </si>
  <si>
    <r>
      <t xml:space="preserve">1 </t>
    </r>
    <r>
      <rPr>
        <i/>
        <sz val="8"/>
        <color theme="1"/>
        <rFont val="Times New Roman"/>
        <family val="1"/>
        <charset val="204"/>
      </rPr>
      <t>чел.</t>
    </r>
    <r>
      <rPr>
        <i/>
        <sz val="10"/>
        <rFont val="Times New Roman"/>
        <family val="1"/>
        <charset val="204"/>
      </rPr>
      <t/>
    </r>
  </si>
  <si>
    <r>
      <t xml:space="preserve">ежемесячно </t>
    </r>
    <r>
      <rPr>
        <i/>
        <sz val="10"/>
        <color theme="1"/>
        <rFont val="Times New Roman"/>
        <family val="1"/>
        <charset val="204"/>
      </rPr>
      <t>в течение года, (+1 Почетный гр-н - 8 мес.)</t>
    </r>
  </si>
  <si>
    <r>
      <t xml:space="preserve">ПГ - 20 </t>
    </r>
    <r>
      <rPr>
        <i/>
        <sz val="8"/>
        <color theme="1"/>
        <rFont val="Times New Roman"/>
        <family val="1"/>
        <charset val="204"/>
      </rPr>
      <t>чел. (19 чел.*12 мес,  1 чел.*8 мес.)</t>
    </r>
  </si>
  <si>
    <r>
      <t xml:space="preserve"> 4,5 </t>
    </r>
    <r>
      <rPr>
        <sz val="8"/>
        <color theme="1"/>
        <rFont val="Times New Roman"/>
        <family val="1"/>
        <charset val="204"/>
      </rPr>
      <t>т.руб. в месяц на 1 чел.</t>
    </r>
  </si>
  <si>
    <r>
      <t xml:space="preserve">50,0 </t>
    </r>
    <r>
      <rPr>
        <i/>
        <sz val="10"/>
        <color theme="1"/>
        <rFont val="Times New Roman"/>
        <family val="1"/>
        <charset val="204"/>
      </rPr>
      <t>т.руб. на 1 чел.</t>
    </r>
  </si>
  <si>
    <r>
      <t xml:space="preserve">50,0 </t>
    </r>
    <r>
      <rPr>
        <i/>
        <u/>
        <sz val="8"/>
        <color theme="1"/>
        <rFont val="Times New Roman"/>
        <family val="1"/>
        <charset val="204"/>
      </rPr>
      <t>т.руб.</t>
    </r>
    <r>
      <rPr>
        <u/>
        <sz val="10"/>
        <color theme="1"/>
        <rFont val="Times New Roman"/>
        <family val="1"/>
        <charset val="204"/>
      </rPr>
      <t xml:space="preserve"> на 1 чел.</t>
    </r>
    <r>
      <rPr>
        <sz val="10"/>
        <color theme="1"/>
        <rFont val="Times New Roman"/>
        <family val="1"/>
        <charset val="204"/>
      </rPr>
      <t xml:space="preserve"> </t>
    </r>
  </si>
  <si>
    <r>
      <t xml:space="preserve">6 </t>
    </r>
    <r>
      <rPr>
        <i/>
        <sz val="8"/>
        <color theme="1"/>
        <rFont val="Times New Roman"/>
        <family val="1"/>
        <charset val="204"/>
      </rPr>
      <t>чел.</t>
    </r>
    <r>
      <rPr>
        <i/>
        <sz val="10"/>
        <rFont val="Times New Roman"/>
        <family val="1"/>
        <charset val="204"/>
      </rPr>
      <t/>
    </r>
  </si>
  <si>
    <r>
      <t xml:space="preserve">4 </t>
    </r>
    <r>
      <rPr>
        <i/>
        <sz val="8"/>
        <color theme="1"/>
        <rFont val="Times New Roman"/>
        <family val="1"/>
        <charset val="204"/>
      </rPr>
      <t>чел.</t>
    </r>
    <r>
      <rPr>
        <i/>
        <sz val="10"/>
        <rFont val="Times New Roman"/>
        <family val="1"/>
        <charset val="204"/>
      </rPr>
      <t/>
    </r>
  </si>
  <si>
    <r>
      <t xml:space="preserve">3 </t>
    </r>
    <r>
      <rPr>
        <i/>
        <sz val="10"/>
        <color theme="1"/>
        <rFont val="Times New Roman"/>
        <family val="1"/>
        <charset val="204"/>
      </rPr>
      <t>чел.</t>
    </r>
  </si>
  <si>
    <r>
      <rPr>
        <i/>
        <sz val="11"/>
        <color theme="1"/>
        <rFont val="Times New Roman"/>
        <family val="1"/>
        <charset val="204"/>
      </rPr>
      <t>586</t>
    </r>
    <r>
      <rPr>
        <i/>
        <sz val="10"/>
        <color theme="1"/>
        <rFont val="Times New Roman"/>
        <family val="1"/>
        <charset val="204"/>
      </rPr>
      <t xml:space="preserve"> чел.</t>
    </r>
  </si>
  <si>
    <r>
      <t xml:space="preserve">660 </t>
    </r>
    <r>
      <rPr>
        <i/>
        <sz val="8"/>
        <color theme="1"/>
        <rFont val="Times New Roman"/>
        <family val="1"/>
        <charset val="204"/>
      </rPr>
      <t>руб.</t>
    </r>
  </si>
  <si>
    <r>
      <t>4.</t>
    </r>
    <r>
      <rPr>
        <sz val="7"/>
        <color theme="1"/>
        <rFont val="Times New Roman"/>
        <family val="1"/>
        <charset val="204"/>
      </rPr>
      <t> </t>
    </r>
  </si>
  <si>
    <r>
      <t xml:space="preserve">единовременно                         </t>
    </r>
    <r>
      <rPr>
        <sz val="10"/>
        <color theme="1"/>
        <rFont val="Times New Roman"/>
        <family val="1"/>
        <charset val="204"/>
      </rPr>
      <t>в течение одного календарного года</t>
    </r>
  </si>
  <si>
    <r>
      <t>5.</t>
    </r>
    <r>
      <rPr>
        <sz val="7"/>
        <color theme="1"/>
        <rFont val="Times New Roman"/>
        <family val="1"/>
        <charset val="204"/>
      </rPr>
      <t> </t>
    </r>
  </si>
  <si>
    <r>
      <rPr>
        <i/>
        <sz val="8"/>
        <color theme="1"/>
        <rFont val="Times New Roman"/>
        <family val="1"/>
        <charset val="204"/>
      </rPr>
      <t>7 чел.</t>
    </r>
    <r>
      <rPr>
        <i/>
        <sz val="10"/>
        <color indexed="8"/>
        <rFont val="Times New Roman"/>
        <family val="1"/>
        <charset val="204"/>
      </rPr>
      <t/>
    </r>
  </si>
  <si>
    <r>
      <t xml:space="preserve">Задача: </t>
    </r>
    <r>
      <rPr>
        <sz val="14"/>
        <color theme="1"/>
        <rFont val="Times New Roman"/>
        <family val="1"/>
        <charset val="204"/>
      </rPr>
      <t xml:space="preserve"> 6 Обеспечение условия для реализации дополнительных мер социальной поддрежки населения</t>
    </r>
  </si>
  <si>
    <r>
      <t xml:space="preserve">Задача:7 </t>
    </r>
    <r>
      <rPr>
        <sz val="14"/>
        <color theme="1"/>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</si>
  <si>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r>
      <t xml:space="preserve">Задача: </t>
    </r>
    <r>
      <rPr>
        <sz val="14"/>
        <color theme="1"/>
        <rFont val="Times New Roman"/>
        <family val="1"/>
        <charset val="204"/>
      </rPr>
      <t xml:space="preserve"> 8 Предоставление дополнительных мер социальной поддержки для отдельных категорий граждан из числа инвалидов </t>
    </r>
  </si>
  <si>
    <r>
      <t xml:space="preserve">500,0 </t>
    </r>
    <r>
      <rPr>
        <i/>
        <sz val="8"/>
        <color theme="1"/>
        <rFont val="Times New Roman"/>
        <family val="1"/>
        <charset val="204"/>
      </rPr>
      <t>руб.</t>
    </r>
    <r>
      <rPr>
        <sz val="10"/>
        <color theme="1"/>
        <rFont val="Times New Roman"/>
        <family val="1"/>
        <charset val="204"/>
      </rPr>
      <t xml:space="preserve"> в месяц</t>
    </r>
  </si>
  <si>
    <r>
      <t xml:space="preserve">Задача: </t>
    </r>
    <r>
      <rPr>
        <sz val="14"/>
        <color theme="1"/>
        <rFont val="Times New Roman"/>
        <family val="1"/>
        <charset val="204"/>
      </rPr>
      <t xml:space="preserve"> 9 Популяризация семейных ценностей.</t>
    </r>
  </si>
  <si>
    <r>
      <t xml:space="preserve">Задача: </t>
    </r>
    <r>
      <rPr>
        <sz val="14"/>
        <color theme="1"/>
        <rFont val="Times New Roman"/>
        <family val="1"/>
        <charset val="204"/>
      </rPr>
      <t xml:space="preserve">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r>
  </si>
  <si>
    <r>
      <t xml:space="preserve">ИТОГО ПО ВСЕМ ЗАДАЧАМ, </t>
    </r>
    <r>
      <rPr>
        <b/>
        <sz val="13"/>
        <color theme="1"/>
        <rFont val="Times New Roman"/>
        <family val="1"/>
        <charset val="204"/>
      </rPr>
      <t>из них по главным распорядителям бюджетных средств:</t>
    </r>
  </si>
  <si>
    <t>.Департамент информационных технологий и связи(МАУ "МФЦ") 2020 г</t>
  </si>
  <si>
    <t xml:space="preserve">  Департамент социального обеспечения  2021г</t>
  </si>
  <si>
    <t>январь-декабрь: 57 руб.-завтраки в день, 71 руб. - обеды в день</t>
  </si>
  <si>
    <r>
      <t xml:space="preserve">4354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 xml:space="preserve">в т.ч.: завтраки -614 </t>
    </r>
    <r>
      <rPr>
        <i/>
        <sz val="8"/>
        <color theme="1"/>
        <rFont val="Times New Roman"/>
        <family val="1"/>
        <charset val="204"/>
      </rPr>
      <t>чел.</t>
    </r>
    <r>
      <rPr>
        <i/>
        <sz val="10"/>
        <color theme="1"/>
        <rFont val="Times New Roman"/>
        <family val="1"/>
        <charset val="204"/>
      </rPr>
      <t>,</t>
    </r>
    <r>
      <rPr>
        <sz val="10"/>
        <color theme="1"/>
        <rFont val="Times New Roman"/>
        <family val="1"/>
        <charset val="204"/>
      </rPr>
      <t xml:space="preserve"> обеды -3740 </t>
    </r>
    <r>
      <rPr>
        <i/>
        <sz val="8"/>
        <color theme="1"/>
        <rFont val="Times New Roman"/>
        <family val="1"/>
        <charset val="204"/>
      </rPr>
      <t>чел.</t>
    </r>
    <r>
      <rPr>
        <i/>
        <sz val="10"/>
        <color theme="1"/>
        <rFont val="Times New Roman"/>
        <family val="1"/>
        <charset val="204"/>
      </rPr>
      <t xml:space="preserve">, </t>
    </r>
    <r>
      <rPr>
        <sz val="10"/>
        <color theme="1"/>
        <rFont val="Times New Roman"/>
        <family val="1"/>
        <charset val="204"/>
      </rPr>
      <t>(из них: льготн. - 2391</t>
    </r>
    <r>
      <rPr>
        <i/>
        <sz val="8"/>
        <color theme="1"/>
        <rFont val="Times New Roman"/>
        <family val="1"/>
        <charset val="204"/>
      </rPr>
      <t>чел.</t>
    </r>
    <r>
      <rPr>
        <sz val="8"/>
        <color theme="1"/>
        <rFont val="Times New Roman"/>
        <family val="1"/>
        <charset val="204"/>
      </rPr>
      <t>,</t>
    </r>
    <r>
      <rPr>
        <sz val="10"/>
        <color theme="1"/>
        <rFont val="Times New Roman"/>
        <family val="1"/>
        <charset val="204"/>
      </rPr>
      <t xml:space="preserve"> беспл. - 1963</t>
    </r>
    <r>
      <rPr>
        <i/>
        <sz val="8"/>
        <color theme="1"/>
        <rFont val="Times New Roman"/>
        <family val="1"/>
        <charset val="204"/>
      </rPr>
      <t>чел.</t>
    </r>
    <r>
      <rPr>
        <sz val="10"/>
        <color theme="1"/>
        <rFont val="Times New Roman"/>
        <family val="1"/>
        <charset val="204"/>
      </rPr>
      <t>)</t>
    </r>
  </si>
  <si>
    <r>
      <rPr>
        <u/>
        <sz val="10"/>
        <color theme="1"/>
        <rFont val="Times New Roman"/>
        <family val="1"/>
        <charset val="204"/>
      </rPr>
      <t>январь- май</t>
    </r>
    <r>
      <rPr>
        <sz val="10"/>
        <color theme="1"/>
        <rFont val="Times New Roman"/>
        <family val="1"/>
        <charset val="204"/>
      </rPr>
      <t xml:space="preserve">: 57 руб.-завтраки в день, 71 руб. - обеды в день. </t>
    </r>
    <r>
      <rPr>
        <u/>
        <sz val="10"/>
        <color theme="1"/>
        <rFont val="Times New Roman"/>
        <family val="1"/>
        <charset val="204"/>
      </rPr>
      <t/>
    </r>
  </si>
  <si>
    <t>70 чел.</t>
  </si>
  <si>
    <r>
      <t xml:space="preserve">6 </t>
    </r>
    <r>
      <rPr>
        <i/>
        <sz val="8"/>
        <color theme="1"/>
        <rFont val="Times New Roman"/>
        <family val="1"/>
        <charset val="204"/>
      </rPr>
      <t>чел.</t>
    </r>
    <r>
      <rPr>
        <i/>
        <sz val="10"/>
        <color indexed="8"/>
        <rFont val="Times New Roman"/>
        <family val="1"/>
        <charset val="204"/>
      </rPr>
      <t/>
    </r>
  </si>
  <si>
    <t>2020-2021</t>
  </si>
  <si>
    <t>4502 выплаты</t>
  </si>
  <si>
    <t>коэф. 1 - 4091 руб.; коэф. 2 - 6136,50 руб.; коэф. 3 - 8182,0 руб.</t>
  </si>
  <si>
    <t>17250 руб. средний платеж по договору ренты в месяц (включая услуги по уходу)</t>
  </si>
  <si>
    <t xml:space="preserve">10190 чел. </t>
  </si>
  <si>
    <t xml:space="preserve">6160 чел. * 338,85 руб. * 12 мес. = 25048,0 тыс. руб.,  3305 чел. *339,95 руб.*12 мес.=13483,0; 725 чел.*339,95 руб.*6 мес. =1479,0
</t>
  </si>
  <si>
    <t>387 чел.</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</si>
  <si>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</si>
  <si>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</si>
  <si>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Выплаты в рамках договоров пожизненной ренты</t>
  </si>
  <si>
    <t>2 заявителя на  внесение изменений в договора ренты / 1 умерший рентополучатель</t>
  </si>
  <si>
    <t>81 чел.</t>
  </si>
  <si>
    <t xml:space="preserve">8чел. </t>
  </si>
  <si>
    <t xml:space="preserve">9218 чел. </t>
  </si>
  <si>
    <t xml:space="preserve">6471 чел. * 335,66 руб. * 12 мес. = 26065,0 тыс. руб.,  2747 чел. *338,18 руб.*4 мес.=3716,0
</t>
  </si>
  <si>
    <t>26 апреля - 179 чел*700,0 руб.; 9 мая - 3084 чел.(255 чел. *2000 руб., 2829 чел. *300 руб.); 9 декабря - 90 чел. *1200 руб;  30 октября - 1100 чел*700 руб..</t>
  </si>
  <si>
    <r>
      <t xml:space="preserve">ПГ - 18 </t>
    </r>
    <r>
      <rPr>
        <i/>
        <sz val="8"/>
        <color theme="1"/>
        <rFont val="Times New Roman"/>
        <family val="1"/>
        <charset val="204"/>
      </rPr>
      <t>чел. (17 чел.*12 мес,  1 чел.*3 мес., 1 чел. *8 мес., 1 чел*5 мес)</t>
    </r>
  </si>
  <si>
    <r>
      <t xml:space="preserve">2 </t>
    </r>
    <r>
      <rPr>
        <i/>
        <sz val="10"/>
        <color theme="1"/>
        <rFont val="Times New Roman"/>
        <family val="1"/>
        <charset val="204"/>
      </rPr>
      <t>чел.</t>
    </r>
  </si>
  <si>
    <t>1791,66 руб. (в среднем в месяц)</t>
  </si>
  <si>
    <t xml:space="preserve">93 чел.*12 мес. </t>
  </si>
  <si>
    <t xml:space="preserve">209 чел. </t>
  </si>
  <si>
    <t>17000 Комиссионное вознаграждение по операциям кредитной организациилибо доставка данных выплат через почтовые отделения связи,16000 руб. -  оплата услуг, связанных  с заключением договоров ренты  / 27500 руб. - оплата ритуальных услуг на 1 чел.</t>
  </si>
  <si>
    <t>3724 выплаты</t>
  </si>
  <si>
    <t>4273 выплаты</t>
  </si>
  <si>
    <t>151 чел.,               в т.ч.: учащ-ся - 75 чел., студенты -   76 чел.</t>
  </si>
  <si>
    <r>
      <t xml:space="preserve">4322 </t>
    </r>
    <r>
      <rPr>
        <sz val="8"/>
        <color theme="1"/>
        <rFont val="Times New Roman"/>
        <family val="1"/>
        <charset val="204"/>
      </rPr>
      <t>чел</t>
    </r>
  </si>
  <si>
    <t>0,935 руб.</t>
  </si>
  <si>
    <t>11805,5 руб. средний платеж по договору ренты в месяц (включая услуги по уходу)</t>
  </si>
  <si>
    <t>5 заявителей на  внесение изменений в договора ренты / 1 умерший рентополучатель</t>
  </si>
  <si>
    <t xml:space="preserve"> </t>
  </si>
  <si>
    <t>40 чел.</t>
  </si>
  <si>
    <t>1000,0 руб.
 в месяц *  9 мес.</t>
  </si>
  <si>
    <t>ВСЕГО по задаче 5 с учетом  по главным распорядителям бюджетных средств:</t>
  </si>
  <si>
    <t>3894 чел., в т.ч.: завтраки -601 чел., обеды -3293 чел., (из них: льготн. - 1751 чел., беспл. - 2143 чел.)</t>
  </si>
  <si>
    <t xml:space="preserve">132 получателей, в т.ч.: ТЖС - 82 получателя, ЧО - 50 получателей </t>
  </si>
  <si>
    <t>17000 Комиссионное вознаграждение по операциям кредитной организациилибо доставка данных выплат через почтовые отделения связи,6500 руб. -  оплата услуг, связанных  с заключением договоров ренты  / 110000 руб. - оплата ритуальных услуг на 2 чел.</t>
  </si>
  <si>
    <t>учащ-ся - 557,0 руб., студенты -      795 руб.</t>
  </si>
  <si>
    <r>
      <t xml:space="preserve">Задача: </t>
    </r>
    <r>
      <rPr>
        <sz val="14"/>
        <color theme="1"/>
        <rFont val="Times New Roman"/>
        <family val="1"/>
        <charset val="204"/>
      </rPr>
      <t xml:space="preserve"> 11Предоставление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r>
  </si>
  <si>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t>
  </si>
  <si>
    <t>Департамент информационных технологий и связи(МАУ "МФЦ"), Департамент культуры</t>
  </si>
  <si>
    <t>79 чел, в т.ч.:. профессорско-преподавательский состав  - 29 чел., административно–управленческй  и вспомогательный персонал - 27 чел., студенты - 23 чел.</t>
  </si>
  <si>
    <t>профессорско-преподавательский состав  - 50 000,0 руб. , административно–управленческй  и вспомогательный персонал - 18740,0руб, , студенты - 100 000 руб.</t>
  </si>
  <si>
    <t>ИТОГО по задаче 11</t>
  </si>
  <si>
    <t>6867 чел.</t>
  </si>
  <si>
    <t>3540 выплат</t>
  </si>
  <si>
    <t>88 чел.,               в т.ч.: учащ-ся - 50 чел., студенты -   38 чел.</t>
  </si>
  <si>
    <t>3423 чел.</t>
  </si>
  <si>
    <r>
      <t xml:space="preserve">10,0 </t>
    </r>
    <r>
      <rPr>
        <i/>
        <sz val="8"/>
        <color theme="1"/>
        <rFont val="Times New Roman"/>
        <family val="1"/>
        <charset val="204"/>
      </rPr>
      <t>т.руб.</t>
    </r>
    <r>
      <rPr>
        <sz val="10"/>
        <color theme="1"/>
        <rFont val="Times New Roman"/>
        <family val="1"/>
        <charset val="204"/>
      </rPr>
      <t xml:space="preserve"> на 1 чел. </t>
    </r>
  </si>
  <si>
    <t>1500 руб. (в среднем в месяц)</t>
  </si>
  <si>
    <t xml:space="preserve">109 получателей, в т.ч.: ТЖС - 57 получателя, ЧО - 52 получателей </t>
  </si>
  <si>
    <t>13847,2 руб. средний платеж по договору ренты в месяц (включая услуги по уходу)</t>
  </si>
  <si>
    <t>средний размер доплаты - 326,3 руб.</t>
  </si>
  <si>
    <t xml:space="preserve">83 чел.*12 мес. </t>
  </si>
  <si>
    <t>1159 руб.</t>
  </si>
  <si>
    <t>327 чел.</t>
  </si>
  <si>
    <t>26 апреля - 177 чел*700,0 руб.; 9 мая - 2156 чел.(196 чел. *2000 руб., 1960 чел. *300 руб.); 9 декабря - 90 чел. *1200 руб;  30 октября - 1000 чел*700 руб..</t>
  </si>
  <si>
    <t>3 736 чел., в т.ч.: завтраки -667 чел., обеды - 3069 чел., (из них: льготн. - 1114 чел., беспл. - 2622 чел.)</t>
  </si>
  <si>
    <t>январь: 57 руб.- завтраки в день, 71 руб. - обеды в день;
февраль-декабрь: 63,8 руб.- завтраки в день, 79,4 руб. - обеды в день</t>
  </si>
  <si>
    <t>8 выплат</t>
  </si>
  <si>
    <t>коэф. 1 - 4435 руб.; коэф. 2 - 6652,50 руб.; коэф. 3 - 8870,0 руб.</t>
  </si>
  <si>
    <t>3475 чел. в т.ч. Завтраки -357 чел., обеды 3118 чел. (из них льготн - 1631 чел., беспл. 1844 чел.)</t>
  </si>
  <si>
    <t>январь-декабрь 63,8 руб.-завтраки в день, , 79,4 руб. - обеды в день</t>
  </si>
  <si>
    <t>Дети до 3- лет 41,04  руб., от 3-х до 7 лет - 49,73 руб.</t>
  </si>
  <si>
    <t>3336 выплат</t>
  </si>
  <si>
    <t>3673 выплаты</t>
  </si>
  <si>
    <t>коэф. 1 - 4710,0 руб.; коэф. 2 - 7065,0 руб.; коэф. 3 - 9420,0 руб.</t>
  </si>
  <si>
    <t>9 выплат</t>
  </si>
  <si>
    <t>238,0 тыс руб.</t>
  </si>
  <si>
    <t>6 выплат</t>
  </si>
  <si>
    <t>3620 чел.</t>
  </si>
  <si>
    <t xml:space="preserve">26 апреля - 179 чел*700,0 руб.; 9 мая - 2267 чел.(206 чел. *2000 руб., 2061 чел. *300 руб.);30 октября - 1085 чел*700 руб.; 9 декабря - 89 чел. *1200 руб;  </t>
  </si>
  <si>
    <r>
      <t xml:space="preserve">ПГ - 17 </t>
    </r>
    <r>
      <rPr>
        <i/>
        <sz val="8"/>
        <rFont val="Times New Roman"/>
        <family val="1"/>
        <charset val="204"/>
      </rPr>
      <t>чел. *13931,4*12 мес</t>
    </r>
  </si>
  <si>
    <r>
      <t xml:space="preserve">ПГ - 19 </t>
    </r>
    <r>
      <rPr>
        <i/>
        <sz val="8"/>
        <rFont val="Times New Roman"/>
        <family val="1"/>
        <charset val="204"/>
      </rPr>
      <t>чел. *14000*12 мес</t>
    </r>
  </si>
  <si>
    <r>
      <t xml:space="preserve">5 </t>
    </r>
    <r>
      <rPr>
        <i/>
        <sz val="8"/>
        <rFont val="Times New Roman"/>
        <family val="1"/>
        <charset val="204"/>
      </rPr>
      <t>чел.</t>
    </r>
    <r>
      <rPr>
        <i/>
        <sz val="10"/>
        <rFont val="Times New Roman"/>
        <family val="1"/>
        <charset val="204"/>
      </rPr>
      <t/>
    </r>
  </si>
  <si>
    <r>
      <t xml:space="preserve">4 чел. *10,0 </t>
    </r>
    <r>
      <rPr>
        <i/>
        <sz val="8"/>
        <rFont val="Times New Roman"/>
        <family val="1"/>
        <charset val="204"/>
      </rPr>
      <t>т.руб. *3 мес.+1 чел. *10 тыс. руб.*4 мес.</t>
    </r>
    <r>
      <rPr>
        <sz val="10"/>
        <rFont val="Times New Roman"/>
        <family val="1"/>
        <charset val="204"/>
      </rPr>
      <t xml:space="preserve"> на 1 чел. </t>
    </r>
  </si>
  <si>
    <r>
      <t xml:space="preserve">5 чел. *10,0 </t>
    </r>
    <r>
      <rPr>
        <i/>
        <sz val="8"/>
        <rFont val="Times New Roman"/>
        <family val="1"/>
        <charset val="204"/>
      </rPr>
      <t>т.руб. *12 МЕС.</t>
    </r>
  </si>
  <si>
    <t>1625 руб. (в среднем в месяц)</t>
  </si>
  <si>
    <t xml:space="preserve">135 получателей, в т.ч.: ТЖС - 88 получателя, ЧО - 47 получателей </t>
  </si>
  <si>
    <r>
      <t xml:space="preserve">6 </t>
    </r>
    <r>
      <rPr>
        <i/>
        <sz val="8"/>
        <rFont val="Times New Roman"/>
        <family val="1"/>
        <charset val="204"/>
      </rPr>
      <t>чел.</t>
    </r>
    <r>
      <rPr>
        <i/>
        <sz val="10"/>
        <color indexed="8"/>
        <rFont val="Times New Roman"/>
        <family val="1"/>
        <charset val="204"/>
      </rPr>
      <t/>
    </r>
  </si>
  <si>
    <t>28083,3 руб. средний платеж по договору ренты в месяц (включая услуги по уходу)</t>
  </si>
  <si>
    <t>1 заявитель на  внесение изменений в договора ренты / 2 умерших рентополучателя</t>
  </si>
  <si>
    <t>28000  Комиссионное вознаграждение по операциям кредитной организациилибо доставка данных выплат через почтовые отделения связи, 7500руб. -  оплата услуг, связанных  с заключением договоров ренты  / 110000 руб. - оплата ритуальных услуг на 2 чел.</t>
  </si>
  <si>
    <t>7435 чел.</t>
  </si>
  <si>
    <t>средний размер доплаты - 324  руб.</t>
  </si>
  <si>
    <t xml:space="preserve">90 чел.*12 мес. </t>
  </si>
</sst>
</file>

<file path=xl/styles.xml><?xml version="1.0" encoding="utf-8"?>
<styleSheet xmlns="http://schemas.openxmlformats.org/spreadsheetml/2006/main">
  <numFmts count="2">
    <numFmt numFmtId="164" formatCode="0.0"/>
    <numFmt numFmtId="165" formatCode="#,##0.0"/>
  </numFmts>
  <fonts count="58">
    <font>
      <sz val="11"/>
      <color theme="1"/>
      <name val="Calibri"/>
      <family val="2"/>
      <charset val="204"/>
      <scheme val="minor"/>
    </font>
    <font>
      <sz val="11"/>
      <name val="Calibri"/>
      <family val="2"/>
      <charset val="204"/>
    </font>
    <font>
      <sz val="11"/>
      <name val="Times New Roman"/>
      <family val="1"/>
      <charset val="204"/>
    </font>
    <font>
      <sz val="14"/>
      <name val="Times New Roman"/>
      <family val="1"/>
      <charset val="204"/>
    </font>
    <font>
      <sz val="12"/>
      <name val="Times New Roman"/>
      <family val="1"/>
      <charset val="204"/>
    </font>
    <font>
      <sz val="7"/>
      <name val="Times New Roman"/>
      <family val="1"/>
      <charset val="204"/>
    </font>
    <font>
      <i/>
      <u/>
      <sz val="14"/>
      <name val="Times New Roman"/>
      <family val="1"/>
      <charset val="204"/>
    </font>
    <font>
      <sz val="8"/>
      <name val="Times New Roman"/>
      <family val="1"/>
      <charset val="204"/>
    </font>
    <font>
      <i/>
      <sz val="12"/>
      <name val="Times New Roman"/>
      <family val="1"/>
      <charset val="204"/>
    </font>
    <font>
      <sz val="10"/>
      <name val="Times New Roman"/>
      <family val="1"/>
      <charset val="204"/>
    </font>
    <font>
      <sz val="13"/>
      <name val="Times New Roman"/>
      <family val="1"/>
      <charset val="204"/>
    </font>
    <font>
      <b/>
      <sz val="14"/>
      <name val="Times New Roman"/>
      <family val="1"/>
      <charset val="204"/>
    </font>
    <font>
      <b/>
      <sz val="10"/>
      <name val="Times New Roman"/>
      <family val="1"/>
      <charset val="204"/>
    </font>
    <font>
      <b/>
      <sz val="11"/>
      <name val="Times New Roman"/>
      <family val="1"/>
      <charset val="204"/>
    </font>
    <font>
      <i/>
      <sz val="10"/>
      <name val="Times New Roman"/>
      <family val="1"/>
      <charset val="204"/>
    </font>
    <font>
      <i/>
      <sz val="8"/>
      <name val="Times New Roman"/>
      <family val="1"/>
      <charset val="204"/>
    </font>
    <font>
      <i/>
      <sz val="10"/>
      <color indexed="8"/>
      <name val="Times New Roman"/>
      <family val="1"/>
      <charset val="204"/>
    </font>
    <font>
      <i/>
      <u/>
      <sz val="8"/>
      <name val="Times New Roman"/>
      <family val="1"/>
      <charset val="204"/>
    </font>
    <font>
      <u/>
      <sz val="10"/>
      <name val="Times New Roman"/>
      <family val="1"/>
      <charset val="204"/>
    </font>
    <font>
      <b/>
      <sz val="13"/>
      <name val="Times New Roman"/>
      <family val="1"/>
      <charset val="204"/>
    </font>
    <font>
      <i/>
      <sz val="8"/>
      <color indexed="8"/>
      <name val="Times New Roman"/>
      <family val="1"/>
      <charset val="204"/>
    </font>
    <font>
      <i/>
      <sz val="11"/>
      <name val="Times New Roman"/>
      <family val="1"/>
      <charset val="204"/>
    </font>
    <font>
      <b/>
      <sz val="16"/>
      <name val="Times New Roman"/>
      <family val="1"/>
      <charset val="204"/>
    </font>
    <font>
      <i/>
      <sz val="11"/>
      <color indexed="8"/>
      <name val="Times New Roman"/>
      <family val="1"/>
      <charset val="204"/>
    </font>
    <font>
      <b/>
      <sz val="12"/>
      <name val="Times New Roman"/>
      <family val="1"/>
      <charset val="204"/>
    </font>
    <font>
      <b/>
      <sz val="11"/>
      <name val="Calibri"/>
      <family val="2"/>
      <charset val="204"/>
    </font>
    <font>
      <sz val="10"/>
      <color theme="1"/>
      <name val="Times New Roman"/>
      <family val="1"/>
      <charset val="204"/>
    </font>
    <font>
      <i/>
      <sz val="11"/>
      <color theme="1"/>
      <name val="Times New Roman"/>
      <family val="1"/>
      <charset val="204"/>
    </font>
    <font>
      <sz val="11"/>
      <color theme="1"/>
      <name val="Times New Roman"/>
      <family val="1"/>
      <charset val="204"/>
    </font>
    <font>
      <i/>
      <sz val="10"/>
      <color theme="1"/>
      <name val="Times New Roman"/>
      <family val="1"/>
      <charset val="204"/>
    </font>
    <font>
      <sz val="10"/>
      <color rgb="FFFF0000"/>
      <name val="Times New Roman"/>
      <family val="1"/>
      <charset val="204"/>
    </font>
    <font>
      <sz val="11"/>
      <color rgb="FFFF0000"/>
      <name val="Times New Roman"/>
      <family val="1"/>
      <charset val="204"/>
    </font>
    <font>
      <sz val="12"/>
      <color theme="1"/>
      <name val="Times New Roman"/>
      <family val="1"/>
      <charset val="204"/>
    </font>
    <font>
      <sz val="13"/>
      <color theme="1"/>
      <name val="Times New Roman"/>
      <family val="1"/>
      <charset val="204"/>
    </font>
    <font>
      <sz val="8"/>
      <color theme="1"/>
      <name val="Times New Roman"/>
      <family val="1"/>
      <charset val="204"/>
    </font>
    <font>
      <sz val="11"/>
      <color theme="1"/>
      <name val="Calibri"/>
      <family val="2"/>
      <charset val="204"/>
    </font>
    <font>
      <b/>
      <sz val="11"/>
      <color theme="1"/>
      <name val="Calibri"/>
      <family val="2"/>
      <charset val="204"/>
    </font>
    <font>
      <i/>
      <sz val="8"/>
      <color rgb="FFFF0000"/>
      <name val="Times New Roman"/>
      <family val="1"/>
      <charset val="204"/>
    </font>
    <font>
      <i/>
      <sz val="10"/>
      <color rgb="FFFF0000"/>
      <name val="Times New Roman"/>
      <family val="1"/>
      <charset val="204"/>
    </font>
    <font>
      <sz val="12"/>
      <color rgb="FFFF0000"/>
      <name val="Times New Roman"/>
      <family val="1"/>
      <charset val="204"/>
    </font>
    <font>
      <i/>
      <u/>
      <sz val="8"/>
      <color rgb="FFFF0000"/>
      <name val="Times New Roman"/>
      <family val="1"/>
      <charset val="204"/>
    </font>
    <font>
      <u/>
      <sz val="10"/>
      <color rgb="FFFF0000"/>
      <name val="Times New Roman"/>
      <family val="1"/>
      <charset val="204"/>
    </font>
    <font>
      <sz val="13"/>
      <color rgb="FFFF0000"/>
      <name val="Times New Roman"/>
      <family val="1"/>
      <charset val="204"/>
    </font>
    <font>
      <b/>
      <sz val="13"/>
      <color rgb="FFFF0000"/>
      <name val="Times New Roman"/>
      <family val="1"/>
      <charset val="204"/>
    </font>
    <font>
      <b/>
      <sz val="14"/>
      <color rgb="FFFF0000"/>
      <name val="Times New Roman"/>
      <family val="1"/>
      <charset val="204"/>
    </font>
    <font>
      <i/>
      <sz val="8"/>
      <color theme="1"/>
      <name val="Times New Roman"/>
      <family val="1"/>
      <charset val="204"/>
    </font>
    <font>
      <i/>
      <u/>
      <sz val="8"/>
      <color theme="1"/>
      <name val="Times New Roman"/>
      <family val="1"/>
      <charset val="204"/>
    </font>
    <font>
      <u/>
      <sz val="10"/>
      <color theme="1"/>
      <name val="Times New Roman"/>
      <family val="1"/>
      <charset val="204"/>
    </font>
    <font>
      <b/>
      <sz val="14"/>
      <color theme="1"/>
      <name val="Times New Roman"/>
      <family val="1"/>
      <charset val="204"/>
    </font>
    <font>
      <sz val="8"/>
      <color rgb="FFFF0000"/>
      <name val="Times New Roman"/>
      <family val="1"/>
      <charset val="204"/>
    </font>
    <font>
      <b/>
      <sz val="10"/>
      <color theme="1"/>
      <name val="Times New Roman"/>
      <family val="1"/>
      <charset val="204"/>
    </font>
    <font>
      <b/>
      <sz val="11"/>
      <color theme="1"/>
      <name val="Times New Roman"/>
      <family val="1"/>
      <charset val="204"/>
    </font>
    <font>
      <sz val="14"/>
      <color theme="1"/>
      <name val="Times New Roman"/>
      <family val="1"/>
      <charset val="204"/>
    </font>
    <font>
      <sz val="7"/>
      <color theme="1"/>
      <name val="Times New Roman"/>
      <family val="1"/>
      <charset val="204"/>
    </font>
    <font>
      <b/>
      <sz val="13"/>
      <color theme="1"/>
      <name val="Times New Roman"/>
      <family val="1"/>
      <charset val="204"/>
    </font>
    <font>
      <b/>
      <sz val="12"/>
      <color theme="1"/>
      <name val="Times New Roman"/>
      <family val="1"/>
      <charset val="204"/>
    </font>
    <font>
      <i/>
      <u/>
      <sz val="14"/>
      <color theme="1"/>
      <name val="Times New Roman"/>
      <family val="1"/>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0">
    <xf numFmtId="0" fontId="0" fillId="0" borderId="0" xfId="0"/>
    <xf numFmtId="165" fontId="2" fillId="2" borderId="1" xfId="0" applyNumberFormat="1" applyFont="1" applyFill="1" applyBorder="1" applyAlignment="1">
      <alignment horizontal="center" vertical="top"/>
    </xf>
    <xf numFmtId="165" fontId="4" fillId="2" borderId="1" xfId="0" applyNumberFormat="1" applyFont="1" applyFill="1" applyBorder="1" applyAlignment="1">
      <alignment horizontal="center" vertical="top"/>
    </xf>
    <xf numFmtId="165" fontId="10" fillId="2" borderId="1" xfId="0" applyNumberFormat="1" applyFont="1" applyFill="1" applyBorder="1" applyAlignment="1">
      <alignment horizontal="center" vertical="top"/>
    </xf>
    <xf numFmtId="164"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 fillId="2" borderId="0" xfId="0" applyFont="1" applyFill="1"/>
    <xf numFmtId="0" fontId="2" fillId="2" borderId="0" xfId="0" applyFont="1" applyFill="1"/>
    <xf numFmtId="0" fontId="25" fillId="2" borderId="0" xfId="0" applyFont="1" applyFill="1"/>
    <xf numFmtId="0" fontId="4" fillId="2" borderId="1" xfId="0" applyFont="1" applyFill="1" applyBorder="1" applyAlignment="1">
      <alignment vertical="top" wrapText="1"/>
    </xf>
    <xf numFmtId="3" fontId="9" fillId="2" borderId="1" xfId="0" applyNumberFormat="1" applyFont="1" applyFill="1" applyBorder="1" applyAlignment="1">
      <alignment horizontal="center" vertical="top" wrapText="1"/>
    </xf>
    <xf numFmtId="0" fontId="4" fillId="2" borderId="1" xfId="0" applyFont="1" applyFill="1" applyBorder="1" applyAlignment="1">
      <alignment horizontal="center" vertical="top"/>
    </xf>
    <xf numFmtId="3" fontId="14" fillId="2" borderId="1" xfId="0" applyNumberFormat="1" applyFont="1" applyFill="1" applyBorder="1" applyAlignment="1">
      <alignment horizontal="center" vertical="top" wrapText="1"/>
    </xf>
    <xf numFmtId="3" fontId="1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xf>
    <xf numFmtId="16" fontId="4" fillId="2" borderId="1" xfId="0" applyNumberFormat="1" applyFont="1" applyFill="1" applyBorder="1" applyAlignment="1">
      <alignment horizontal="center" vertical="top"/>
    </xf>
    <xf numFmtId="49" fontId="4" fillId="2" borderId="1" xfId="0" applyNumberFormat="1" applyFont="1" applyFill="1" applyBorder="1" applyAlignment="1">
      <alignment horizontal="center" vertical="center"/>
    </xf>
    <xf numFmtId="1" fontId="2" fillId="2" borderId="3" xfId="0" applyNumberFormat="1" applyFont="1" applyFill="1" applyBorder="1" applyAlignment="1">
      <alignment horizontal="center" vertical="top" wrapText="1"/>
    </xf>
    <xf numFmtId="0" fontId="2" fillId="2" borderId="3" xfId="0" applyFont="1" applyFill="1" applyBorder="1" applyAlignment="1">
      <alignment horizontal="center" vertical="top" wrapText="1"/>
    </xf>
    <xf numFmtId="165" fontId="2" fillId="2" borderId="3" xfId="0" applyNumberFormat="1" applyFont="1" applyFill="1" applyBorder="1" applyAlignment="1">
      <alignment horizontal="center" vertical="top"/>
    </xf>
    <xf numFmtId="49" fontId="4" fillId="2" borderId="1" xfId="0" applyNumberFormat="1" applyFont="1" applyFill="1" applyBorder="1" applyAlignment="1">
      <alignment horizontal="center" vertical="top"/>
    </xf>
    <xf numFmtId="165" fontId="10"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0" fontId="25" fillId="2" borderId="0" xfId="0" applyFont="1" applyFill="1" applyAlignment="1">
      <alignment wrapText="1"/>
    </xf>
    <xf numFmtId="0" fontId="4" fillId="2" borderId="3" xfId="0" applyFont="1" applyFill="1" applyBorder="1" applyAlignment="1">
      <alignment horizontal="center" vertical="top"/>
    </xf>
    <xf numFmtId="2" fontId="9" fillId="2" borderId="1" xfId="0" applyNumberFormat="1" applyFont="1" applyFill="1" applyBorder="1" applyAlignment="1">
      <alignment horizontal="center" vertical="top" wrapText="1"/>
    </xf>
    <xf numFmtId="0" fontId="1" fillId="2" borderId="0" xfId="0" applyFont="1" applyFill="1" applyAlignment="1">
      <alignment horizontal="center"/>
    </xf>
    <xf numFmtId="0" fontId="12" fillId="2" borderId="3" xfId="0" applyFont="1" applyFill="1" applyBorder="1" applyAlignment="1">
      <alignment horizontal="center" vertical="center" textRotation="90" wrapText="1"/>
    </xf>
    <xf numFmtId="0" fontId="4"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4" fillId="2" borderId="3" xfId="0" applyNumberFormat="1" applyFont="1" applyFill="1" applyBorder="1" applyAlignment="1">
      <alignment horizontal="left" vertical="top" wrapText="1"/>
    </xf>
    <xf numFmtId="0" fontId="9" fillId="2" borderId="1" xfId="0" applyFont="1" applyFill="1" applyBorder="1" applyAlignment="1">
      <alignment horizontal="center" vertical="top" wrapText="1"/>
    </xf>
    <xf numFmtId="0" fontId="4" fillId="2" borderId="1" xfId="0" applyNumberFormat="1" applyFont="1" applyFill="1" applyBorder="1" applyAlignment="1">
      <alignmen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left" vertical="top" wrapText="1"/>
    </xf>
    <xf numFmtId="0" fontId="32" fillId="2" borderId="4" xfId="0" applyFont="1" applyFill="1" applyBorder="1" applyAlignment="1">
      <alignment horizontal="center" vertical="top" wrapText="1"/>
    </xf>
    <xf numFmtId="0" fontId="32" fillId="2" borderId="1" xfId="0" applyFont="1" applyFill="1" applyBorder="1" applyAlignment="1">
      <alignment horizontal="center" vertical="top" wrapText="1"/>
    </xf>
    <xf numFmtId="165" fontId="28" fillId="2" borderId="1" xfId="0" applyNumberFormat="1" applyFont="1" applyFill="1" applyBorder="1" applyAlignment="1">
      <alignment horizontal="center" vertical="top"/>
    </xf>
    <xf numFmtId="3" fontId="30" fillId="2" borderId="1" xfId="0" applyNumberFormat="1" applyFont="1" applyFill="1" applyBorder="1" applyAlignment="1">
      <alignment horizontal="center" vertical="top" wrapText="1"/>
    </xf>
    <xf numFmtId="165" fontId="31" fillId="2" borderId="1" xfId="0" applyNumberFormat="1" applyFont="1" applyFill="1" applyBorder="1" applyAlignment="1">
      <alignment horizontal="center" vertical="top"/>
    </xf>
    <xf numFmtId="3" fontId="19" fillId="2" borderId="1" xfId="0" applyNumberFormat="1" applyFont="1" applyFill="1" applyBorder="1" applyAlignment="1">
      <alignment horizontal="center" vertical="top"/>
    </xf>
    <xf numFmtId="3" fontId="24" fillId="2" borderId="1" xfId="0" applyNumberFormat="1" applyFont="1" applyFill="1" applyBorder="1" applyAlignment="1">
      <alignment horizontal="center" vertical="top"/>
    </xf>
    <xf numFmtId="165" fontId="24" fillId="2" borderId="1" xfId="0" applyNumberFormat="1" applyFont="1" applyFill="1" applyBorder="1" applyAlignment="1">
      <alignment horizontal="right" vertical="top"/>
    </xf>
    <xf numFmtId="3" fontId="19" fillId="2" borderId="1" xfId="0" applyNumberFormat="1" applyFont="1" applyFill="1" applyBorder="1" applyAlignment="1">
      <alignment horizontal="right" vertical="top"/>
    </xf>
    <xf numFmtId="3" fontId="24" fillId="2" borderId="1" xfId="0" applyNumberFormat="1" applyFont="1" applyFill="1" applyBorder="1" applyAlignment="1">
      <alignment horizontal="right" vertical="top"/>
    </xf>
    <xf numFmtId="3" fontId="10" fillId="2" borderId="1" xfId="0" applyNumberFormat="1" applyFont="1" applyFill="1" applyBorder="1" applyAlignment="1">
      <alignment horizontal="center" vertical="top"/>
    </xf>
    <xf numFmtId="3" fontId="4" fillId="2" borderId="1" xfId="0" applyNumberFormat="1" applyFont="1" applyFill="1" applyBorder="1" applyAlignment="1">
      <alignment horizontal="center" vertical="top"/>
    </xf>
    <xf numFmtId="165" fontId="2" fillId="2" borderId="1"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0" fontId="3" fillId="2" borderId="1" xfId="0" applyFont="1" applyFill="1" applyBorder="1" applyAlignment="1">
      <alignment horizontal="center" vertical="top" wrapText="1"/>
    </xf>
    <xf numFmtId="0" fontId="4" fillId="2" borderId="1" xfId="0" applyFont="1" applyFill="1" applyBorder="1" applyAlignment="1">
      <alignment horizontal="justify" vertical="top" wrapText="1"/>
    </xf>
    <xf numFmtId="3" fontId="10" fillId="2" borderId="1" xfId="0" applyNumberFormat="1" applyFont="1" applyFill="1" applyBorder="1" applyAlignment="1">
      <alignment horizontal="right" vertical="top"/>
    </xf>
    <xf numFmtId="3" fontId="4" fillId="2" borderId="1" xfId="0" applyNumberFormat="1" applyFont="1" applyFill="1" applyBorder="1" applyAlignment="1">
      <alignment horizontal="right" vertical="top"/>
    </xf>
    <xf numFmtId="165" fontId="4" fillId="2" borderId="1" xfId="0" applyNumberFormat="1" applyFont="1" applyFill="1" applyBorder="1" applyAlignment="1">
      <alignment horizontal="right" vertical="top"/>
    </xf>
    <xf numFmtId="0" fontId="4" fillId="2" borderId="1" xfId="0" applyNumberFormat="1" applyFont="1" applyFill="1" applyBorder="1" applyAlignment="1">
      <alignment horizontal="center" vertical="top"/>
    </xf>
    <xf numFmtId="3" fontId="29" fillId="2" borderId="1"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left" vertical="center"/>
    </xf>
    <xf numFmtId="49" fontId="4" fillId="2" borderId="1" xfId="0" applyNumberFormat="1" applyFont="1" applyFill="1" applyBorder="1" applyAlignment="1">
      <alignment horizontal="left" vertical="center" wrapText="1"/>
    </xf>
    <xf numFmtId="0" fontId="3" fillId="2" borderId="1" xfId="0" applyFont="1" applyFill="1" applyBorder="1" applyAlignment="1">
      <alignment horizontal="center" vertical="top"/>
    </xf>
    <xf numFmtId="0" fontId="4" fillId="2" borderId="1" xfId="0" applyFont="1" applyFill="1" applyBorder="1" applyAlignment="1">
      <alignment horizontal="left" vertical="top" wrapText="1"/>
    </xf>
    <xf numFmtId="3" fontId="12" fillId="2" borderId="1" xfId="0" applyNumberFormat="1" applyFont="1" applyFill="1" applyBorder="1" applyAlignment="1">
      <alignment horizontal="center" vertical="top" wrapText="1"/>
    </xf>
    <xf numFmtId="165" fontId="13" fillId="2" borderId="1" xfId="0" applyNumberFormat="1" applyFont="1" applyFill="1" applyBorder="1" applyAlignment="1">
      <alignment horizontal="center" vertical="top"/>
    </xf>
    <xf numFmtId="16"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10" fillId="2" borderId="1" xfId="0" applyFont="1" applyFill="1" applyBorder="1" applyAlignment="1">
      <alignment horizontal="left" vertical="top"/>
    </xf>
    <xf numFmtId="49" fontId="7" fillId="2" borderId="1"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165" fontId="4" fillId="2" borderId="4" xfId="0" applyNumberFormat="1" applyFont="1" applyFill="1" applyBorder="1" applyAlignment="1">
      <alignment horizontal="center" vertical="top"/>
    </xf>
    <xf numFmtId="0" fontId="32" fillId="2" borderId="1" xfId="0" applyFont="1" applyFill="1" applyBorder="1" applyAlignment="1">
      <alignment horizontal="left" vertical="top" wrapText="1"/>
    </xf>
    <xf numFmtId="49" fontId="4" fillId="2" borderId="5" xfId="0" applyNumberFormat="1" applyFont="1" applyFill="1" applyBorder="1" applyAlignment="1">
      <alignment horizontal="center" vertical="top"/>
    </xf>
    <xf numFmtId="0" fontId="19" fillId="2" borderId="1" xfId="0" applyFont="1" applyFill="1" applyBorder="1" applyAlignment="1">
      <alignment horizontal="left" vertical="top"/>
    </xf>
    <xf numFmtId="0" fontId="33" fillId="2" borderId="1" xfId="0" applyFont="1" applyFill="1" applyBorder="1" applyAlignment="1">
      <alignment horizontal="left" vertical="top" wrapText="1"/>
    </xf>
    <xf numFmtId="0" fontId="10" fillId="2" borderId="6" xfId="0" applyFont="1" applyFill="1" applyBorder="1" applyAlignment="1">
      <alignment horizontal="left" vertical="top" wrapText="1"/>
    </xf>
    <xf numFmtId="165" fontId="10" fillId="2" borderId="4" xfId="0" applyNumberFormat="1" applyFont="1" applyFill="1" applyBorder="1" applyAlignment="1">
      <alignment horizontal="center" vertical="top"/>
    </xf>
    <xf numFmtId="165" fontId="22" fillId="2" borderId="1" xfId="0" applyNumberFormat="1" applyFont="1" applyFill="1" applyBorder="1" applyAlignment="1">
      <alignment horizontal="center" vertical="top"/>
    </xf>
    <xf numFmtId="165" fontId="11" fillId="2" borderId="1" xfId="0" applyNumberFormat="1" applyFont="1" applyFill="1" applyBorder="1" applyAlignment="1">
      <alignment horizontal="center" vertical="top"/>
    </xf>
    <xf numFmtId="0" fontId="2" fillId="2" borderId="0" xfId="0" applyFont="1" applyFill="1" applyBorder="1" applyAlignment="1">
      <alignment horizontal="center" vertical="center"/>
    </xf>
    <xf numFmtId="0" fontId="1" fillId="2" borderId="0" xfId="0" applyFont="1" applyFill="1" applyBorder="1"/>
    <xf numFmtId="165" fontId="10" fillId="2" borderId="0" xfId="0" applyNumberFormat="1" applyFont="1" applyFill="1" applyBorder="1" applyAlignment="1">
      <alignment horizontal="left" wrapText="1"/>
    </xf>
    <xf numFmtId="165" fontId="1" fillId="2" borderId="0" xfId="0" applyNumberFormat="1" applyFont="1" applyFill="1"/>
    <xf numFmtId="3" fontId="21" fillId="2" borderId="1" xfId="0" applyNumberFormat="1" applyFont="1" applyFill="1" applyBorder="1" applyAlignment="1">
      <alignment horizontal="center" vertical="top" wrapText="1"/>
    </xf>
    <xf numFmtId="3" fontId="26" fillId="2" borderId="1" xfId="0" applyNumberFormat="1" applyFont="1" applyFill="1" applyBorder="1" applyAlignment="1">
      <alignment horizontal="center" vertical="top" wrapText="1"/>
    </xf>
    <xf numFmtId="3" fontId="15" fillId="2" borderId="1" xfId="0" applyNumberFormat="1" applyFont="1" applyFill="1" applyBorder="1" applyAlignment="1">
      <alignment horizontal="center" vertical="top" wrapText="1"/>
    </xf>
    <xf numFmtId="3" fontId="27" fillId="2" borderId="1" xfId="0" applyNumberFormat="1" applyFont="1" applyFill="1" applyBorder="1" applyAlignment="1">
      <alignment horizontal="center" vertical="top" wrapText="1"/>
    </xf>
    <xf numFmtId="0" fontId="4" fillId="2" borderId="2" xfId="0" applyFont="1" applyFill="1" applyBorder="1" applyAlignment="1">
      <alignment horizontal="center" vertical="top"/>
    </xf>
    <xf numFmtId="0" fontId="4" fillId="2" borderId="2" xfId="0" applyFont="1" applyFill="1" applyBorder="1" applyAlignment="1">
      <alignment vertical="top" wrapText="1"/>
    </xf>
    <xf numFmtId="165" fontId="24" fillId="2" borderId="1" xfId="0" applyNumberFormat="1" applyFont="1" applyFill="1" applyBorder="1" applyAlignment="1">
      <alignment horizontal="center" vertical="top"/>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10" fillId="2" borderId="4"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32" fillId="2" borderId="1" xfId="0" applyFont="1" applyFill="1" applyBorder="1" applyAlignment="1">
      <alignment horizontal="center" vertical="top"/>
    </xf>
    <xf numFmtId="0" fontId="32" fillId="2" borderId="1" xfId="0" applyFont="1" applyFill="1" applyBorder="1" applyAlignment="1">
      <alignment vertical="top" wrapText="1"/>
    </xf>
    <xf numFmtId="0" fontId="32" fillId="2" borderId="2" xfId="0" applyFont="1" applyFill="1" applyBorder="1" applyAlignment="1">
      <alignment horizontal="center" vertical="center" wrapText="1"/>
    </xf>
    <xf numFmtId="165" fontId="32" fillId="2" borderId="1" xfId="0" applyNumberFormat="1" applyFont="1" applyFill="1" applyBorder="1" applyAlignment="1">
      <alignment horizontal="center" vertical="top"/>
    </xf>
    <xf numFmtId="0" fontId="35" fillId="2" borderId="0" xfId="0" applyFont="1" applyFill="1"/>
    <xf numFmtId="49" fontId="32" fillId="2" borderId="1" xfId="0" applyNumberFormat="1" applyFont="1" applyFill="1" applyBorder="1" applyAlignment="1">
      <alignment horizontal="center" vertical="top"/>
    </xf>
    <xf numFmtId="165" fontId="33" fillId="2" borderId="1" xfId="0" applyNumberFormat="1" applyFont="1" applyFill="1" applyBorder="1" applyAlignment="1">
      <alignment horizontal="center" vertical="top" wrapText="1"/>
    </xf>
    <xf numFmtId="165" fontId="32" fillId="2" borderId="1" xfId="0" applyNumberFormat="1" applyFont="1" applyFill="1" applyBorder="1" applyAlignment="1">
      <alignment horizontal="center" vertical="top" wrapText="1"/>
    </xf>
    <xf numFmtId="0" fontId="36" fillId="2" borderId="0" xfId="0" applyFont="1" applyFill="1"/>
    <xf numFmtId="0" fontId="11" fillId="2" borderId="0" xfId="0" applyFont="1" applyFill="1" applyAlignment="1">
      <alignment horizontal="center"/>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6" xfId="0" applyFont="1" applyFill="1" applyBorder="1" applyAlignment="1">
      <alignment horizontal="left" vertical="center"/>
    </xf>
    <xf numFmtId="0" fontId="4" fillId="2" borderId="3"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0" fillId="2" borderId="7" xfId="0" applyFill="1" applyBorder="1" applyAlignment="1">
      <alignment horizontal="center" vertical="top"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3" fontId="30" fillId="2" borderId="2" xfId="0" applyNumberFormat="1" applyFont="1" applyFill="1" applyBorder="1" applyAlignment="1">
      <alignment horizontal="center" vertical="top" wrapText="1"/>
    </xf>
    <xf numFmtId="165" fontId="31" fillId="2" borderId="2" xfId="0" applyNumberFormat="1" applyFont="1" applyFill="1" applyBorder="1" applyAlignment="1">
      <alignment horizontal="center" vertical="top"/>
    </xf>
    <xf numFmtId="165" fontId="39" fillId="2" borderId="1" xfId="0" applyNumberFormat="1" applyFont="1" applyFill="1" applyBorder="1" applyAlignment="1">
      <alignment horizontal="center" vertical="top"/>
    </xf>
    <xf numFmtId="165" fontId="42" fillId="2" borderId="1" xfId="0" applyNumberFormat="1" applyFont="1" applyFill="1" applyBorder="1" applyAlignment="1">
      <alignment horizontal="center" vertical="top"/>
    </xf>
    <xf numFmtId="1" fontId="31" fillId="2" borderId="3" xfId="0" applyNumberFormat="1" applyFont="1" applyFill="1" applyBorder="1" applyAlignment="1">
      <alignment horizontal="center" vertical="top" wrapText="1"/>
    </xf>
    <xf numFmtId="0" fontId="31" fillId="2" borderId="3" xfId="0" applyFont="1" applyFill="1" applyBorder="1" applyAlignment="1">
      <alignment horizontal="center" vertical="top" wrapText="1"/>
    </xf>
    <xf numFmtId="165" fontId="31" fillId="2" borderId="3" xfId="0" applyNumberFormat="1" applyFont="1" applyFill="1" applyBorder="1" applyAlignment="1">
      <alignment horizontal="center" vertical="top"/>
    </xf>
    <xf numFmtId="165" fontId="43" fillId="2" borderId="1" xfId="0" applyNumberFormat="1" applyFont="1" applyFill="1" applyBorder="1" applyAlignment="1">
      <alignment horizontal="center" vertical="top"/>
    </xf>
    <xf numFmtId="0" fontId="2" fillId="2" borderId="0" xfId="0" applyFont="1" applyFill="1" applyAlignment="1">
      <alignment horizontal="center" wrapText="1"/>
    </xf>
    <xf numFmtId="0" fontId="0" fillId="0" borderId="0" xfId="0" applyAlignment="1">
      <alignment horizontal="center" wrapText="1"/>
    </xf>
    <xf numFmtId="0" fontId="10" fillId="2" borderId="0" xfId="0" applyFont="1" applyFill="1" applyBorder="1" applyAlignment="1">
      <alignment horizontal="left"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xf>
    <xf numFmtId="0" fontId="19" fillId="2" borderId="7" xfId="0" applyFont="1" applyFill="1" applyBorder="1" applyAlignment="1">
      <alignment horizontal="center"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0" fontId="19" fillId="2" borderId="1" xfId="0" applyFont="1" applyFill="1" applyBorder="1" applyAlignment="1">
      <alignment horizontal="center" vertical="top"/>
    </xf>
    <xf numFmtId="165" fontId="11" fillId="2" borderId="5" xfId="0" applyNumberFormat="1" applyFont="1" applyFill="1" applyBorder="1" applyAlignment="1">
      <alignment horizontal="center" vertical="top"/>
    </xf>
    <xf numFmtId="165" fontId="11" fillId="2" borderId="6" xfId="0" applyNumberFormat="1" applyFont="1" applyFill="1" applyBorder="1" applyAlignment="1">
      <alignment horizontal="center" vertical="top"/>
    </xf>
    <xf numFmtId="165" fontId="11" fillId="2" borderId="4" xfId="0" applyNumberFormat="1" applyFont="1" applyFill="1" applyBorder="1" applyAlignment="1">
      <alignment horizontal="center" vertical="top"/>
    </xf>
    <xf numFmtId="0" fontId="6"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0" fontId="4" fillId="2" borderId="1" xfId="0" applyFont="1" applyFill="1" applyBorder="1" applyAlignment="1">
      <alignment horizontal="left" vertical="top"/>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11" fillId="2" borderId="5" xfId="0" applyFont="1" applyFill="1" applyBorder="1" applyAlignment="1">
      <alignment horizontal="center" vertical="top"/>
    </xf>
    <xf numFmtId="0" fontId="11" fillId="2" borderId="6" xfId="0" applyFont="1" applyFill="1" applyBorder="1" applyAlignment="1">
      <alignment horizontal="center" vertical="top"/>
    </xf>
    <xf numFmtId="0" fontId="6" fillId="2" borderId="6" xfId="0" applyFont="1" applyFill="1" applyBorder="1" applyAlignment="1">
      <alignment horizontal="left"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2" borderId="7" xfId="0" applyFill="1" applyBorder="1" applyAlignment="1">
      <alignment horizontal="center" vertical="top" wrapText="1"/>
    </xf>
    <xf numFmtId="0" fontId="4" fillId="2" borderId="3" xfId="0" applyFont="1" applyFill="1" applyBorder="1" applyAlignment="1">
      <alignment horizontal="center" vertical="top" wrapText="1"/>
    </xf>
    <xf numFmtId="0" fontId="0" fillId="2" borderId="10" xfId="0" applyFill="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10" fillId="2" borderId="5" xfId="0" applyFont="1" applyFill="1" applyBorder="1" applyAlignment="1">
      <alignment horizontal="left" vertical="center"/>
    </xf>
    <xf numFmtId="0" fontId="0" fillId="2" borderId="6" xfId="0" applyFont="1" applyFill="1" applyBorder="1" applyAlignment="1">
      <alignment horizontal="left" vertical="center"/>
    </xf>
    <xf numFmtId="0" fontId="4" fillId="2" borderId="3"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28"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4" xfId="0" applyFont="1" applyFill="1" applyBorder="1" applyAlignment="1">
      <alignment horizontal="left" vertical="top"/>
    </xf>
    <xf numFmtId="0" fontId="19" fillId="2" borderId="11"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2" borderId="0" xfId="0" applyFill="1" applyAlignment="1">
      <alignment horizontal="center"/>
    </xf>
    <xf numFmtId="0" fontId="11" fillId="2" borderId="0" xfId="0" applyFont="1" applyFill="1" applyAlignment="1">
      <alignment horizontal="center"/>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5" xfId="0" applyNumberFormat="1" applyFont="1" applyFill="1" applyBorder="1" applyAlignment="1">
      <alignment horizontal="left" vertical="top" wrapText="1"/>
    </xf>
    <xf numFmtId="0" fontId="32" fillId="2" borderId="1" xfId="0" applyNumberFormat="1" applyFont="1" applyFill="1" applyBorder="1" applyAlignment="1">
      <alignment vertical="top" wrapText="1"/>
    </xf>
    <xf numFmtId="0" fontId="4" fillId="2" borderId="1" xfId="0" applyNumberFormat="1" applyFont="1" applyFill="1" applyBorder="1" applyAlignment="1">
      <alignment horizontal="justify" vertical="top" wrapText="1"/>
    </xf>
    <xf numFmtId="0" fontId="33" fillId="2" borderId="1" xfId="0" applyNumberFormat="1" applyFont="1" applyFill="1" applyBorder="1" applyAlignment="1">
      <alignment horizontal="left" vertical="top" wrapText="1"/>
    </xf>
    <xf numFmtId="3" fontId="37" fillId="2" borderId="1" xfId="0" applyNumberFormat="1" applyFont="1" applyFill="1" applyBorder="1" applyAlignment="1">
      <alignment horizontal="center" vertical="top" wrapText="1"/>
    </xf>
    <xf numFmtId="3" fontId="26" fillId="2" borderId="2" xfId="0" applyNumberFormat="1" applyFont="1" applyFill="1" applyBorder="1" applyAlignment="1">
      <alignment horizontal="center" vertical="top" wrapText="1"/>
    </xf>
    <xf numFmtId="165" fontId="28" fillId="2" borderId="2" xfId="0" applyNumberFormat="1" applyFont="1" applyFill="1" applyBorder="1" applyAlignment="1">
      <alignment horizontal="center" vertical="top"/>
    </xf>
    <xf numFmtId="1" fontId="28" fillId="2" borderId="3" xfId="0" applyNumberFormat="1" applyFont="1" applyFill="1" applyBorder="1" applyAlignment="1">
      <alignment horizontal="center" vertical="top" wrapText="1"/>
    </xf>
    <xf numFmtId="0" fontId="28" fillId="2" borderId="3" xfId="0" applyFont="1" applyFill="1" applyBorder="1" applyAlignment="1">
      <alignment horizontal="center" vertical="top" wrapText="1"/>
    </xf>
    <xf numFmtId="165" fontId="28" fillId="2" borderId="3" xfId="0" applyNumberFormat="1" applyFont="1" applyFill="1" applyBorder="1" applyAlignment="1">
      <alignment horizontal="center" vertical="top"/>
    </xf>
    <xf numFmtId="165" fontId="33" fillId="2" borderId="1" xfId="0" applyNumberFormat="1" applyFont="1" applyFill="1" applyBorder="1" applyAlignment="1">
      <alignment horizontal="center" vertical="top"/>
    </xf>
    <xf numFmtId="3" fontId="45" fillId="2" borderId="1" xfId="0" applyNumberFormat="1" applyFont="1" applyFill="1" applyBorder="1" applyAlignment="1">
      <alignment horizontal="center" vertical="top" wrapText="1"/>
    </xf>
    <xf numFmtId="0" fontId="39" fillId="2" borderId="3" xfId="0" applyFont="1" applyFill="1" applyBorder="1" applyAlignment="1">
      <alignment horizontal="center" vertical="top" wrapText="1"/>
    </xf>
    <xf numFmtId="0" fontId="11" fillId="2" borderId="0" xfId="0" applyFont="1" applyFill="1" applyAlignment="1">
      <alignment horizontal="center"/>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2" borderId="6" xfId="0" applyFont="1" applyFill="1" applyBorder="1" applyAlignment="1">
      <alignment horizontal="left" vertical="center"/>
    </xf>
    <xf numFmtId="0" fontId="4" fillId="2" borderId="1" xfId="0" applyFont="1" applyFill="1" applyBorder="1" applyAlignment="1">
      <alignment horizontal="left" vertical="top"/>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2" borderId="7" xfId="0" applyFill="1" applyBorder="1" applyAlignment="1">
      <alignment horizontal="center" vertical="top" wrapText="1"/>
    </xf>
    <xf numFmtId="165" fontId="19" fillId="2" borderId="1" xfId="0" applyNumberFormat="1" applyFont="1" applyFill="1" applyBorder="1" applyAlignment="1">
      <alignment horizontal="center" vertical="top"/>
    </xf>
    <xf numFmtId="0" fontId="10" fillId="2" borderId="0" xfId="0" applyFont="1" applyFill="1" applyBorder="1" applyAlignment="1">
      <alignment horizontal="left"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5" fillId="2" borderId="0" xfId="0" applyFont="1" applyFill="1" applyAlignment="1">
      <alignment horizontal="center"/>
    </xf>
    <xf numFmtId="0" fontId="48" fillId="2" borderId="0" xfId="0" applyFont="1" applyFill="1" applyAlignment="1">
      <alignment horizontal="center"/>
    </xf>
    <xf numFmtId="0" fontId="28" fillId="2" borderId="0" xfId="0" applyFont="1" applyFill="1"/>
    <xf numFmtId="0" fontId="50" fillId="2" borderId="3" xfId="0" applyFont="1" applyFill="1" applyBorder="1" applyAlignment="1">
      <alignment horizontal="center" vertical="center" textRotation="90"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wrapText="1"/>
    </xf>
    <xf numFmtId="0" fontId="52" fillId="2" borderId="1" xfId="0" applyFont="1" applyFill="1" applyBorder="1" applyAlignment="1">
      <alignment horizontal="center" vertical="center" wrapText="1"/>
    </xf>
    <xf numFmtId="0" fontId="32" fillId="2" borderId="3" xfId="0" applyFont="1" applyFill="1" applyBorder="1" applyAlignment="1">
      <alignment horizontal="center" vertical="top"/>
    </xf>
    <xf numFmtId="0" fontId="32" fillId="2" borderId="3" xfId="0" applyNumberFormat="1" applyFont="1" applyFill="1" applyBorder="1" applyAlignment="1">
      <alignment horizontal="left" vertical="top" wrapText="1"/>
    </xf>
    <xf numFmtId="0" fontId="32" fillId="2" borderId="3" xfId="0" applyFont="1" applyFill="1" applyBorder="1" applyAlignment="1">
      <alignment horizontal="center" vertical="top" wrapText="1"/>
    </xf>
    <xf numFmtId="0" fontId="26" fillId="2" borderId="1" xfId="0" applyFont="1" applyFill="1" applyBorder="1" applyAlignment="1">
      <alignment horizontal="center" vertical="top" wrapText="1"/>
    </xf>
    <xf numFmtId="2" fontId="26" fillId="2" borderId="1" xfId="0" applyNumberFormat="1" applyFont="1" applyFill="1" applyBorder="1" applyAlignment="1">
      <alignment horizontal="center" vertical="top" wrapText="1"/>
    </xf>
    <xf numFmtId="0" fontId="32" fillId="2" borderId="3" xfId="0" applyFont="1" applyFill="1" applyBorder="1" applyAlignment="1">
      <alignment horizontal="left" vertical="top" wrapText="1"/>
    </xf>
    <xf numFmtId="0" fontId="32" fillId="2" borderId="1" xfId="0" applyFont="1" applyFill="1" applyBorder="1" applyAlignment="1">
      <alignment horizontal="left" vertical="center" wrapText="1"/>
    </xf>
    <xf numFmtId="0" fontId="32" fillId="2" borderId="1" xfId="0" applyNumberFormat="1" applyFont="1" applyFill="1" applyBorder="1" applyAlignment="1">
      <alignment horizontal="center" vertical="top"/>
    </xf>
    <xf numFmtId="3" fontId="54" fillId="2" borderId="1" xfId="0" applyNumberFormat="1" applyFont="1" applyFill="1" applyBorder="1" applyAlignment="1">
      <alignment horizontal="center" vertical="top"/>
    </xf>
    <xf numFmtId="3" fontId="55" fillId="2" borderId="1" xfId="0" applyNumberFormat="1" applyFont="1" applyFill="1" applyBorder="1" applyAlignment="1">
      <alignment horizontal="center" vertical="top"/>
    </xf>
    <xf numFmtId="165" fontId="55" fillId="2" borderId="1" xfId="0" applyNumberFormat="1" applyFont="1" applyFill="1" applyBorder="1" applyAlignment="1">
      <alignment horizontal="right" vertical="top"/>
    </xf>
    <xf numFmtId="3" fontId="54" fillId="2" borderId="1" xfId="0" applyNumberFormat="1" applyFont="1" applyFill="1" applyBorder="1" applyAlignment="1">
      <alignment horizontal="right" vertical="top"/>
    </xf>
    <xf numFmtId="3" fontId="55" fillId="2" borderId="1" xfId="0" applyNumberFormat="1" applyFont="1" applyFill="1" applyBorder="1" applyAlignment="1">
      <alignment horizontal="right" vertical="top"/>
    </xf>
    <xf numFmtId="3" fontId="33" fillId="2" borderId="1" xfId="0" applyNumberFormat="1" applyFont="1" applyFill="1" applyBorder="1" applyAlignment="1">
      <alignment horizontal="center" vertical="top"/>
    </xf>
    <xf numFmtId="3" fontId="32" fillId="2" borderId="1" xfId="0" applyNumberFormat="1" applyFont="1" applyFill="1" applyBorder="1" applyAlignment="1">
      <alignment horizontal="center" vertical="top"/>
    </xf>
    <xf numFmtId="165" fontId="28" fillId="2" borderId="1" xfId="0" applyNumberFormat="1" applyFont="1" applyFill="1" applyBorder="1" applyAlignment="1">
      <alignment horizontal="right" vertical="top"/>
    </xf>
    <xf numFmtId="3" fontId="28" fillId="2" borderId="1" xfId="0" applyNumberFormat="1" applyFont="1" applyFill="1" applyBorder="1" applyAlignment="1">
      <alignment horizontal="right" vertical="top"/>
    </xf>
    <xf numFmtId="0" fontId="32" fillId="2" borderId="1" xfId="0" applyFont="1" applyFill="1" applyBorder="1" applyAlignment="1">
      <alignment horizontal="left" vertical="top"/>
    </xf>
    <xf numFmtId="0" fontId="32" fillId="2" borderId="5" xfId="0" applyFont="1" applyFill="1" applyBorder="1" applyAlignment="1">
      <alignment horizontal="left" vertical="top"/>
    </xf>
    <xf numFmtId="0" fontId="32" fillId="2" borderId="6" xfId="0" applyFont="1" applyFill="1" applyBorder="1" applyAlignment="1">
      <alignment horizontal="left" vertical="top"/>
    </xf>
    <xf numFmtId="0" fontId="52" fillId="2" borderId="1" xfId="0" applyFont="1" applyFill="1" applyBorder="1" applyAlignment="1">
      <alignment horizontal="center" vertical="top" wrapText="1"/>
    </xf>
    <xf numFmtId="0" fontId="32" fillId="2" borderId="1" xfId="0" applyFont="1" applyFill="1" applyBorder="1" applyAlignment="1">
      <alignment horizontal="justify" vertical="top" wrapText="1"/>
    </xf>
    <xf numFmtId="3" fontId="33" fillId="2" borderId="1" xfId="0" applyNumberFormat="1" applyFont="1" applyFill="1" applyBorder="1" applyAlignment="1">
      <alignment horizontal="right" vertical="top"/>
    </xf>
    <xf numFmtId="3" fontId="32" fillId="2" borderId="1" xfId="0" applyNumberFormat="1" applyFont="1" applyFill="1" applyBorder="1" applyAlignment="1">
      <alignment horizontal="right" vertical="top"/>
    </xf>
    <xf numFmtId="165" fontId="32" fillId="2" borderId="1" xfId="0" applyNumberFormat="1" applyFont="1" applyFill="1" applyBorder="1" applyAlignment="1">
      <alignment horizontal="right" vertical="top"/>
    </xf>
    <xf numFmtId="0" fontId="32" fillId="2" borderId="3" xfId="0" applyFont="1" applyFill="1" applyBorder="1" applyAlignment="1">
      <alignment horizontal="center" vertical="center" wrapText="1"/>
    </xf>
    <xf numFmtId="16" fontId="32" fillId="2" borderId="1" xfId="0" applyNumberFormat="1" applyFont="1" applyFill="1" applyBorder="1" applyAlignment="1">
      <alignment horizontal="center" vertical="top"/>
    </xf>
    <xf numFmtId="0" fontId="32" fillId="2" borderId="2" xfId="0" applyFont="1" applyFill="1" applyBorder="1" applyAlignment="1">
      <alignment vertical="top" wrapText="1"/>
    </xf>
    <xf numFmtId="0" fontId="32" fillId="2" borderId="2" xfId="0" applyFont="1" applyFill="1" applyBorder="1" applyAlignment="1">
      <alignment horizontal="center" vertical="top" wrapText="1"/>
    </xf>
    <xf numFmtId="0" fontId="54" fillId="2" borderId="6" xfId="0" applyFont="1" applyFill="1" applyBorder="1" applyAlignment="1">
      <alignment horizontal="left" vertical="center"/>
    </xf>
    <xf numFmtId="0" fontId="52" fillId="2" borderId="2" xfId="0" applyFont="1" applyFill="1" applyBorder="1" applyAlignment="1">
      <alignment horizontal="center" vertical="top" wrapText="1"/>
    </xf>
    <xf numFmtId="0" fontId="52" fillId="2" borderId="1" xfId="0" applyFont="1" applyFill="1" applyBorder="1" applyAlignment="1">
      <alignment horizontal="left" vertical="center"/>
    </xf>
    <xf numFmtId="49" fontId="32" fillId="2" borderId="1" xfId="0" applyNumberFormat="1" applyFont="1" applyFill="1" applyBorder="1" applyAlignment="1">
      <alignment horizontal="center" vertical="center"/>
    </xf>
    <xf numFmtId="49" fontId="32" fillId="2" borderId="1" xfId="0" applyNumberFormat="1" applyFont="1" applyFill="1" applyBorder="1" applyAlignment="1">
      <alignment horizontal="left" vertical="center" wrapText="1"/>
    </xf>
    <xf numFmtId="0" fontId="52" fillId="2" borderId="1" xfId="0" applyFont="1" applyFill="1" applyBorder="1" applyAlignment="1">
      <alignment horizontal="center" vertical="top"/>
    </xf>
    <xf numFmtId="3" fontId="50" fillId="2" borderId="1" xfId="0" applyNumberFormat="1" applyFont="1" applyFill="1" applyBorder="1" applyAlignment="1">
      <alignment horizontal="center" vertical="top" wrapText="1"/>
    </xf>
    <xf numFmtId="165" fontId="51" fillId="2" borderId="1" xfId="0" applyNumberFormat="1" applyFont="1" applyFill="1" applyBorder="1" applyAlignment="1">
      <alignment horizontal="center" vertical="top"/>
    </xf>
    <xf numFmtId="16" fontId="32" fillId="2" borderId="1" xfId="0" applyNumberFormat="1" applyFont="1" applyFill="1" applyBorder="1" applyAlignment="1">
      <alignment horizontal="left" vertical="center"/>
    </xf>
    <xf numFmtId="0" fontId="32" fillId="2" borderId="6" xfId="0" applyFont="1" applyFill="1" applyBorder="1" applyAlignment="1">
      <alignment horizontal="left" vertical="center" wrapText="1"/>
    </xf>
    <xf numFmtId="0" fontId="28" fillId="2" borderId="1" xfId="0" applyFont="1" applyFill="1" applyBorder="1" applyAlignment="1">
      <alignment horizontal="center" vertical="center" wrapText="1"/>
    </xf>
    <xf numFmtId="165" fontId="54" fillId="2" borderId="1" xfId="0" applyNumberFormat="1" applyFont="1" applyFill="1" applyBorder="1" applyAlignment="1">
      <alignment horizontal="center" vertical="top"/>
    </xf>
    <xf numFmtId="165" fontId="55" fillId="2" borderId="1" xfId="0" applyNumberFormat="1" applyFont="1" applyFill="1" applyBorder="1" applyAlignment="1">
      <alignment horizontal="center" vertical="top"/>
    </xf>
    <xf numFmtId="0" fontId="33" fillId="2" borderId="5" xfId="0" applyFont="1" applyFill="1" applyBorder="1" applyAlignment="1">
      <alignment horizontal="left" vertical="top"/>
    </xf>
    <xf numFmtId="0" fontId="33" fillId="2" borderId="1" xfId="0" applyFont="1" applyFill="1" applyBorder="1" applyAlignment="1">
      <alignment horizontal="left" vertical="top"/>
    </xf>
    <xf numFmtId="0" fontId="0" fillId="2" borderId="7" xfId="0" applyFont="1" applyFill="1" applyBorder="1" applyAlignment="1">
      <alignment horizontal="center" vertical="top" wrapText="1"/>
    </xf>
    <xf numFmtId="0" fontId="32" fillId="2" borderId="6" xfId="0" applyFont="1" applyFill="1" applyBorder="1" applyAlignment="1">
      <alignment horizontal="center" vertical="center" wrapText="1"/>
    </xf>
    <xf numFmtId="165" fontId="32" fillId="2" borderId="4" xfId="0" applyNumberFormat="1" applyFont="1" applyFill="1" applyBorder="1" applyAlignment="1">
      <alignment horizontal="center" vertical="top"/>
    </xf>
    <xf numFmtId="165" fontId="33" fillId="2" borderId="4" xfId="0" applyNumberFormat="1" applyFont="1" applyFill="1" applyBorder="1" applyAlignment="1">
      <alignment horizontal="center" vertical="top"/>
    </xf>
    <xf numFmtId="0" fontId="33" fillId="2" borderId="6" xfId="0" applyFont="1" applyFill="1" applyBorder="1" applyAlignment="1">
      <alignment horizontal="left" vertical="top"/>
    </xf>
    <xf numFmtId="165" fontId="57" fillId="2" borderId="1" xfId="0" applyNumberFormat="1" applyFont="1" applyFill="1" applyBorder="1" applyAlignment="1">
      <alignment horizontal="center" vertical="top"/>
    </xf>
    <xf numFmtId="165" fontId="48" fillId="2" borderId="1" xfId="0" applyNumberFormat="1" applyFont="1" applyFill="1" applyBorder="1" applyAlignment="1">
      <alignment horizontal="center" vertical="top"/>
    </xf>
    <xf numFmtId="0" fontId="28" fillId="2" borderId="0" xfId="0" applyFont="1" applyFill="1" applyBorder="1" applyAlignment="1">
      <alignment horizontal="center" vertical="center"/>
    </xf>
    <xf numFmtId="0" fontId="35" fillId="2" borderId="0" xfId="0" applyFont="1" applyFill="1" applyBorder="1"/>
    <xf numFmtId="0" fontId="33" fillId="2" borderId="0" xfId="0" applyFont="1" applyFill="1" applyBorder="1" applyAlignment="1">
      <alignment horizontal="left" wrapText="1"/>
    </xf>
    <xf numFmtId="165" fontId="33" fillId="2" borderId="0" xfId="0" applyNumberFormat="1" applyFont="1" applyFill="1" applyBorder="1" applyAlignment="1">
      <alignment horizontal="left" wrapText="1"/>
    </xf>
    <xf numFmtId="165" fontId="35" fillId="2" borderId="0" xfId="0" applyNumberFormat="1" applyFont="1" applyFill="1"/>
    <xf numFmtId="3" fontId="26" fillId="2" borderId="1" xfId="0" applyNumberFormat="1" applyFont="1" applyFill="1" applyBorder="1" applyAlignment="1">
      <alignment horizontal="center" vertical="center" wrapText="1"/>
    </xf>
    <xf numFmtId="164" fontId="52" fillId="2" borderId="1" xfId="0" applyNumberFormat="1" applyFont="1" applyFill="1" applyBorder="1" applyAlignment="1">
      <alignment horizontal="center" vertical="center" wrapText="1"/>
    </xf>
    <xf numFmtId="165" fontId="52" fillId="2" borderId="1" xfId="0" applyNumberFormat="1" applyFont="1" applyFill="1" applyBorder="1" applyAlignment="1">
      <alignment horizontal="center" vertical="top" wrapText="1"/>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48" fillId="2" borderId="0" xfId="0" applyFont="1" applyFill="1" applyAlignment="1">
      <alignment horizontal="center"/>
    </xf>
    <xf numFmtId="0" fontId="33" fillId="2" borderId="0" xfId="0" applyFont="1" applyFill="1" applyBorder="1" applyAlignment="1">
      <alignment horizontal="left" wrapText="1"/>
    </xf>
    <xf numFmtId="165" fontId="54" fillId="2" borderId="1" xfId="0" applyNumberFormat="1" applyFont="1" applyFill="1" applyBorder="1" applyAlignment="1">
      <alignment horizontal="center" vertical="top"/>
    </xf>
    <xf numFmtId="0" fontId="32" fillId="2" borderId="3" xfId="0" applyFont="1" applyFill="1" applyBorder="1" applyAlignment="1">
      <alignment horizontal="center" vertical="center" wrapText="1"/>
    </xf>
    <xf numFmtId="0" fontId="54" fillId="2" borderId="6" xfId="0" applyFont="1" applyFill="1" applyBorder="1" applyAlignment="1">
      <alignment horizontal="left" vertical="center"/>
    </xf>
    <xf numFmtId="0" fontId="32" fillId="2" borderId="1" xfId="0" applyFont="1" applyFill="1" applyBorder="1" applyAlignment="1">
      <alignment horizontal="left" vertical="top"/>
    </xf>
    <xf numFmtId="0" fontId="32" fillId="2" borderId="3" xfId="0" applyFont="1" applyFill="1" applyBorder="1" applyAlignment="1">
      <alignment horizontal="center" vertical="top"/>
    </xf>
    <xf numFmtId="0" fontId="32" fillId="2" borderId="2" xfId="0" applyFont="1" applyFill="1" applyBorder="1" applyAlignment="1">
      <alignment horizontal="center" vertical="center" wrapText="1"/>
    </xf>
    <xf numFmtId="0" fontId="48" fillId="2" borderId="0" xfId="0" applyFont="1" applyFill="1" applyAlignment="1">
      <alignment horizontal="center"/>
    </xf>
    <xf numFmtId="165" fontId="28" fillId="0" borderId="1" xfId="0" applyNumberFormat="1" applyFont="1" applyFill="1" applyBorder="1" applyAlignment="1">
      <alignment horizontal="center" vertical="top"/>
    </xf>
    <xf numFmtId="165" fontId="32" fillId="0" borderId="1" xfId="0" applyNumberFormat="1" applyFont="1" applyFill="1" applyBorder="1" applyAlignment="1">
      <alignment horizontal="center" vertical="top"/>
    </xf>
    <xf numFmtId="165" fontId="33" fillId="0" borderId="1" xfId="0" applyNumberFormat="1" applyFont="1" applyFill="1" applyBorder="1" applyAlignment="1">
      <alignment horizontal="center" vertical="top"/>
    </xf>
    <xf numFmtId="3" fontId="29" fillId="0" borderId="1" xfId="0" applyNumberFormat="1" applyFont="1" applyFill="1" applyBorder="1" applyAlignment="1">
      <alignment horizontal="center" vertical="top" wrapText="1"/>
    </xf>
    <xf numFmtId="3" fontId="26" fillId="0" borderId="1" xfId="0" applyNumberFormat="1" applyFont="1" applyFill="1" applyBorder="1" applyAlignment="1">
      <alignment horizontal="center" vertical="top" wrapText="1"/>
    </xf>
    <xf numFmtId="0" fontId="35" fillId="0" borderId="0" xfId="0" applyFont="1" applyFill="1"/>
    <xf numFmtId="0" fontId="35" fillId="0" borderId="0" xfId="0" applyFont="1" applyFill="1" applyAlignment="1">
      <alignment horizontal="center"/>
    </xf>
    <xf numFmtId="0" fontId="28" fillId="0" borderId="0" xfId="0" applyFont="1" applyFill="1"/>
    <xf numFmtId="0" fontId="50" fillId="0" borderId="3" xfId="0" applyFont="1" applyFill="1" applyBorder="1" applyAlignment="1">
      <alignment horizontal="center" vertical="center" textRotation="90"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wrapText="1"/>
    </xf>
    <xf numFmtId="0" fontId="52" fillId="0" borderId="1" xfId="0" applyFont="1" applyFill="1" applyBorder="1" applyAlignment="1">
      <alignment horizontal="center" vertical="center" wrapText="1"/>
    </xf>
    <xf numFmtId="0" fontId="32" fillId="0" borderId="3" xfId="0" applyNumberFormat="1" applyFont="1" applyFill="1" applyBorder="1" applyAlignment="1">
      <alignment horizontal="left" vertical="top" wrapText="1"/>
    </xf>
    <xf numFmtId="0" fontId="32" fillId="0" borderId="3" xfId="0" applyFont="1" applyFill="1" applyBorder="1" applyAlignment="1">
      <alignment horizontal="center" vertical="top" wrapText="1"/>
    </xf>
    <xf numFmtId="0" fontId="26" fillId="0" borderId="1" xfId="0" applyFont="1" applyFill="1" applyBorder="1" applyAlignment="1">
      <alignment horizontal="center" vertical="top" wrapText="1"/>
    </xf>
    <xf numFmtId="2" fontId="26" fillId="0" borderId="1" xfId="0" applyNumberFormat="1" applyFont="1" applyFill="1" applyBorder="1" applyAlignment="1">
      <alignment horizontal="center" vertical="top" wrapText="1"/>
    </xf>
    <xf numFmtId="0" fontId="32" fillId="0" borderId="1" xfId="0" applyFont="1" applyFill="1" applyBorder="1" applyAlignment="1">
      <alignment horizontal="center" vertical="top"/>
    </xf>
    <xf numFmtId="0" fontId="32" fillId="0" borderId="1" xfId="0" applyNumberFormat="1" applyFont="1" applyFill="1" applyBorder="1" applyAlignment="1">
      <alignment vertical="top" wrapText="1"/>
    </xf>
    <xf numFmtId="0" fontId="32" fillId="0" borderId="1" xfId="0" applyFont="1" applyFill="1" applyBorder="1" applyAlignment="1">
      <alignment horizontal="center" vertical="top" wrapText="1"/>
    </xf>
    <xf numFmtId="1" fontId="26" fillId="0" borderId="1" xfId="0" applyNumberFormat="1"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3" xfId="0" applyFont="1" applyFill="1" applyBorder="1" applyAlignment="1">
      <alignment horizontal="left" vertical="top" wrapText="1"/>
    </xf>
    <xf numFmtId="0" fontId="32" fillId="0" borderId="1" xfId="0" applyFont="1" applyFill="1" applyBorder="1" applyAlignment="1">
      <alignment vertical="top" wrapText="1"/>
    </xf>
    <xf numFmtId="3" fontId="27" fillId="0" borderId="1" xfId="0" applyNumberFormat="1" applyFont="1" applyFill="1" applyBorder="1" applyAlignment="1">
      <alignment horizontal="center" vertical="top" wrapText="1"/>
    </xf>
    <xf numFmtId="0" fontId="32" fillId="0" borderId="1" xfId="0" applyFont="1" applyFill="1" applyBorder="1" applyAlignment="1">
      <alignment horizontal="left" vertical="top" wrapText="1"/>
    </xf>
    <xf numFmtId="0" fontId="32" fillId="0" borderId="1" xfId="0" applyFont="1" applyFill="1" applyBorder="1" applyAlignment="1">
      <alignment horizontal="left" vertical="center" wrapText="1"/>
    </xf>
    <xf numFmtId="0" fontId="32" fillId="0" borderId="1" xfId="0" applyNumberFormat="1" applyFont="1" applyFill="1" applyBorder="1" applyAlignment="1">
      <alignment horizontal="center" vertical="top"/>
    </xf>
    <xf numFmtId="165" fontId="32" fillId="0" borderId="1" xfId="0" applyNumberFormat="1" applyFont="1" applyFill="1" applyBorder="1" applyAlignment="1">
      <alignment horizontal="center" vertical="top" wrapText="1"/>
    </xf>
    <xf numFmtId="3" fontId="54" fillId="0" borderId="1" xfId="0" applyNumberFormat="1" applyFont="1" applyFill="1" applyBorder="1" applyAlignment="1">
      <alignment horizontal="center" vertical="top"/>
    </xf>
    <xf numFmtId="3" fontId="55" fillId="0" borderId="1" xfId="0" applyNumberFormat="1" applyFont="1" applyFill="1" applyBorder="1" applyAlignment="1">
      <alignment horizontal="center" vertical="top"/>
    </xf>
    <xf numFmtId="165" fontId="55" fillId="0" borderId="1" xfId="0" applyNumberFormat="1" applyFont="1" applyFill="1" applyBorder="1" applyAlignment="1">
      <alignment horizontal="right" vertical="top"/>
    </xf>
    <xf numFmtId="3" fontId="54" fillId="0" borderId="1" xfId="0" applyNumberFormat="1" applyFont="1" applyFill="1" applyBorder="1" applyAlignment="1">
      <alignment horizontal="right" vertical="top"/>
    </xf>
    <xf numFmtId="3" fontId="55" fillId="0" borderId="1" xfId="0" applyNumberFormat="1" applyFont="1" applyFill="1" applyBorder="1" applyAlignment="1">
      <alignment horizontal="right" vertical="top"/>
    </xf>
    <xf numFmtId="0" fontId="36" fillId="0" borderId="0" xfId="0" applyFont="1" applyFill="1"/>
    <xf numFmtId="3" fontId="33" fillId="0" borderId="1" xfId="0" applyNumberFormat="1" applyFont="1" applyFill="1" applyBorder="1" applyAlignment="1">
      <alignment horizontal="center" vertical="top"/>
    </xf>
    <xf numFmtId="3" fontId="32" fillId="0" borderId="1" xfId="0" applyNumberFormat="1" applyFont="1" applyFill="1" applyBorder="1" applyAlignment="1">
      <alignment horizontal="center" vertical="top"/>
    </xf>
    <xf numFmtId="165" fontId="28" fillId="0" borderId="1" xfId="0" applyNumberFormat="1" applyFont="1" applyFill="1" applyBorder="1" applyAlignment="1">
      <alignment horizontal="right" vertical="top"/>
    </xf>
    <xf numFmtId="3" fontId="28" fillId="0" borderId="1" xfId="0" applyNumberFormat="1" applyFont="1" applyFill="1" applyBorder="1" applyAlignment="1">
      <alignment horizontal="right" vertical="top"/>
    </xf>
    <xf numFmtId="0" fontId="32" fillId="0" borderId="5" xfId="0" applyFont="1" applyFill="1" applyBorder="1" applyAlignment="1">
      <alignment horizontal="left" vertical="top"/>
    </xf>
    <xf numFmtId="0" fontId="32" fillId="0" borderId="6" xfId="0" applyFont="1" applyFill="1" applyBorder="1" applyAlignment="1">
      <alignment horizontal="left" vertical="top"/>
    </xf>
    <xf numFmtId="0" fontId="52" fillId="0" borderId="1" xfId="0" applyFont="1" applyFill="1" applyBorder="1" applyAlignment="1">
      <alignment horizontal="center" vertical="top" wrapText="1"/>
    </xf>
    <xf numFmtId="0" fontId="32" fillId="0" borderId="1" xfId="0" applyFont="1" applyFill="1" applyBorder="1" applyAlignment="1">
      <alignment horizontal="justify" vertical="top" wrapText="1"/>
    </xf>
    <xf numFmtId="3" fontId="33" fillId="0" borderId="1" xfId="0" applyNumberFormat="1" applyFont="1" applyFill="1" applyBorder="1" applyAlignment="1">
      <alignment horizontal="right" vertical="top"/>
    </xf>
    <xf numFmtId="3" fontId="32" fillId="0" borderId="1" xfId="0" applyNumberFormat="1" applyFont="1" applyFill="1" applyBorder="1" applyAlignment="1">
      <alignment horizontal="right" vertical="top"/>
    </xf>
    <xf numFmtId="165" fontId="32" fillId="0" borderId="1" xfId="0" applyNumberFormat="1" applyFont="1" applyFill="1" applyBorder="1" applyAlignment="1">
      <alignment horizontal="right" vertical="top"/>
    </xf>
    <xf numFmtId="16" fontId="32" fillId="0" borderId="1" xfId="0" applyNumberFormat="1" applyFont="1" applyFill="1" applyBorder="1" applyAlignment="1">
      <alignment horizontal="center" vertical="top"/>
    </xf>
    <xf numFmtId="3" fontId="45" fillId="0" borderId="1" xfId="0" applyNumberFormat="1" applyFont="1" applyFill="1" applyBorder="1" applyAlignment="1">
      <alignment horizontal="center" vertical="top" wrapText="1"/>
    </xf>
    <xf numFmtId="0" fontId="32" fillId="0" borderId="2" xfId="0" applyFont="1" applyFill="1" applyBorder="1" applyAlignment="1">
      <alignment vertical="top" wrapText="1"/>
    </xf>
    <xf numFmtId="0" fontId="32" fillId="0" borderId="2" xfId="0" applyFont="1" applyFill="1" applyBorder="1" applyAlignment="1">
      <alignment horizontal="center" vertical="top" wrapText="1"/>
    </xf>
    <xf numFmtId="3" fontId="26" fillId="0" borderId="2" xfId="0" applyNumberFormat="1" applyFont="1" applyFill="1" applyBorder="1" applyAlignment="1">
      <alignment horizontal="center" vertical="top" wrapText="1"/>
    </xf>
    <xf numFmtId="165" fontId="28" fillId="0" borderId="2" xfId="0" applyNumberFormat="1" applyFont="1" applyFill="1" applyBorder="1" applyAlignment="1">
      <alignment horizontal="center" vertical="top"/>
    </xf>
    <xf numFmtId="0" fontId="52" fillId="0" borderId="2" xfId="0" applyFont="1" applyFill="1" applyBorder="1" applyAlignment="1">
      <alignment horizontal="center" vertical="top" wrapText="1"/>
    </xf>
    <xf numFmtId="164" fontId="52" fillId="0" borderId="1" xfId="0" applyNumberFormat="1" applyFont="1" applyFill="1" applyBorder="1" applyAlignment="1">
      <alignment horizontal="center" vertical="center" wrapText="1"/>
    </xf>
    <xf numFmtId="165" fontId="52" fillId="0" borderId="1" xfId="0" applyNumberFormat="1" applyFont="1" applyFill="1" applyBorder="1" applyAlignment="1">
      <alignment horizontal="center" vertical="top" wrapText="1"/>
    </xf>
    <xf numFmtId="3" fontId="26" fillId="0" borderId="1" xfId="0" applyNumberFormat="1" applyFont="1" applyFill="1" applyBorder="1" applyAlignment="1">
      <alignment horizontal="center" vertical="center" wrapText="1"/>
    </xf>
    <xf numFmtId="0" fontId="52" fillId="0" borderId="1" xfId="0" applyFont="1" applyFill="1" applyBorder="1" applyAlignment="1">
      <alignment horizontal="left" vertical="center"/>
    </xf>
    <xf numFmtId="49" fontId="32" fillId="0" borderId="1" xfId="0" applyNumberFormat="1"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52" fillId="0" borderId="1" xfId="0" applyFont="1" applyFill="1" applyBorder="1" applyAlignment="1">
      <alignment horizontal="center" vertical="top"/>
    </xf>
    <xf numFmtId="3" fontId="50" fillId="0" borderId="1" xfId="0" applyNumberFormat="1" applyFont="1" applyFill="1" applyBorder="1" applyAlignment="1">
      <alignment horizontal="center" vertical="top" wrapText="1"/>
    </xf>
    <xf numFmtId="165" fontId="51" fillId="0" borderId="1" xfId="0" applyNumberFormat="1" applyFont="1" applyFill="1" applyBorder="1" applyAlignment="1">
      <alignment horizontal="center" vertical="top"/>
    </xf>
    <xf numFmtId="1" fontId="28" fillId="0" borderId="3" xfId="0" applyNumberFormat="1" applyFont="1" applyFill="1" applyBorder="1" applyAlignment="1">
      <alignment horizontal="center" vertical="top" wrapText="1"/>
    </xf>
    <xf numFmtId="0" fontId="28" fillId="0" borderId="3" xfId="0" applyFont="1" applyFill="1" applyBorder="1" applyAlignment="1">
      <alignment horizontal="center" vertical="top" wrapText="1"/>
    </xf>
    <xf numFmtId="165" fontId="28" fillId="0" borderId="3" xfId="0" applyNumberFormat="1" applyFont="1" applyFill="1" applyBorder="1" applyAlignment="1">
      <alignment horizontal="center" vertical="top"/>
    </xf>
    <xf numFmtId="16" fontId="32" fillId="0" borderId="1" xfId="0" applyNumberFormat="1" applyFont="1" applyFill="1" applyBorder="1" applyAlignment="1">
      <alignment horizontal="left" vertical="center"/>
    </xf>
    <xf numFmtId="0" fontId="32" fillId="0" borderId="6" xfId="0" applyFont="1" applyFill="1" applyBorder="1" applyAlignment="1">
      <alignment horizontal="left" vertical="center" wrapText="1"/>
    </xf>
    <xf numFmtId="0" fontId="28" fillId="0" borderId="1" xfId="0" applyFont="1" applyFill="1" applyBorder="1" applyAlignment="1">
      <alignment horizontal="center" vertical="center" wrapText="1"/>
    </xf>
    <xf numFmtId="165" fontId="55" fillId="0" borderId="1" xfId="0" applyNumberFormat="1" applyFont="1" applyFill="1" applyBorder="1" applyAlignment="1">
      <alignment horizontal="center" vertical="top"/>
    </xf>
    <xf numFmtId="0" fontId="33" fillId="0" borderId="5" xfId="0" applyFont="1" applyFill="1" applyBorder="1" applyAlignment="1">
      <alignment horizontal="left" vertical="top"/>
    </xf>
    <xf numFmtId="0" fontId="33" fillId="0" borderId="1" xfId="0" applyFont="1" applyFill="1" applyBorder="1" applyAlignment="1">
      <alignment horizontal="left" vertical="top"/>
    </xf>
    <xf numFmtId="0" fontId="0" fillId="0" borderId="7" xfId="0" applyFont="1" applyFill="1" applyBorder="1" applyAlignment="1">
      <alignment horizontal="center" vertical="top" wrapText="1"/>
    </xf>
    <xf numFmtId="0" fontId="32" fillId="0" borderId="6" xfId="0" applyFont="1" applyFill="1" applyBorder="1" applyAlignment="1">
      <alignment horizontal="center" vertical="center" wrapText="1"/>
    </xf>
    <xf numFmtId="165" fontId="32" fillId="0" borderId="4" xfId="0" applyNumberFormat="1" applyFont="1" applyFill="1" applyBorder="1" applyAlignment="1">
      <alignment horizontal="center" vertical="top"/>
    </xf>
    <xf numFmtId="49" fontId="32" fillId="0" borderId="1" xfId="0" applyNumberFormat="1" applyFont="1" applyFill="1" applyBorder="1" applyAlignment="1">
      <alignment horizontal="center" vertical="top"/>
    </xf>
    <xf numFmtId="0" fontId="33" fillId="0" borderId="1" xfId="0" applyFont="1" applyFill="1" applyBorder="1" applyAlignment="1">
      <alignment horizontal="left" vertical="top" wrapText="1"/>
    </xf>
    <xf numFmtId="165" fontId="33" fillId="0" borderId="4" xfId="0" applyNumberFormat="1" applyFont="1" applyFill="1" applyBorder="1" applyAlignment="1">
      <alignment horizontal="center" vertical="top"/>
    </xf>
    <xf numFmtId="0" fontId="33" fillId="0" borderId="6" xfId="0" applyFont="1" applyFill="1" applyBorder="1" applyAlignment="1">
      <alignment horizontal="left" vertical="top"/>
    </xf>
    <xf numFmtId="165" fontId="57" fillId="0" borderId="1" xfId="0" applyNumberFormat="1" applyFont="1" applyFill="1" applyBorder="1" applyAlignment="1">
      <alignment horizontal="center" vertical="top"/>
    </xf>
    <xf numFmtId="165" fontId="48" fillId="0" borderId="1" xfId="0" applyNumberFormat="1" applyFont="1" applyFill="1" applyBorder="1" applyAlignment="1">
      <alignment horizontal="center" vertical="top"/>
    </xf>
    <xf numFmtId="0" fontId="28" fillId="0" borderId="0" xfId="0" applyFont="1" applyFill="1" applyBorder="1" applyAlignment="1">
      <alignment horizontal="center" vertical="center"/>
    </xf>
    <xf numFmtId="0" fontId="35" fillId="0" borderId="0" xfId="0" applyFont="1" applyFill="1" applyBorder="1"/>
    <xf numFmtId="165" fontId="33" fillId="0" borderId="0" xfId="0" applyNumberFormat="1" applyFont="1" applyFill="1" applyBorder="1" applyAlignment="1">
      <alignment horizontal="left" wrapText="1"/>
    </xf>
    <xf numFmtId="165" fontId="35" fillId="0" borderId="0" xfId="0" applyNumberFormat="1" applyFont="1" applyFill="1"/>
    <xf numFmtId="0" fontId="33" fillId="0" borderId="6" xfId="0" applyFont="1" applyFill="1" applyBorder="1" applyAlignment="1">
      <alignment horizontal="left" vertical="top" wrapText="1"/>
    </xf>
    <xf numFmtId="0" fontId="32" fillId="0" borderId="6" xfId="0" applyFont="1" applyFill="1" applyBorder="1" applyAlignment="1">
      <alignment horizontal="center" vertical="top" wrapText="1"/>
    </xf>
    <xf numFmtId="0" fontId="10" fillId="2" borderId="0" xfId="0" applyFont="1" applyFill="1" applyBorder="1" applyAlignment="1">
      <alignment horizontal="left" wrapText="1"/>
    </xf>
    <xf numFmtId="165" fontId="19" fillId="2" borderId="1" xfId="0" applyNumberFormat="1" applyFont="1" applyFill="1" applyBorder="1" applyAlignment="1">
      <alignment horizontal="center" vertical="top"/>
    </xf>
    <xf numFmtId="0" fontId="11" fillId="2" borderId="0" xfId="0" applyFont="1" applyFill="1" applyAlignment="1">
      <alignment horizontal="center"/>
    </xf>
    <xf numFmtId="0" fontId="48" fillId="2" borderId="0" xfId="0" applyFont="1" applyFill="1" applyAlignment="1">
      <alignment horizontal="center"/>
    </xf>
    <xf numFmtId="165" fontId="54" fillId="2" borderId="1" xfId="0" applyNumberFormat="1" applyFont="1" applyFill="1" applyBorder="1" applyAlignment="1">
      <alignment horizontal="center" vertical="top"/>
    </xf>
    <xf numFmtId="0" fontId="33" fillId="2" borderId="0" xfId="0" applyFont="1" applyFill="1" applyBorder="1" applyAlignment="1">
      <alignment horizontal="left" wrapText="1"/>
    </xf>
    <xf numFmtId="0" fontId="48" fillId="0" borderId="0" xfId="0" applyFont="1" applyFill="1" applyAlignment="1">
      <alignment horizontal="center"/>
    </xf>
    <xf numFmtId="0" fontId="54" fillId="0" borderId="6"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left" vertical="top"/>
    </xf>
    <xf numFmtId="0" fontId="32" fillId="0" borderId="3" xfId="0" applyFont="1" applyFill="1" applyBorder="1" applyAlignment="1">
      <alignment horizontal="center" vertical="top"/>
    </xf>
    <xf numFmtId="165" fontId="54" fillId="0" borderId="1" xfId="0" applyNumberFormat="1" applyFont="1" applyFill="1" applyBorder="1" applyAlignment="1">
      <alignment horizontal="center" vertical="top"/>
    </xf>
    <xf numFmtId="0" fontId="33" fillId="0" borderId="0" xfId="0" applyFont="1" applyFill="1" applyBorder="1" applyAlignment="1">
      <alignment horizontal="left" wrapText="1"/>
    </xf>
    <xf numFmtId="3" fontId="2" fillId="2" borderId="1" xfId="0" applyNumberFormat="1" applyFont="1" applyFill="1" applyBorder="1" applyAlignment="1">
      <alignment horizontal="center" vertical="top" wrapText="1"/>
    </xf>
    <xf numFmtId="3" fontId="9" fillId="2" borderId="2" xfId="0" applyNumberFormat="1" applyFont="1" applyFill="1" applyBorder="1" applyAlignment="1">
      <alignment horizontal="center" vertical="top" wrapText="1"/>
    </xf>
    <xf numFmtId="165" fontId="2" fillId="2" borderId="2" xfId="0" applyNumberFormat="1" applyFont="1" applyFill="1" applyBorder="1" applyAlignment="1">
      <alignment horizontal="center" vertical="top"/>
    </xf>
    <xf numFmtId="164" fontId="3" fillId="2" borderId="1" xfId="0" applyNumberFormat="1" applyFont="1" applyFill="1" applyBorder="1" applyAlignment="1">
      <alignment horizontal="center" vertical="center" wrapText="1"/>
    </xf>
    <xf numFmtId="0" fontId="10" fillId="2" borderId="0" xfId="0" applyFont="1" applyFill="1" applyBorder="1" applyAlignment="1">
      <alignment horizontal="left" wrapText="1"/>
    </xf>
    <xf numFmtId="0" fontId="10" fillId="2" borderId="0" xfId="0" applyFont="1" applyFill="1" applyBorder="1" applyAlignment="1">
      <alignment horizontal="left"/>
    </xf>
    <xf numFmtId="0" fontId="19" fillId="2" borderId="7" xfId="0" applyFont="1" applyFill="1" applyBorder="1" applyAlignment="1">
      <alignment horizontal="center"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165" fontId="19" fillId="2" borderId="1" xfId="0" applyNumberFormat="1" applyFont="1" applyFill="1" applyBorder="1" applyAlignment="1">
      <alignment horizontal="center" vertical="top"/>
    </xf>
    <xf numFmtId="0" fontId="19" fillId="2" borderId="1" xfId="0" applyFont="1" applyFill="1" applyBorder="1" applyAlignment="1">
      <alignment horizontal="center" vertical="top"/>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11" fillId="2" borderId="5" xfId="0" applyFont="1" applyFill="1" applyBorder="1" applyAlignment="1">
      <alignment horizontal="center" vertical="top"/>
    </xf>
    <xf numFmtId="0" fontId="11" fillId="2" borderId="6" xfId="0" applyFont="1" applyFill="1" applyBorder="1" applyAlignment="1">
      <alignment horizontal="center" vertical="top"/>
    </xf>
    <xf numFmtId="165" fontId="44" fillId="2" borderId="5" xfId="0" applyNumberFormat="1" applyFont="1" applyFill="1" applyBorder="1" applyAlignment="1">
      <alignment horizontal="center" vertical="top"/>
    </xf>
    <xf numFmtId="165" fontId="44" fillId="2" borderId="6" xfId="0" applyNumberFormat="1" applyFont="1" applyFill="1" applyBorder="1" applyAlignment="1">
      <alignment horizontal="center" vertical="top"/>
    </xf>
    <xf numFmtId="165" fontId="44" fillId="2" borderId="4" xfId="0" applyNumberFormat="1" applyFont="1" applyFill="1" applyBorder="1" applyAlignment="1">
      <alignment horizontal="center" vertical="top"/>
    </xf>
    <xf numFmtId="165" fontId="11" fillId="2" borderId="5" xfId="0" applyNumberFormat="1" applyFont="1" applyFill="1" applyBorder="1" applyAlignment="1">
      <alignment horizontal="center" vertical="top"/>
    </xf>
    <xf numFmtId="165" fontId="11" fillId="2" borderId="6" xfId="0" applyNumberFormat="1" applyFont="1" applyFill="1" applyBorder="1" applyAlignment="1">
      <alignment horizontal="center" vertical="top"/>
    </xf>
    <xf numFmtId="165" fontId="11" fillId="2" borderId="4" xfId="0" applyNumberFormat="1" applyFont="1" applyFill="1" applyBorder="1" applyAlignment="1">
      <alignment horizontal="center" vertical="top"/>
    </xf>
    <xf numFmtId="0" fontId="4" fillId="2" borderId="1" xfId="0" applyFont="1" applyFill="1" applyBorder="1" applyAlignment="1">
      <alignment horizontal="left" vertical="top"/>
    </xf>
    <xf numFmtId="0" fontId="3" fillId="2" borderId="6" xfId="0" applyFont="1" applyFill="1" applyBorder="1" applyAlignment="1">
      <alignment horizontal="left" vertical="top" wrapText="1"/>
    </xf>
    <xf numFmtId="0" fontId="3" fillId="2" borderId="4" xfId="0" applyFont="1" applyFill="1" applyBorder="1" applyAlignment="1">
      <alignment horizontal="left" vertical="top"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0" fontId="4" fillId="2" borderId="3" xfId="0" applyFont="1" applyFill="1" applyBorder="1" applyAlignment="1">
      <alignment horizontal="center" vertical="top" wrapText="1"/>
    </xf>
    <xf numFmtId="0" fontId="0" fillId="2" borderId="10" xfId="0" applyFill="1" applyBorder="1" applyAlignment="1">
      <alignment horizontal="center" vertical="top" wrapText="1"/>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4" xfId="0" applyFont="1" applyFill="1" applyBorder="1" applyAlignment="1">
      <alignment horizontal="left" vertical="top"/>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0" fillId="2" borderId="7" xfId="0" applyFill="1" applyBorder="1" applyAlignment="1">
      <alignment horizontal="center" vertical="top" wrapText="1"/>
    </xf>
    <xf numFmtId="0" fontId="3" fillId="2" borderId="5" xfId="0" applyNumberFormat="1" applyFont="1" applyFill="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4"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4" fillId="2" borderId="3"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4" fillId="2" borderId="10" xfId="0" applyFont="1" applyFill="1" applyBorder="1" applyAlignment="1">
      <alignment horizontal="center" vertical="top" wrapText="1"/>
    </xf>
    <xf numFmtId="0" fontId="4" fillId="2" borderId="2" xfId="0" applyFont="1" applyFill="1" applyBorder="1" applyAlignment="1">
      <alignment horizontal="center" vertical="top" wrapText="1"/>
    </xf>
    <xf numFmtId="0" fontId="28"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5" xfId="0" applyFont="1" applyFill="1" applyBorder="1" applyAlignment="1">
      <alignment horizontal="left" vertical="center"/>
    </xf>
    <xf numFmtId="0" fontId="0" fillId="2" borderId="6" xfId="0" applyFont="1" applyFill="1" applyBorder="1" applyAlignment="1">
      <alignment horizontal="left" vertical="center"/>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4" fillId="2" borderId="4" xfId="0" applyFont="1" applyFill="1" applyBorder="1" applyAlignment="1">
      <alignment horizontal="left" vertical="top"/>
    </xf>
    <xf numFmtId="0" fontId="4" fillId="2" borderId="1" xfId="0" applyFont="1" applyFill="1" applyBorder="1" applyAlignment="1">
      <alignment horizontal="center" vertical="center" wrapText="1"/>
    </xf>
    <xf numFmtId="0" fontId="19" fillId="2" borderId="11" xfId="0" applyFont="1" applyFill="1" applyBorder="1" applyAlignment="1">
      <alignment horizontal="left" vertical="center"/>
    </xf>
    <xf numFmtId="0" fontId="3" fillId="2" borderId="5" xfId="0" applyFont="1" applyFill="1" applyBorder="1" applyAlignment="1">
      <alignment horizontal="left" vertical="top" wrapText="1"/>
    </xf>
    <xf numFmtId="0" fontId="2" fillId="2" borderId="0" xfId="0" applyFont="1" applyFill="1" applyAlignment="1">
      <alignment horizontal="center" wrapText="1"/>
    </xf>
    <xf numFmtId="0" fontId="0" fillId="0" borderId="0" xfId="0" applyAlignment="1">
      <alignment horizontal="center" wrapText="1"/>
    </xf>
    <xf numFmtId="0" fontId="0" fillId="2" borderId="0" xfId="0" applyFill="1" applyAlignment="1">
      <alignment horizontal="center"/>
    </xf>
    <xf numFmtId="0" fontId="11" fillId="2" borderId="0" xfId="0" applyFont="1" applyFill="1" applyAlignment="1">
      <alignment horizontal="center"/>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0" borderId="10" xfId="0" applyBorder="1" applyAlignment="1">
      <alignment horizontal="center" vertical="center" wrapText="1"/>
    </xf>
    <xf numFmtId="165" fontId="48" fillId="2" borderId="5" xfId="0" applyNumberFormat="1" applyFont="1" applyFill="1" applyBorder="1" applyAlignment="1">
      <alignment horizontal="center" vertical="top"/>
    </xf>
    <xf numFmtId="165" fontId="48" fillId="2" borderId="6" xfId="0" applyNumberFormat="1" applyFont="1" applyFill="1" applyBorder="1" applyAlignment="1">
      <alignment horizontal="center" vertical="top"/>
    </xf>
    <xf numFmtId="165" fontId="48" fillId="2" borderId="4" xfId="0" applyNumberFormat="1" applyFont="1" applyFill="1" applyBorder="1" applyAlignment="1">
      <alignment horizontal="center" vertical="top"/>
    </xf>
    <xf numFmtId="0" fontId="52" fillId="2" borderId="5" xfId="0" applyFont="1" applyFill="1" applyBorder="1" applyAlignment="1">
      <alignment horizontal="left" vertical="top" wrapText="1"/>
    </xf>
    <xf numFmtId="0" fontId="52" fillId="2" borderId="6" xfId="0" applyFont="1" applyFill="1" applyBorder="1" applyAlignment="1">
      <alignment horizontal="left" vertical="top" wrapText="1"/>
    </xf>
    <xf numFmtId="0" fontId="52" fillId="2" borderId="4" xfId="0" applyFont="1" applyFill="1" applyBorder="1" applyAlignment="1">
      <alignment horizontal="left" vertical="top" wrapText="1"/>
    </xf>
    <xf numFmtId="0" fontId="28" fillId="2" borderId="0" xfId="0" applyFont="1" applyFill="1" applyAlignment="1">
      <alignment horizontal="center" wrapText="1"/>
    </xf>
    <xf numFmtId="0" fontId="0" fillId="2" borderId="0" xfId="0" applyFont="1" applyFill="1" applyAlignment="1">
      <alignment horizontal="center" wrapText="1"/>
    </xf>
    <xf numFmtId="0" fontId="0" fillId="2" borderId="0" xfId="0" applyFont="1" applyFill="1" applyAlignment="1">
      <alignment horizontal="center"/>
    </xf>
    <xf numFmtId="0" fontId="48" fillId="2" borderId="0" xfId="0" applyFont="1" applyFill="1" applyAlignment="1">
      <alignment horizontal="center"/>
    </xf>
    <xf numFmtId="0" fontId="50" fillId="2" borderId="3" xfId="0" applyFont="1" applyFill="1" applyBorder="1" applyAlignment="1">
      <alignment horizontal="center" vertical="center" wrapText="1"/>
    </xf>
    <xf numFmtId="0" fontId="50" fillId="2" borderId="2" xfId="0" applyFont="1" applyFill="1" applyBorder="1" applyAlignment="1">
      <alignment horizontal="center" vertical="center" wrapText="1"/>
    </xf>
    <xf numFmtId="0" fontId="51" fillId="2" borderId="1" xfId="0" applyFont="1" applyFill="1" applyBorder="1" applyAlignment="1">
      <alignment horizontal="center" vertical="center"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4" xfId="0" applyFont="1" applyFill="1" applyBorder="1" applyAlignment="1">
      <alignment horizontal="left" vertical="center" wrapText="1"/>
    </xf>
    <xf numFmtId="0" fontId="54" fillId="2" borderId="5" xfId="0" applyFont="1" applyFill="1" applyBorder="1" applyAlignment="1">
      <alignment horizontal="left" vertical="center"/>
    </xf>
    <xf numFmtId="0" fontId="54" fillId="2" borderId="6" xfId="0" applyFont="1" applyFill="1" applyBorder="1" applyAlignment="1">
      <alignment horizontal="left" vertical="center"/>
    </xf>
    <xf numFmtId="0" fontId="32" fillId="2" borderId="1" xfId="0" applyFont="1" applyFill="1" applyBorder="1" applyAlignment="1">
      <alignment horizontal="left" vertical="top"/>
    </xf>
    <xf numFmtId="0" fontId="52" fillId="2" borderId="1" xfId="0" applyFont="1" applyFill="1" applyBorder="1" applyAlignment="1">
      <alignment horizontal="left" vertical="top"/>
    </xf>
    <xf numFmtId="0" fontId="32"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54" fillId="2" borderId="11" xfId="0" applyFont="1" applyFill="1" applyBorder="1" applyAlignment="1">
      <alignment horizontal="left" vertical="center"/>
    </xf>
    <xf numFmtId="0" fontId="32" fillId="2" borderId="10" xfId="0" applyFont="1" applyFill="1" applyBorder="1" applyAlignment="1">
      <alignment horizontal="center" vertical="center" wrapText="1"/>
    </xf>
    <xf numFmtId="0" fontId="33" fillId="2" borderId="5" xfId="0" applyFont="1" applyFill="1" applyBorder="1" applyAlignment="1">
      <alignment horizontal="left" vertical="center"/>
    </xf>
    <xf numFmtId="0" fontId="52" fillId="2" borderId="5" xfId="0" applyFont="1" applyFill="1" applyBorder="1" applyAlignment="1">
      <alignment horizontal="left" vertical="top"/>
    </xf>
    <xf numFmtId="0" fontId="52" fillId="2" borderId="6" xfId="0" applyFont="1" applyFill="1" applyBorder="1" applyAlignment="1">
      <alignment horizontal="left" vertical="top"/>
    </xf>
    <xf numFmtId="0" fontId="52" fillId="2" borderId="4" xfId="0" applyFont="1" applyFill="1" applyBorder="1" applyAlignment="1">
      <alignment horizontal="left" vertical="top"/>
    </xf>
    <xf numFmtId="0" fontId="56" fillId="2" borderId="5" xfId="0" applyFont="1" applyFill="1" applyBorder="1" applyAlignment="1">
      <alignment horizontal="left" vertical="top" wrapText="1"/>
    </xf>
    <xf numFmtId="0" fontId="52" fillId="2" borderId="1" xfId="0" applyFont="1" applyFill="1" applyBorder="1" applyAlignment="1">
      <alignment horizontal="left" vertical="top" wrapText="1"/>
    </xf>
    <xf numFmtId="0" fontId="56" fillId="2" borderId="6" xfId="0" applyFont="1" applyFill="1" applyBorder="1" applyAlignment="1">
      <alignment horizontal="left" vertical="top" wrapText="1"/>
    </xf>
    <xf numFmtId="0" fontId="54" fillId="2" borderId="4" xfId="0" applyFont="1" applyFill="1" applyBorder="1" applyAlignment="1">
      <alignment horizontal="left" vertical="center"/>
    </xf>
    <xf numFmtId="0" fontId="32" fillId="2" borderId="3" xfId="0" applyFont="1" applyFill="1" applyBorder="1" applyAlignment="1">
      <alignment horizontal="center" vertical="top"/>
    </xf>
    <xf numFmtId="0" fontId="0" fillId="0" borderId="2" xfId="0" applyBorder="1" applyAlignment="1">
      <alignment horizontal="center" vertical="top"/>
    </xf>
    <xf numFmtId="0" fontId="32" fillId="2" borderId="3" xfId="0" applyFont="1" applyFill="1" applyBorder="1" applyAlignment="1">
      <alignment vertical="top" wrapText="1"/>
    </xf>
    <xf numFmtId="0" fontId="0" fillId="0" borderId="2" xfId="0" applyBorder="1" applyAlignment="1">
      <alignment vertical="top" wrapText="1"/>
    </xf>
    <xf numFmtId="0" fontId="0" fillId="2" borderId="10" xfId="0" applyFont="1" applyFill="1" applyBorder="1" applyAlignment="1">
      <alignment horizontal="center" vertical="center" wrapText="1"/>
    </xf>
    <xf numFmtId="0" fontId="54" fillId="2" borderId="5" xfId="0" applyFont="1" applyFill="1" applyBorder="1" applyAlignment="1">
      <alignment horizontal="left" vertical="top"/>
    </xf>
    <xf numFmtId="0" fontId="54" fillId="2" borderId="6" xfId="0" applyFont="1" applyFill="1" applyBorder="1" applyAlignment="1">
      <alignment horizontal="left" vertical="top"/>
    </xf>
    <xf numFmtId="0" fontId="54" fillId="2" borderId="4" xfId="0" applyFont="1" applyFill="1" applyBorder="1" applyAlignment="1">
      <alignment horizontal="left" vertical="top"/>
    </xf>
    <xf numFmtId="0" fontId="48" fillId="2" borderId="5" xfId="0" applyFont="1" applyFill="1" applyBorder="1" applyAlignment="1">
      <alignment horizontal="center" vertical="top"/>
    </xf>
    <xf numFmtId="0" fontId="48" fillId="2" borderId="6" xfId="0" applyFont="1" applyFill="1" applyBorder="1" applyAlignment="1">
      <alignment horizontal="center" vertical="top"/>
    </xf>
    <xf numFmtId="165" fontId="54" fillId="2" borderId="1" xfId="0" applyNumberFormat="1" applyFont="1" applyFill="1" applyBorder="1" applyAlignment="1">
      <alignment horizontal="center" vertical="top"/>
    </xf>
    <xf numFmtId="0" fontId="54" fillId="2" borderId="1" xfId="0" applyFont="1" applyFill="1" applyBorder="1" applyAlignment="1">
      <alignment horizontal="center" vertical="top"/>
    </xf>
    <xf numFmtId="0" fontId="33" fillId="2" borderId="0" xfId="0" applyFont="1" applyFill="1" applyBorder="1" applyAlignment="1">
      <alignment horizontal="left" wrapText="1"/>
    </xf>
    <xf numFmtId="0" fontId="33" fillId="2" borderId="0" xfId="0" applyFont="1" applyFill="1" applyBorder="1" applyAlignment="1">
      <alignment horizontal="left"/>
    </xf>
    <xf numFmtId="0" fontId="54" fillId="2" borderId="7" xfId="0" applyFont="1" applyFill="1" applyBorder="1" applyAlignment="1">
      <alignment horizontal="center" vertical="top"/>
    </xf>
    <xf numFmtId="0" fontId="54" fillId="2" borderId="11" xfId="0" applyFont="1" applyFill="1" applyBorder="1" applyAlignment="1">
      <alignment horizontal="center" vertical="top"/>
    </xf>
    <xf numFmtId="0" fontId="54" fillId="2" borderId="12" xfId="0" applyFont="1" applyFill="1" applyBorder="1" applyAlignment="1">
      <alignment horizontal="center" vertical="top"/>
    </xf>
    <xf numFmtId="0" fontId="33" fillId="0" borderId="0" xfId="0" applyFont="1" applyFill="1" applyBorder="1" applyAlignment="1">
      <alignment horizontal="left" wrapText="1"/>
    </xf>
    <xf numFmtId="0" fontId="33" fillId="0" borderId="0" xfId="0" applyFont="1" applyFill="1" applyBorder="1" applyAlignment="1">
      <alignment horizontal="left"/>
    </xf>
    <xf numFmtId="0" fontId="54" fillId="0" borderId="7" xfId="0" applyFont="1" applyFill="1" applyBorder="1" applyAlignment="1">
      <alignment horizontal="center" vertical="top"/>
    </xf>
    <xf numFmtId="0" fontId="54" fillId="0" borderId="11" xfId="0" applyFont="1" applyFill="1" applyBorder="1" applyAlignment="1">
      <alignment horizontal="center" vertical="top"/>
    </xf>
    <xf numFmtId="0" fontId="54" fillId="0" borderId="12" xfId="0" applyFont="1" applyFill="1" applyBorder="1" applyAlignment="1">
      <alignment horizontal="center" vertical="top"/>
    </xf>
    <xf numFmtId="165" fontId="54" fillId="0" borderId="1" xfId="0" applyNumberFormat="1" applyFont="1" applyFill="1" applyBorder="1" applyAlignment="1">
      <alignment horizontal="center" vertical="top"/>
    </xf>
    <xf numFmtId="0" fontId="54" fillId="0" borderId="1" xfId="0" applyFont="1" applyFill="1" applyBorder="1" applyAlignment="1">
      <alignment horizontal="center" vertical="top"/>
    </xf>
    <xf numFmtId="165" fontId="48" fillId="0" borderId="5" xfId="0" applyNumberFormat="1" applyFont="1" applyFill="1" applyBorder="1" applyAlignment="1">
      <alignment horizontal="center" vertical="top"/>
    </xf>
    <xf numFmtId="165" fontId="48" fillId="0" borderId="6" xfId="0" applyNumberFormat="1" applyFont="1" applyFill="1" applyBorder="1" applyAlignment="1">
      <alignment horizontal="center" vertical="top"/>
    </xf>
    <xf numFmtId="165" fontId="48" fillId="0" borderId="4" xfId="0" applyNumberFormat="1" applyFont="1" applyFill="1" applyBorder="1" applyAlignment="1">
      <alignment horizontal="center" vertical="top"/>
    </xf>
    <xf numFmtId="0" fontId="32" fillId="0" borderId="1" xfId="0" applyFont="1" applyFill="1" applyBorder="1" applyAlignment="1">
      <alignment horizontal="left" vertical="top"/>
    </xf>
    <xf numFmtId="0" fontId="56" fillId="0" borderId="5" xfId="0" applyFont="1" applyFill="1" applyBorder="1" applyAlignment="1">
      <alignment horizontal="left" vertical="top" wrapText="1"/>
    </xf>
    <xf numFmtId="0" fontId="56" fillId="0" borderId="6" xfId="0" applyFont="1" applyFill="1" applyBorder="1" applyAlignment="1">
      <alignment horizontal="left" vertical="top" wrapText="1"/>
    </xf>
    <xf numFmtId="0" fontId="54" fillId="0" borderId="5" xfId="0" applyFont="1" applyFill="1" applyBorder="1" applyAlignment="1">
      <alignment horizontal="left" vertical="top"/>
    </xf>
    <xf numFmtId="0" fontId="54" fillId="0" borderId="6" xfId="0" applyFont="1" applyFill="1" applyBorder="1" applyAlignment="1">
      <alignment horizontal="left" vertical="top"/>
    </xf>
    <xf numFmtId="0" fontId="54" fillId="0" borderId="4" xfId="0" applyFont="1" applyFill="1" applyBorder="1" applyAlignment="1">
      <alignment horizontal="left" vertical="top"/>
    </xf>
    <xf numFmtId="0" fontId="48" fillId="0" borderId="5" xfId="0" applyFont="1" applyFill="1" applyBorder="1" applyAlignment="1">
      <alignment horizontal="center" vertical="top"/>
    </xf>
    <xf numFmtId="0" fontId="48" fillId="0" borderId="6" xfId="0" applyFont="1" applyFill="1" applyBorder="1" applyAlignment="1">
      <alignment horizontal="center" vertical="top"/>
    </xf>
    <xf numFmtId="0" fontId="52" fillId="0" borderId="6" xfId="0" applyFont="1" applyFill="1" applyBorder="1" applyAlignment="1">
      <alignment horizontal="left" vertical="top" wrapText="1"/>
    </xf>
    <xf numFmtId="0" fontId="52" fillId="0" borderId="4" xfId="0" applyFont="1" applyFill="1" applyBorder="1" applyAlignment="1">
      <alignment horizontal="left" vertical="top" wrapText="1"/>
    </xf>
    <xf numFmtId="0" fontId="54" fillId="0" borderId="5" xfId="0" applyFont="1" applyFill="1" applyBorder="1" applyAlignment="1">
      <alignment horizontal="left" vertical="center"/>
    </xf>
    <xf numFmtId="0" fontId="54" fillId="0" borderId="6" xfId="0" applyFont="1" applyFill="1" applyBorder="1" applyAlignment="1">
      <alignment horizontal="left" vertical="center"/>
    </xf>
    <xf numFmtId="0" fontId="54" fillId="0" borderId="4" xfId="0" applyFont="1" applyFill="1" applyBorder="1" applyAlignment="1">
      <alignment horizontal="left" vertical="center"/>
    </xf>
    <xf numFmtId="0" fontId="32"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2" fillId="0" borderId="5" xfId="0" applyFont="1" applyFill="1" applyBorder="1" applyAlignment="1">
      <alignment horizontal="left" vertical="top"/>
    </xf>
    <xf numFmtId="0" fontId="52" fillId="0" borderId="6" xfId="0" applyFont="1" applyFill="1" applyBorder="1" applyAlignment="1">
      <alignment horizontal="left" vertical="top"/>
    </xf>
    <xf numFmtId="0" fontId="52" fillId="0" borderId="4" xfId="0" applyFont="1" applyFill="1" applyBorder="1" applyAlignment="1">
      <alignment horizontal="left" vertical="top"/>
    </xf>
    <xf numFmtId="0" fontId="52" fillId="0" borderId="1" xfId="0" applyFont="1" applyFill="1" applyBorder="1" applyAlignment="1">
      <alignment horizontal="left" vertical="top" wrapText="1"/>
    </xf>
    <xf numFmtId="0" fontId="32" fillId="0" borderId="3" xfId="0" applyFont="1" applyFill="1" applyBorder="1" applyAlignment="1">
      <alignment horizontal="center" vertical="top"/>
    </xf>
    <xf numFmtId="0" fontId="0" fillId="0" borderId="2" xfId="0" applyFont="1" applyFill="1" applyBorder="1" applyAlignment="1">
      <alignment horizontal="center" vertical="top"/>
    </xf>
    <xf numFmtId="0" fontId="32" fillId="0" borderId="3" xfId="0" applyFont="1" applyFill="1" applyBorder="1" applyAlignment="1">
      <alignment vertical="top" wrapText="1"/>
    </xf>
    <xf numFmtId="0" fontId="0" fillId="0" borderId="2" xfId="0" applyFont="1" applyFill="1" applyBorder="1" applyAlignment="1">
      <alignment vertical="top" wrapText="1"/>
    </xf>
    <xf numFmtId="0" fontId="52" fillId="0" borderId="1" xfId="0" applyFont="1" applyFill="1" applyBorder="1" applyAlignment="1">
      <alignment horizontal="left" vertical="top"/>
    </xf>
    <xf numFmtId="0" fontId="28" fillId="0" borderId="10"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5" xfId="0" applyFont="1" applyFill="1" applyBorder="1" applyAlignment="1">
      <alignment horizontal="left" vertical="center"/>
    </xf>
    <xf numFmtId="0" fontId="0" fillId="0" borderId="6" xfId="0" applyFont="1" applyFill="1" applyBorder="1" applyAlignment="1">
      <alignment horizontal="left" vertical="center"/>
    </xf>
    <xf numFmtId="0" fontId="54" fillId="0" borderId="11" xfId="0" applyFont="1" applyFill="1" applyBorder="1" applyAlignment="1">
      <alignment horizontal="left" vertical="center"/>
    </xf>
    <xf numFmtId="0" fontId="52" fillId="0" borderId="5" xfId="0" applyFont="1" applyFill="1" applyBorder="1" applyAlignment="1">
      <alignment horizontal="left" vertical="top" wrapText="1"/>
    </xf>
    <xf numFmtId="0" fontId="51" fillId="0" borderId="1"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2" fillId="0" borderId="5" xfId="0" applyFont="1" applyFill="1" applyBorder="1" applyAlignment="1">
      <alignment horizontal="left" vertical="center" wrapText="1"/>
    </xf>
    <xf numFmtId="0" fontId="52" fillId="0" borderId="6" xfId="0" applyFont="1" applyFill="1" applyBorder="1" applyAlignment="1">
      <alignment horizontal="left" vertical="center" wrapText="1"/>
    </xf>
    <xf numFmtId="0" fontId="52" fillId="0" borderId="4" xfId="0" applyFont="1" applyFill="1" applyBorder="1" applyAlignment="1">
      <alignment horizontal="left" vertical="center" wrapText="1"/>
    </xf>
    <xf numFmtId="0" fontId="28" fillId="0" borderId="0" xfId="0"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center"/>
    </xf>
    <xf numFmtId="0" fontId="48" fillId="0" borderId="0" xfId="0" applyFont="1" applyFill="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W123"/>
  <sheetViews>
    <sheetView view="pageBreakPreview" zoomScale="65" zoomScaleSheetLayoutView="65" workbookViewId="0">
      <pane ySplit="1740" topLeftCell="A72" activePane="bottomLeft"/>
      <selection activeCell="G3" sqref="G3"/>
      <selection pane="bottomLeft" activeCell="H76" sqref="H76"/>
    </sheetView>
  </sheetViews>
  <sheetFormatPr defaultRowHeight="15"/>
  <cols>
    <col min="1" max="1" width="6.28515625" style="7" customWidth="1"/>
    <col min="2" max="2" width="56" style="7" customWidth="1"/>
    <col min="3" max="3" width="26" style="7" customWidth="1"/>
    <col min="4" max="4" width="12.7109375" style="7" customWidth="1"/>
    <col min="5" max="5" width="13.28515625" style="7" customWidth="1"/>
    <col min="6" max="6" width="16.42578125" style="7" customWidth="1"/>
    <col min="7" max="7" width="14.85546875" style="7" customWidth="1"/>
    <col min="8" max="8" width="12.7109375" style="7" customWidth="1"/>
    <col min="9" max="9" width="16.5703125" style="7" customWidth="1"/>
    <col min="10" max="10" width="15.5703125" style="7" customWidth="1"/>
    <col min="11" max="11" width="12.28515625" style="7" customWidth="1"/>
    <col min="12" max="12" width="16.85546875" style="7" customWidth="1"/>
    <col min="13" max="13" width="15.5703125" style="7" customWidth="1"/>
    <col min="14" max="14" width="12.140625" style="7" customWidth="1"/>
    <col min="15" max="15" width="17.42578125" style="7" customWidth="1"/>
    <col min="16" max="16" width="14.7109375" style="7" customWidth="1"/>
    <col min="17" max="17" width="12.1406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ht="15" customHeight="1">
      <c r="R1" s="126" t="s">
        <v>323</v>
      </c>
      <c r="S1" s="127"/>
      <c r="T1" s="127"/>
      <c r="U1" s="127"/>
    </row>
    <row r="2" spans="1:21">
      <c r="R2" s="127"/>
      <c r="S2" s="127"/>
      <c r="T2" s="127"/>
      <c r="U2" s="127"/>
    </row>
    <row r="3" spans="1:21" ht="58.5" customHeight="1">
      <c r="A3" s="27"/>
      <c r="B3" s="27"/>
      <c r="C3" s="27"/>
      <c r="D3" s="27"/>
      <c r="E3" s="27"/>
      <c r="F3" s="27"/>
      <c r="G3" s="27"/>
      <c r="H3" s="27"/>
      <c r="I3" s="27"/>
      <c r="J3" s="27"/>
      <c r="K3" s="27"/>
      <c r="L3" s="27"/>
      <c r="M3" s="27"/>
      <c r="N3" s="27"/>
      <c r="O3" s="27"/>
      <c r="P3" s="27"/>
      <c r="Q3" s="27"/>
      <c r="R3" s="126" t="s">
        <v>322</v>
      </c>
      <c r="S3" s="180"/>
      <c r="T3" s="180"/>
      <c r="U3" s="180"/>
    </row>
    <row r="4" spans="1:21" ht="17.25" customHeight="1">
      <c r="A4" s="181" t="s">
        <v>133</v>
      </c>
      <c r="B4" s="181"/>
      <c r="C4" s="181"/>
      <c r="D4" s="181"/>
      <c r="E4" s="181"/>
      <c r="F4" s="181"/>
      <c r="G4" s="181"/>
      <c r="H4" s="181"/>
      <c r="I4" s="181"/>
      <c r="J4" s="181"/>
      <c r="K4" s="181"/>
      <c r="L4" s="181"/>
      <c r="M4" s="181"/>
      <c r="N4" s="181"/>
      <c r="O4" s="181"/>
      <c r="P4" s="181"/>
      <c r="Q4" s="181"/>
      <c r="R4" s="181"/>
      <c r="S4" s="181"/>
      <c r="T4" s="181"/>
      <c r="U4" s="181"/>
    </row>
    <row r="5" spans="1:21" ht="18.75" customHeight="1">
      <c r="A5" s="181"/>
      <c r="B5" s="181"/>
      <c r="C5" s="181"/>
      <c r="D5" s="181"/>
      <c r="E5" s="181"/>
      <c r="F5" s="181"/>
      <c r="G5" s="181"/>
      <c r="H5" s="181"/>
      <c r="I5" s="181"/>
      <c r="J5" s="181"/>
      <c r="K5" s="181"/>
      <c r="L5" s="181"/>
      <c r="M5" s="181"/>
      <c r="N5" s="181"/>
      <c r="O5" s="181"/>
      <c r="P5" s="181"/>
      <c r="Q5" s="181"/>
      <c r="R5" s="181"/>
      <c r="S5" s="181"/>
      <c r="T5" s="181"/>
      <c r="U5" s="181"/>
    </row>
    <row r="6" spans="1:21" s="8" customFormat="1" ht="15" customHeight="1">
      <c r="A6" s="182" t="s">
        <v>25</v>
      </c>
      <c r="B6" s="182" t="s">
        <v>177</v>
      </c>
      <c r="C6" s="182" t="s">
        <v>178</v>
      </c>
      <c r="D6" s="182" t="s">
        <v>78</v>
      </c>
      <c r="E6" s="182" t="s">
        <v>79</v>
      </c>
      <c r="F6" s="184" t="s">
        <v>134</v>
      </c>
      <c r="G6" s="184"/>
      <c r="H6" s="184"/>
      <c r="I6" s="184" t="s">
        <v>135</v>
      </c>
      <c r="J6" s="184"/>
      <c r="K6" s="184"/>
      <c r="L6" s="184" t="s">
        <v>136</v>
      </c>
      <c r="M6" s="184"/>
      <c r="N6" s="184"/>
      <c r="O6" s="184" t="s">
        <v>171</v>
      </c>
      <c r="P6" s="184"/>
      <c r="Q6" s="184"/>
      <c r="R6" s="184" t="s">
        <v>172</v>
      </c>
      <c r="S6" s="184"/>
      <c r="T6" s="184"/>
      <c r="U6" s="182" t="s">
        <v>335</v>
      </c>
    </row>
    <row r="7" spans="1:21" s="8" customFormat="1" ht="78" customHeight="1">
      <c r="A7" s="183"/>
      <c r="B7" s="183"/>
      <c r="C7" s="183"/>
      <c r="D7" s="183"/>
      <c r="E7" s="183"/>
      <c r="F7" s="28" t="s">
        <v>81</v>
      </c>
      <c r="G7" s="28" t="s">
        <v>336</v>
      </c>
      <c r="H7" s="28" t="s">
        <v>337</v>
      </c>
      <c r="I7" s="28" t="s">
        <v>81</v>
      </c>
      <c r="J7" s="28" t="s">
        <v>338</v>
      </c>
      <c r="K7" s="28" t="s">
        <v>337</v>
      </c>
      <c r="L7" s="28" t="s">
        <v>81</v>
      </c>
      <c r="M7" s="28" t="s">
        <v>338</v>
      </c>
      <c r="N7" s="28" t="s">
        <v>337</v>
      </c>
      <c r="O7" s="28" t="s">
        <v>81</v>
      </c>
      <c r="P7" s="28" t="s">
        <v>338</v>
      </c>
      <c r="Q7" s="28" t="s">
        <v>337</v>
      </c>
      <c r="R7" s="28" t="s">
        <v>81</v>
      </c>
      <c r="S7" s="28" t="s">
        <v>338</v>
      </c>
      <c r="T7" s="28" t="s">
        <v>337</v>
      </c>
      <c r="U7" s="183"/>
    </row>
    <row r="8" spans="1:21" s="8" customFormat="1" ht="15.75">
      <c r="A8" s="172">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37.5" customHeight="1">
      <c r="A9" s="177" t="s">
        <v>26</v>
      </c>
      <c r="B9" s="178"/>
      <c r="C9" s="178"/>
      <c r="D9" s="178"/>
      <c r="E9" s="178"/>
      <c r="F9" s="178"/>
      <c r="G9" s="178"/>
      <c r="H9" s="178"/>
      <c r="I9" s="178"/>
      <c r="J9" s="178"/>
      <c r="K9" s="178"/>
      <c r="L9" s="178"/>
      <c r="M9" s="178"/>
      <c r="N9" s="178"/>
      <c r="O9" s="178"/>
      <c r="P9" s="178"/>
      <c r="Q9" s="178"/>
      <c r="R9" s="178"/>
      <c r="S9" s="178"/>
      <c r="T9" s="178"/>
      <c r="U9" s="179"/>
    </row>
    <row r="10" spans="1:21" ht="74.25" customHeight="1">
      <c r="A10" s="30" t="s">
        <v>339</v>
      </c>
      <c r="B10" s="185" t="s">
        <v>264</v>
      </c>
      <c r="C10" s="139"/>
      <c r="D10" s="139"/>
      <c r="E10" s="139"/>
      <c r="F10" s="139"/>
      <c r="G10" s="139"/>
      <c r="H10" s="139"/>
      <c r="I10" s="139"/>
      <c r="J10" s="139"/>
      <c r="K10" s="139"/>
      <c r="L10" s="139"/>
      <c r="M10" s="139"/>
      <c r="N10" s="139"/>
      <c r="O10" s="139"/>
      <c r="P10" s="139"/>
      <c r="Q10" s="139"/>
      <c r="R10" s="139"/>
      <c r="S10" s="139"/>
      <c r="T10" s="139"/>
      <c r="U10" s="140"/>
    </row>
    <row r="11" spans="1:21" ht="154.5" customHeight="1">
      <c r="A11" s="25" t="s">
        <v>28</v>
      </c>
      <c r="B11" s="31" t="s">
        <v>29</v>
      </c>
      <c r="C11" s="162" t="s">
        <v>84</v>
      </c>
      <c r="D11" s="154" t="s">
        <v>85</v>
      </c>
      <c r="E11" s="32" t="s">
        <v>86</v>
      </c>
      <c r="F11" s="11" t="s">
        <v>340</v>
      </c>
      <c r="G11" s="26" t="s">
        <v>87</v>
      </c>
      <c r="H11" s="1">
        <v>43350</v>
      </c>
      <c r="I11" s="11" t="s">
        <v>33</v>
      </c>
      <c r="J11" s="26" t="s">
        <v>33</v>
      </c>
      <c r="K11" s="1">
        <v>0</v>
      </c>
      <c r="L11" s="11" t="s">
        <v>33</v>
      </c>
      <c r="M11" s="26" t="s">
        <v>33</v>
      </c>
      <c r="N11" s="1">
        <v>0</v>
      </c>
      <c r="O11" s="11" t="s">
        <v>341</v>
      </c>
      <c r="P11" s="26" t="s">
        <v>87</v>
      </c>
      <c r="Q11" s="1">
        <v>46425</v>
      </c>
      <c r="R11" s="11" t="s">
        <v>341</v>
      </c>
      <c r="S11" s="26" t="s">
        <v>87</v>
      </c>
      <c r="T11" s="1">
        <v>46425</v>
      </c>
      <c r="U11" s="2">
        <v>136200</v>
      </c>
    </row>
    <row r="12" spans="1:21" ht="181.5" customHeight="1">
      <c r="A12" s="12" t="s">
        <v>30</v>
      </c>
      <c r="B12" s="33" t="s">
        <v>221</v>
      </c>
      <c r="C12" s="167"/>
      <c r="D12" s="5" t="s">
        <v>88</v>
      </c>
      <c r="E12" s="32" t="s">
        <v>89</v>
      </c>
      <c r="F12" s="11" t="s">
        <v>342</v>
      </c>
      <c r="G12" s="26" t="s">
        <v>87</v>
      </c>
      <c r="H12" s="1">
        <v>16641</v>
      </c>
      <c r="I12" s="11" t="s">
        <v>33</v>
      </c>
      <c r="J12" s="26" t="s">
        <v>33</v>
      </c>
      <c r="K12" s="1">
        <v>0</v>
      </c>
      <c r="L12" s="11" t="s">
        <v>33</v>
      </c>
      <c r="M12" s="26" t="s">
        <v>33</v>
      </c>
      <c r="N12" s="1">
        <v>0</v>
      </c>
      <c r="O12" s="11" t="s">
        <v>343</v>
      </c>
      <c r="P12" s="26" t="s">
        <v>87</v>
      </c>
      <c r="Q12" s="1">
        <v>19038</v>
      </c>
      <c r="R12" s="11" t="s">
        <v>343</v>
      </c>
      <c r="S12" s="26" t="s">
        <v>87</v>
      </c>
      <c r="T12" s="1">
        <v>19038</v>
      </c>
      <c r="U12" s="2">
        <v>54717</v>
      </c>
    </row>
    <row r="13" spans="1:21" ht="106.5" customHeight="1">
      <c r="A13" s="12" t="s">
        <v>31</v>
      </c>
      <c r="B13" s="10" t="s">
        <v>200</v>
      </c>
      <c r="C13" s="172" t="s">
        <v>90</v>
      </c>
      <c r="D13" s="34" t="s">
        <v>85</v>
      </c>
      <c r="E13" s="5" t="s">
        <v>159</v>
      </c>
      <c r="F13" s="85" t="s">
        <v>160</v>
      </c>
      <c r="G13" s="85" t="s">
        <v>161</v>
      </c>
      <c r="H13" s="38">
        <f>774</f>
        <v>774</v>
      </c>
      <c r="I13" s="11" t="s">
        <v>160</v>
      </c>
      <c r="J13" s="11" t="s">
        <v>161</v>
      </c>
      <c r="K13" s="1">
        <v>774</v>
      </c>
      <c r="L13" s="11" t="s">
        <v>160</v>
      </c>
      <c r="M13" s="11" t="s">
        <v>161</v>
      </c>
      <c r="N13" s="1">
        <v>774</v>
      </c>
      <c r="O13" s="11" t="s">
        <v>160</v>
      </c>
      <c r="P13" s="11" t="s">
        <v>161</v>
      </c>
      <c r="Q13" s="1">
        <v>774</v>
      </c>
      <c r="R13" s="11" t="s">
        <v>160</v>
      </c>
      <c r="S13" s="11" t="s">
        <v>161</v>
      </c>
      <c r="T13" s="1">
        <v>774</v>
      </c>
      <c r="U13" s="2">
        <v>3870</v>
      </c>
    </row>
    <row r="14" spans="1:21" ht="118.5" customHeight="1">
      <c r="A14" s="12" t="s">
        <v>32</v>
      </c>
      <c r="B14" s="31" t="s">
        <v>222</v>
      </c>
      <c r="C14" s="172"/>
      <c r="D14" s="36" t="s">
        <v>85</v>
      </c>
      <c r="E14" s="37" t="s">
        <v>316</v>
      </c>
      <c r="F14" s="85" t="s">
        <v>329</v>
      </c>
      <c r="G14" s="85" t="s">
        <v>267</v>
      </c>
      <c r="H14" s="38">
        <v>8260</v>
      </c>
      <c r="I14" s="85" t="s">
        <v>329</v>
      </c>
      <c r="J14" s="85" t="s">
        <v>267</v>
      </c>
      <c r="K14" s="38">
        <v>8260</v>
      </c>
      <c r="L14" s="85" t="s">
        <v>329</v>
      </c>
      <c r="M14" s="85" t="s">
        <v>267</v>
      </c>
      <c r="N14" s="38">
        <v>8260</v>
      </c>
      <c r="O14" s="11" t="s">
        <v>272</v>
      </c>
      <c r="P14" s="11" t="s">
        <v>267</v>
      </c>
      <c r="Q14" s="1">
        <v>12655.3</v>
      </c>
      <c r="R14" s="11" t="s">
        <v>272</v>
      </c>
      <c r="S14" s="11" t="s">
        <v>267</v>
      </c>
      <c r="T14" s="1">
        <v>12655.3</v>
      </c>
      <c r="U14" s="2">
        <v>50090.6</v>
      </c>
    </row>
    <row r="15" spans="1:21" ht="120.75" customHeight="1">
      <c r="A15" s="12" t="s">
        <v>165</v>
      </c>
      <c r="B15" s="33" t="s">
        <v>271</v>
      </c>
      <c r="C15" s="172" t="s">
        <v>84</v>
      </c>
      <c r="D15" s="34" t="s">
        <v>88</v>
      </c>
      <c r="E15" s="5" t="s">
        <v>92</v>
      </c>
      <c r="F15" s="11" t="s">
        <v>315</v>
      </c>
      <c r="G15" s="11" t="s">
        <v>314</v>
      </c>
      <c r="H15" s="1">
        <v>4075</v>
      </c>
      <c r="I15" s="11" t="s">
        <v>33</v>
      </c>
      <c r="J15" s="11" t="s">
        <v>33</v>
      </c>
      <c r="K15" s="1">
        <v>0</v>
      </c>
      <c r="L15" s="11" t="s">
        <v>33</v>
      </c>
      <c r="M15" s="11" t="s">
        <v>33</v>
      </c>
      <c r="N15" s="1">
        <v>0</v>
      </c>
      <c r="O15" s="11" t="s">
        <v>93</v>
      </c>
      <c r="P15" s="11" t="s">
        <v>115</v>
      </c>
      <c r="Q15" s="1">
        <v>2909</v>
      </c>
      <c r="R15" s="11" t="s">
        <v>93</v>
      </c>
      <c r="S15" s="11" t="s">
        <v>115</v>
      </c>
      <c r="T15" s="1">
        <v>2909</v>
      </c>
      <c r="U15" s="2">
        <v>9893</v>
      </c>
    </row>
    <row r="16" spans="1:21" s="100" customFormat="1" ht="173.25" customHeight="1">
      <c r="A16" s="96" t="s">
        <v>247</v>
      </c>
      <c r="B16" s="186" t="s">
        <v>255</v>
      </c>
      <c r="C16" s="98" t="s">
        <v>84</v>
      </c>
      <c r="D16" s="36" t="s">
        <v>88</v>
      </c>
      <c r="E16" s="37" t="s">
        <v>91</v>
      </c>
      <c r="F16" s="85">
        <v>0</v>
      </c>
      <c r="G16" s="85">
        <v>0</v>
      </c>
      <c r="H16" s="38">
        <v>0</v>
      </c>
      <c r="I16" s="85">
        <v>0</v>
      </c>
      <c r="J16" s="85">
        <v>0</v>
      </c>
      <c r="K16" s="38">
        <v>0</v>
      </c>
      <c r="L16" s="85">
        <v>0</v>
      </c>
      <c r="M16" s="85">
        <v>0</v>
      </c>
      <c r="N16" s="38">
        <v>0</v>
      </c>
      <c r="O16" s="85" t="s">
        <v>256</v>
      </c>
      <c r="P16" s="85" t="s">
        <v>261</v>
      </c>
      <c r="Q16" s="38">
        <v>2019.6</v>
      </c>
      <c r="R16" s="85" t="s">
        <v>256</v>
      </c>
      <c r="S16" s="85" t="s">
        <v>261</v>
      </c>
      <c r="T16" s="38">
        <v>2019.6</v>
      </c>
      <c r="U16" s="99">
        <v>4039.2</v>
      </c>
    </row>
    <row r="17" spans="1:21" s="100" customFormat="1" ht="150.75" customHeight="1">
      <c r="A17" s="96" t="s">
        <v>257</v>
      </c>
      <c r="B17" s="186" t="s">
        <v>258</v>
      </c>
      <c r="C17" s="98" t="s">
        <v>84</v>
      </c>
      <c r="D17" s="36" t="s">
        <v>88</v>
      </c>
      <c r="E17" s="37" t="s">
        <v>91</v>
      </c>
      <c r="F17" s="85">
        <v>0</v>
      </c>
      <c r="G17" s="85">
        <v>0</v>
      </c>
      <c r="H17" s="38">
        <v>0</v>
      </c>
      <c r="I17" s="85">
        <v>0</v>
      </c>
      <c r="J17" s="85">
        <v>0</v>
      </c>
      <c r="K17" s="38">
        <v>0</v>
      </c>
      <c r="L17" s="85">
        <v>0</v>
      </c>
      <c r="M17" s="85">
        <v>0</v>
      </c>
      <c r="N17" s="38">
        <v>0</v>
      </c>
      <c r="O17" s="85" t="s">
        <v>259</v>
      </c>
      <c r="P17" s="85" t="s">
        <v>260</v>
      </c>
      <c r="Q17" s="38">
        <v>15711.6</v>
      </c>
      <c r="R17" s="85" t="s">
        <v>259</v>
      </c>
      <c r="S17" s="85" t="s">
        <v>260</v>
      </c>
      <c r="T17" s="38">
        <v>15711.6</v>
      </c>
      <c r="U17" s="99">
        <v>31423.200000000001</v>
      </c>
    </row>
    <row r="18" spans="1:21" s="9" customFormat="1" ht="22.5" customHeight="1">
      <c r="A18" s="141" t="s">
        <v>94</v>
      </c>
      <c r="B18" s="142"/>
      <c r="C18" s="176"/>
      <c r="D18" s="142"/>
      <c r="E18" s="142"/>
      <c r="F18" s="41"/>
      <c r="G18" s="42"/>
      <c r="H18" s="43">
        <v>73100</v>
      </c>
      <c r="I18" s="44"/>
      <c r="J18" s="45"/>
      <c r="K18" s="43">
        <v>9034</v>
      </c>
      <c r="L18" s="44"/>
      <c r="M18" s="45"/>
      <c r="N18" s="43">
        <v>9034</v>
      </c>
      <c r="O18" s="43"/>
      <c r="P18" s="43"/>
      <c r="Q18" s="43">
        <v>99532.5</v>
      </c>
      <c r="R18" s="43"/>
      <c r="S18" s="43"/>
      <c r="T18" s="43">
        <v>99532.5</v>
      </c>
      <c r="U18" s="43">
        <v>290233</v>
      </c>
    </row>
    <row r="19" spans="1:21" ht="16.5">
      <c r="A19" s="144" t="s">
        <v>84</v>
      </c>
      <c r="B19" s="144"/>
      <c r="C19" s="144"/>
      <c r="D19" s="144"/>
      <c r="E19" s="144"/>
      <c r="F19" s="46"/>
      <c r="G19" s="47"/>
      <c r="H19" s="48">
        <v>64066</v>
      </c>
      <c r="I19" s="49"/>
      <c r="J19" s="49"/>
      <c r="K19" s="48">
        <v>0</v>
      </c>
      <c r="L19" s="49"/>
      <c r="M19" s="49"/>
      <c r="N19" s="48">
        <v>0</v>
      </c>
      <c r="O19" s="48"/>
      <c r="P19" s="48"/>
      <c r="Q19" s="48">
        <v>86103.2</v>
      </c>
      <c r="R19" s="48"/>
      <c r="S19" s="48"/>
      <c r="T19" s="48">
        <v>86103.2</v>
      </c>
      <c r="U19" s="48">
        <v>236272.4</v>
      </c>
    </row>
    <row r="20" spans="1:21" ht="16.5">
      <c r="A20" s="144" t="s">
        <v>95</v>
      </c>
      <c r="B20" s="144"/>
      <c r="C20" s="144"/>
      <c r="D20" s="144"/>
      <c r="E20" s="144"/>
      <c r="F20" s="46"/>
      <c r="G20" s="47"/>
      <c r="H20" s="48">
        <v>9034</v>
      </c>
      <c r="I20" s="49"/>
      <c r="J20" s="49"/>
      <c r="K20" s="48">
        <v>9034</v>
      </c>
      <c r="L20" s="49"/>
      <c r="M20" s="49"/>
      <c r="N20" s="48">
        <v>9034</v>
      </c>
      <c r="O20" s="48"/>
      <c r="P20" s="48"/>
      <c r="Q20" s="48">
        <v>13429.3</v>
      </c>
      <c r="R20" s="48"/>
      <c r="S20" s="48"/>
      <c r="T20" s="48">
        <v>13429.3</v>
      </c>
      <c r="U20" s="48">
        <v>53960.6</v>
      </c>
    </row>
    <row r="21" spans="1:21" ht="36.75" customHeight="1">
      <c r="A21" s="50" t="s">
        <v>344</v>
      </c>
      <c r="B21" s="171" t="s">
        <v>223</v>
      </c>
      <c r="C21" s="139"/>
      <c r="D21" s="139"/>
      <c r="E21" s="139"/>
      <c r="F21" s="139"/>
      <c r="G21" s="139"/>
      <c r="H21" s="139"/>
      <c r="I21" s="139"/>
      <c r="J21" s="139"/>
      <c r="K21" s="139"/>
      <c r="L21" s="139"/>
      <c r="M21" s="139"/>
      <c r="N21" s="139"/>
      <c r="O21" s="139"/>
      <c r="P21" s="139"/>
      <c r="Q21" s="139"/>
      <c r="R21" s="139"/>
      <c r="S21" s="139"/>
      <c r="T21" s="139"/>
      <c r="U21" s="140"/>
    </row>
    <row r="22" spans="1:21" ht="151.5" customHeight="1">
      <c r="A22" s="12" t="s">
        <v>35</v>
      </c>
      <c r="B22" s="187" t="s">
        <v>291</v>
      </c>
      <c r="C22" s="5"/>
      <c r="D22" s="5" t="s">
        <v>85</v>
      </c>
      <c r="E22" s="34" t="s">
        <v>345</v>
      </c>
      <c r="F22" s="85" t="s">
        <v>384</v>
      </c>
      <c r="G22" s="85" t="s">
        <v>380</v>
      </c>
      <c r="H22" s="38">
        <f>2664</f>
        <v>2664</v>
      </c>
      <c r="I22" s="13" t="s">
        <v>143</v>
      </c>
      <c r="J22" s="11" t="s">
        <v>144</v>
      </c>
      <c r="K22" s="1">
        <v>2664</v>
      </c>
      <c r="L22" s="14" t="s">
        <v>143</v>
      </c>
      <c r="M22" s="11" t="s">
        <v>144</v>
      </c>
      <c r="N22" s="1">
        <v>2664</v>
      </c>
      <c r="O22" s="14" t="s">
        <v>143</v>
      </c>
      <c r="P22" s="11" t="s">
        <v>144</v>
      </c>
      <c r="Q22" s="1">
        <v>2664</v>
      </c>
      <c r="R22" s="14" t="s">
        <v>143</v>
      </c>
      <c r="S22" s="11" t="s">
        <v>144</v>
      </c>
      <c r="T22" s="1">
        <v>2664</v>
      </c>
      <c r="U22" s="2">
        <v>13320</v>
      </c>
    </row>
    <row r="23" spans="1:21" ht="16.5">
      <c r="A23" s="141" t="s">
        <v>97</v>
      </c>
      <c r="B23" s="142"/>
      <c r="C23" s="142"/>
      <c r="D23" s="142"/>
      <c r="E23" s="142"/>
      <c r="F23" s="46"/>
      <c r="G23" s="47"/>
      <c r="H23" s="43">
        <v>2664</v>
      </c>
      <c r="I23" s="52"/>
      <c r="J23" s="53"/>
      <c r="K23" s="43">
        <v>2664</v>
      </c>
      <c r="L23" s="52"/>
      <c r="M23" s="53"/>
      <c r="N23" s="43">
        <v>2664</v>
      </c>
      <c r="O23" s="54"/>
      <c r="P23" s="54"/>
      <c r="Q23" s="43">
        <v>2664</v>
      </c>
      <c r="R23" s="54"/>
      <c r="S23" s="54"/>
      <c r="T23" s="43">
        <v>2664</v>
      </c>
      <c r="U23" s="43">
        <v>13320</v>
      </c>
    </row>
    <row r="24" spans="1:21" ht="16.5">
      <c r="A24" s="144" t="s">
        <v>95</v>
      </c>
      <c r="B24" s="144"/>
      <c r="C24" s="144"/>
      <c r="D24" s="144"/>
      <c r="E24" s="144"/>
      <c r="F24" s="46"/>
      <c r="G24" s="47"/>
      <c r="H24" s="48">
        <v>2664</v>
      </c>
      <c r="I24" s="49"/>
      <c r="J24" s="49"/>
      <c r="K24" s="48">
        <v>2664</v>
      </c>
      <c r="L24" s="49"/>
      <c r="M24" s="49"/>
      <c r="N24" s="48">
        <v>2664</v>
      </c>
      <c r="O24" s="48"/>
      <c r="P24" s="48"/>
      <c r="Q24" s="48">
        <v>2664</v>
      </c>
      <c r="R24" s="48"/>
      <c r="S24" s="48"/>
      <c r="T24" s="48">
        <v>2664</v>
      </c>
      <c r="U24" s="54">
        <v>13320</v>
      </c>
    </row>
    <row r="25" spans="1:21" ht="50.25" customHeight="1">
      <c r="A25" s="50" t="s">
        <v>346</v>
      </c>
      <c r="B25" s="171" t="s">
        <v>224</v>
      </c>
      <c r="C25" s="139"/>
      <c r="D25" s="139"/>
      <c r="E25" s="139"/>
      <c r="F25" s="139"/>
      <c r="G25" s="139"/>
      <c r="H25" s="139"/>
      <c r="I25" s="139"/>
      <c r="J25" s="139"/>
      <c r="K25" s="139"/>
      <c r="L25" s="139"/>
      <c r="M25" s="139"/>
      <c r="N25" s="139"/>
      <c r="O25" s="139"/>
      <c r="P25" s="139"/>
      <c r="Q25" s="139"/>
      <c r="R25" s="139"/>
      <c r="S25" s="139"/>
      <c r="T25" s="139"/>
      <c r="U25" s="140"/>
    </row>
    <row r="26" spans="1:21" ht="108.75" customHeight="1">
      <c r="A26" s="12" t="s">
        <v>37</v>
      </c>
      <c r="B26" s="10" t="s">
        <v>289</v>
      </c>
      <c r="C26" s="162" t="s">
        <v>90</v>
      </c>
      <c r="D26" s="5" t="s">
        <v>85</v>
      </c>
      <c r="E26" s="5" t="s">
        <v>91</v>
      </c>
      <c r="F26" s="11" t="s">
        <v>319</v>
      </c>
      <c r="G26" s="11" t="s">
        <v>309</v>
      </c>
      <c r="H26" s="1">
        <v>681</v>
      </c>
      <c r="I26" s="11" t="s">
        <v>319</v>
      </c>
      <c r="J26" s="11" t="s">
        <v>347</v>
      </c>
      <c r="K26" s="1">
        <v>681</v>
      </c>
      <c r="L26" s="11" t="s">
        <v>319</v>
      </c>
      <c r="M26" s="11" t="s">
        <v>347</v>
      </c>
      <c r="N26" s="1">
        <v>681</v>
      </c>
      <c r="O26" s="11">
        <v>110</v>
      </c>
      <c r="P26" s="11" t="s">
        <v>347</v>
      </c>
      <c r="Q26" s="1">
        <v>660</v>
      </c>
      <c r="R26" s="11">
        <v>110</v>
      </c>
      <c r="S26" s="11" t="s">
        <v>347</v>
      </c>
      <c r="T26" s="1">
        <v>660</v>
      </c>
      <c r="U26" s="2">
        <v>3363</v>
      </c>
    </row>
    <row r="27" spans="1:21" ht="132" customHeight="1">
      <c r="A27" s="12" t="s">
        <v>312</v>
      </c>
      <c r="B27" s="10" t="s">
        <v>290</v>
      </c>
      <c r="C27" s="164"/>
      <c r="D27" s="5" t="s">
        <v>85</v>
      </c>
      <c r="E27" s="37" t="s">
        <v>100</v>
      </c>
      <c r="F27" s="85" t="s">
        <v>318</v>
      </c>
      <c r="G27" s="85" t="s">
        <v>309</v>
      </c>
      <c r="H27" s="38">
        <v>1192</v>
      </c>
      <c r="I27" s="84" t="s">
        <v>318</v>
      </c>
      <c r="J27" s="11" t="s">
        <v>309</v>
      </c>
      <c r="K27" s="1">
        <v>1192</v>
      </c>
      <c r="L27" s="84" t="s">
        <v>318</v>
      </c>
      <c r="M27" s="11" t="s">
        <v>309</v>
      </c>
      <c r="N27" s="1">
        <v>1192</v>
      </c>
      <c r="O27" s="13" t="s">
        <v>128</v>
      </c>
      <c r="P27" s="11" t="s">
        <v>129</v>
      </c>
      <c r="Q27" s="1">
        <v>1290</v>
      </c>
      <c r="R27" s="13" t="s">
        <v>128</v>
      </c>
      <c r="S27" s="11" t="s">
        <v>129</v>
      </c>
      <c r="T27" s="1">
        <v>1290</v>
      </c>
      <c r="U27" s="2">
        <v>6156</v>
      </c>
    </row>
    <row r="28" spans="1:21" s="9" customFormat="1" ht="16.5">
      <c r="A28" s="141" t="s">
        <v>101</v>
      </c>
      <c r="B28" s="142"/>
      <c r="C28" s="142"/>
      <c r="D28" s="142"/>
      <c r="E28" s="142"/>
      <c r="F28" s="41"/>
      <c r="G28" s="42"/>
      <c r="H28" s="43">
        <v>1873</v>
      </c>
      <c r="I28" s="44"/>
      <c r="J28" s="45"/>
      <c r="K28" s="43">
        <v>1873</v>
      </c>
      <c r="L28" s="44"/>
      <c r="M28" s="45"/>
      <c r="N28" s="43">
        <v>1873</v>
      </c>
      <c r="O28" s="43"/>
      <c r="P28" s="43"/>
      <c r="Q28" s="43">
        <v>1950</v>
      </c>
      <c r="R28" s="43"/>
      <c r="S28" s="43"/>
      <c r="T28" s="43">
        <v>1950</v>
      </c>
      <c r="U28" s="43">
        <v>9519</v>
      </c>
    </row>
    <row r="29" spans="1:21" ht="16.5">
      <c r="A29" s="173" t="s">
        <v>95</v>
      </c>
      <c r="B29" s="174"/>
      <c r="C29" s="174"/>
      <c r="D29" s="174"/>
      <c r="E29" s="175"/>
      <c r="F29" s="46"/>
      <c r="G29" s="47"/>
      <c r="H29" s="48">
        <v>1873</v>
      </c>
      <c r="I29" s="49"/>
      <c r="J29" s="49"/>
      <c r="K29" s="48">
        <v>1873</v>
      </c>
      <c r="L29" s="49"/>
      <c r="M29" s="49"/>
      <c r="N29" s="48">
        <v>1873</v>
      </c>
      <c r="O29" s="48"/>
      <c r="P29" s="48"/>
      <c r="Q29" s="48">
        <v>1950</v>
      </c>
      <c r="R29" s="48"/>
      <c r="S29" s="48"/>
      <c r="T29" s="48">
        <v>1950</v>
      </c>
      <c r="U29" s="54">
        <v>9519</v>
      </c>
    </row>
    <row r="30" spans="1:21" ht="33" customHeight="1">
      <c r="A30" s="50" t="s">
        <v>348</v>
      </c>
      <c r="B30" s="157" t="s">
        <v>225</v>
      </c>
      <c r="C30" s="157"/>
      <c r="D30" s="157"/>
      <c r="E30" s="157"/>
      <c r="F30" s="157"/>
      <c r="G30" s="157"/>
      <c r="H30" s="157"/>
      <c r="I30" s="157"/>
      <c r="J30" s="157"/>
      <c r="K30" s="157"/>
      <c r="L30" s="157"/>
      <c r="M30" s="157"/>
      <c r="N30" s="157"/>
      <c r="O30" s="157"/>
      <c r="P30" s="157"/>
      <c r="Q30" s="157"/>
      <c r="R30" s="157"/>
      <c r="S30" s="157"/>
      <c r="T30" s="157"/>
      <c r="U30" s="157"/>
    </row>
    <row r="31" spans="1:21" ht="49.5" customHeight="1">
      <c r="A31" s="12" t="s">
        <v>39</v>
      </c>
      <c r="B31" s="51" t="s">
        <v>40</v>
      </c>
      <c r="C31" s="162" t="s">
        <v>90</v>
      </c>
      <c r="D31" s="154" t="s">
        <v>85</v>
      </c>
      <c r="E31" s="154" t="s">
        <v>102</v>
      </c>
      <c r="F31" s="85" t="s">
        <v>349</v>
      </c>
      <c r="G31" s="85" t="s">
        <v>33</v>
      </c>
      <c r="H31" s="38">
        <v>3306</v>
      </c>
      <c r="I31" s="85" t="s">
        <v>349</v>
      </c>
      <c r="J31" s="85" t="s">
        <v>33</v>
      </c>
      <c r="K31" s="38">
        <v>3306</v>
      </c>
      <c r="L31" s="85" t="s">
        <v>349</v>
      </c>
      <c r="M31" s="85" t="s">
        <v>33</v>
      </c>
      <c r="N31" s="38">
        <v>3306</v>
      </c>
      <c r="O31" s="85" t="s">
        <v>349</v>
      </c>
      <c r="P31" s="85" t="s">
        <v>33</v>
      </c>
      <c r="Q31" s="38">
        <v>3306</v>
      </c>
      <c r="R31" s="85" t="s">
        <v>349</v>
      </c>
      <c r="S31" s="85" t="s">
        <v>33</v>
      </c>
      <c r="T31" s="38">
        <v>3306</v>
      </c>
      <c r="U31" s="2">
        <v>16530</v>
      </c>
    </row>
    <row r="32" spans="1:21" ht="71.25" customHeight="1">
      <c r="A32" s="15" t="s">
        <v>41</v>
      </c>
      <c r="B32" s="10" t="s">
        <v>295</v>
      </c>
      <c r="C32" s="163"/>
      <c r="D32" s="158"/>
      <c r="E32" s="158"/>
      <c r="F32" s="85" t="s">
        <v>350</v>
      </c>
      <c r="G32" s="85" t="s">
        <v>351</v>
      </c>
      <c r="H32" s="38">
        <v>124</v>
      </c>
      <c r="I32" s="11" t="s">
        <v>350</v>
      </c>
      <c r="J32" s="11" t="s">
        <v>352</v>
      </c>
      <c r="K32" s="1">
        <v>124</v>
      </c>
      <c r="L32" s="11" t="s">
        <v>350</v>
      </c>
      <c r="M32" s="11" t="s">
        <v>351</v>
      </c>
      <c r="N32" s="1">
        <v>124</v>
      </c>
      <c r="O32" s="11" t="s">
        <v>350</v>
      </c>
      <c r="P32" s="11" t="s">
        <v>351</v>
      </c>
      <c r="Q32" s="1">
        <v>124</v>
      </c>
      <c r="R32" s="11" t="s">
        <v>350</v>
      </c>
      <c r="S32" s="11" t="s">
        <v>351</v>
      </c>
      <c r="T32" s="1">
        <v>124</v>
      </c>
      <c r="U32" s="2">
        <v>620</v>
      </c>
    </row>
    <row r="33" spans="1:21" ht="183" customHeight="1">
      <c r="A33" s="15" t="s">
        <v>42</v>
      </c>
      <c r="B33" s="10" t="s">
        <v>353</v>
      </c>
      <c r="C33" s="163"/>
      <c r="D33" s="158"/>
      <c r="E33" s="158"/>
      <c r="F33" s="11" t="s">
        <v>269</v>
      </c>
      <c r="G33" s="11" t="s">
        <v>265</v>
      </c>
      <c r="H33" s="40">
        <f>2147</f>
        <v>2147</v>
      </c>
      <c r="I33" s="11" t="s">
        <v>269</v>
      </c>
      <c r="J33" s="11" t="s">
        <v>265</v>
      </c>
      <c r="K33" s="1">
        <v>2147</v>
      </c>
      <c r="L33" s="11" t="s">
        <v>269</v>
      </c>
      <c r="M33" s="11" t="s">
        <v>265</v>
      </c>
      <c r="N33" s="1">
        <v>2147</v>
      </c>
      <c r="O33" s="11" t="s">
        <v>269</v>
      </c>
      <c r="P33" s="11" t="s">
        <v>265</v>
      </c>
      <c r="Q33" s="1">
        <v>2147</v>
      </c>
      <c r="R33" s="11" t="s">
        <v>269</v>
      </c>
      <c r="S33" s="11" t="s">
        <v>265</v>
      </c>
      <c r="T33" s="1">
        <v>2147</v>
      </c>
      <c r="U33" s="2">
        <v>10735</v>
      </c>
    </row>
    <row r="34" spans="1:21" ht="30.75" customHeight="1">
      <c r="A34" s="15" t="s">
        <v>44</v>
      </c>
      <c r="B34" s="10" t="s">
        <v>45</v>
      </c>
      <c r="C34" s="163"/>
      <c r="D34" s="158"/>
      <c r="E34" s="158"/>
      <c r="F34" s="39" t="s">
        <v>145</v>
      </c>
      <c r="G34" s="39" t="s">
        <v>354</v>
      </c>
      <c r="H34" s="40">
        <v>921</v>
      </c>
      <c r="I34" s="11" t="s">
        <v>145</v>
      </c>
      <c r="J34" s="11" t="s">
        <v>354</v>
      </c>
      <c r="K34" s="1">
        <v>921</v>
      </c>
      <c r="L34" s="11" t="s">
        <v>145</v>
      </c>
      <c r="M34" s="11" t="s">
        <v>354</v>
      </c>
      <c r="N34" s="1">
        <v>921</v>
      </c>
      <c r="O34" s="11" t="s">
        <v>145</v>
      </c>
      <c r="P34" s="11" t="s">
        <v>354</v>
      </c>
      <c r="Q34" s="1">
        <v>921</v>
      </c>
      <c r="R34" s="11" t="s">
        <v>145</v>
      </c>
      <c r="S34" s="11" t="s">
        <v>354</v>
      </c>
      <c r="T34" s="1">
        <v>921</v>
      </c>
      <c r="U34" s="2">
        <v>4605</v>
      </c>
    </row>
    <row r="35" spans="1:21" ht="31.5" customHeight="1">
      <c r="A35" s="15" t="s">
        <v>46</v>
      </c>
      <c r="B35" s="10" t="s">
        <v>47</v>
      </c>
      <c r="C35" s="164"/>
      <c r="D35" s="159"/>
      <c r="E35" s="159"/>
      <c r="F35" s="39" t="s">
        <v>179</v>
      </c>
      <c r="G35" s="39" t="s">
        <v>355</v>
      </c>
      <c r="H35" s="40">
        <v>114</v>
      </c>
      <c r="I35" s="11" t="s">
        <v>179</v>
      </c>
      <c r="J35" s="11" t="s">
        <v>355</v>
      </c>
      <c r="K35" s="1">
        <v>114</v>
      </c>
      <c r="L35" s="11" t="s">
        <v>179</v>
      </c>
      <c r="M35" s="11" t="s">
        <v>355</v>
      </c>
      <c r="N35" s="1">
        <v>114</v>
      </c>
      <c r="O35" s="11" t="s">
        <v>179</v>
      </c>
      <c r="P35" s="11" t="s">
        <v>355</v>
      </c>
      <c r="Q35" s="1">
        <v>114</v>
      </c>
      <c r="R35" s="11" t="s">
        <v>179</v>
      </c>
      <c r="S35" s="11" t="s">
        <v>355</v>
      </c>
      <c r="T35" s="1">
        <v>114</v>
      </c>
      <c r="U35" s="2">
        <v>570</v>
      </c>
    </row>
    <row r="36" spans="1:21" ht="224.25" customHeight="1">
      <c r="A36" s="12" t="s">
        <v>48</v>
      </c>
      <c r="B36" s="33" t="s">
        <v>49</v>
      </c>
      <c r="C36" s="162" t="s">
        <v>90</v>
      </c>
      <c r="D36" s="5" t="s">
        <v>85</v>
      </c>
      <c r="E36" s="5" t="s">
        <v>91</v>
      </c>
      <c r="F36" s="11" t="s">
        <v>146</v>
      </c>
      <c r="G36" s="11" t="s">
        <v>105</v>
      </c>
      <c r="H36" s="1">
        <v>9</v>
      </c>
      <c r="I36" s="11" t="s">
        <v>146</v>
      </c>
      <c r="J36" s="11" t="s">
        <v>105</v>
      </c>
      <c r="K36" s="1">
        <v>9</v>
      </c>
      <c r="L36" s="11" t="s">
        <v>146</v>
      </c>
      <c r="M36" s="11" t="s">
        <v>105</v>
      </c>
      <c r="N36" s="1">
        <v>9</v>
      </c>
      <c r="O36" s="11" t="s">
        <v>146</v>
      </c>
      <c r="P36" s="11" t="s">
        <v>105</v>
      </c>
      <c r="Q36" s="1">
        <v>9</v>
      </c>
      <c r="R36" s="11" t="s">
        <v>146</v>
      </c>
      <c r="S36" s="11" t="s">
        <v>105</v>
      </c>
      <c r="T36" s="1">
        <v>9</v>
      </c>
      <c r="U36" s="2">
        <v>45</v>
      </c>
    </row>
    <row r="37" spans="1:21" ht="123" customHeight="1">
      <c r="A37" s="12" t="s">
        <v>50</v>
      </c>
      <c r="B37" s="10" t="s">
        <v>51</v>
      </c>
      <c r="C37" s="172" t="s">
        <v>90</v>
      </c>
      <c r="D37" s="5" t="s">
        <v>85</v>
      </c>
      <c r="E37" s="5" t="s">
        <v>91</v>
      </c>
      <c r="F37" s="39" t="s">
        <v>147</v>
      </c>
      <c r="G37" s="39" t="s">
        <v>148</v>
      </c>
      <c r="H37" s="40">
        <v>426</v>
      </c>
      <c r="I37" s="11" t="s">
        <v>147</v>
      </c>
      <c r="J37" s="11" t="s">
        <v>148</v>
      </c>
      <c r="K37" s="1">
        <v>426</v>
      </c>
      <c r="L37" s="11" t="s">
        <v>147</v>
      </c>
      <c r="M37" s="11" t="s">
        <v>148</v>
      </c>
      <c r="N37" s="1">
        <v>426</v>
      </c>
      <c r="O37" s="11" t="s">
        <v>147</v>
      </c>
      <c r="P37" s="11" t="s">
        <v>148</v>
      </c>
      <c r="Q37" s="1">
        <v>426</v>
      </c>
      <c r="R37" s="11" t="s">
        <v>147</v>
      </c>
      <c r="S37" s="11" t="s">
        <v>148</v>
      </c>
      <c r="T37" s="1">
        <v>426</v>
      </c>
      <c r="U37" s="2">
        <v>2130</v>
      </c>
    </row>
    <row r="38" spans="1:21" ht="93.75" customHeight="1">
      <c r="A38" s="12" t="s">
        <v>52</v>
      </c>
      <c r="B38" s="10" t="s">
        <v>201</v>
      </c>
      <c r="C38" s="165" t="s">
        <v>191</v>
      </c>
      <c r="D38" s="5" t="s">
        <v>85</v>
      </c>
      <c r="E38" s="5" t="s">
        <v>356</v>
      </c>
      <c r="F38" s="11" t="s">
        <v>357</v>
      </c>
      <c r="G38" s="11" t="s">
        <v>107</v>
      </c>
      <c r="H38" s="1">
        <v>3304</v>
      </c>
      <c r="I38" s="11" t="s">
        <v>357</v>
      </c>
      <c r="J38" s="11" t="s">
        <v>107</v>
      </c>
      <c r="K38" s="1">
        <v>3304</v>
      </c>
      <c r="L38" s="11" t="s">
        <v>357</v>
      </c>
      <c r="M38" s="11" t="s">
        <v>107</v>
      </c>
      <c r="N38" s="1">
        <v>3304</v>
      </c>
      <c r="O38" s="11" t="s">
        <v>357</v>
      </c>
      <c r="P38" s="11" t="s">
        <v>107</v>
      </c>
      <c r="Q38" s="1">
        <v>3304</v>
      </c>
      <c r="R38" s="11" t="s">
        <v>357</v>
      </c>
      <c r="S38" s="11" t="s">
        <v>107</v>
      </c>
      <c r="T38" s="1">
        <v>3304</v>
      </c>
      <c r="U38" s="2">
        <v>16520</v>
      </c>
    </row>
    <row r="39" spans="1:21" ht="111" customHeight="1">
      <c r="A39" s="12" t="s">
        <v>53</v>
      </c>
      <c r="B39" s="10" t="s">
        <v>296</v>
      </c>
      <c r="C39" s="165"/>
      <c r="D39" s="5" t="s">
        <v>85</v>
      </c>
      <c r="E39" s="5" t="s">
        <v>108</v>
      </c>
      <c r="F39" s="11" t="s">
        <v>137</v>
      </c>
      <c r="G39" s="11" t="s">
        <v>358</v>
      </c>
      <c r="H39" s="1">
        <v>378</v>
      </c>
      <c r="I39" s="11" t="s">
        <v>137</v>
      </c>
      <c r="J39" s="11" t="s">
        <v>358</v>
      </c>
      <c r="K39" s="1">
        <v>378</v>
      </c>
      <c r="L39" s="11" t="s">
        <v>137</v>
      </c>
      <c r="M39" s="11" t="s">
        <v>358</v>
      </c>
      <c r="N39" s="1">
        <v>378</v>
      </c>
      <c r="O39" s="11" t="s">
        <v>137</v>
      </c>
      <c r="P39" s="11" t="s">
        <v>358</v>
      </c>
      <c r="Q39" s="1">
        <v>378</v>
      </c>
      <c r="R39" s="11" t="s">
        <v>137</v>
      </c>
      <c r="S39" s="11" t="s">
        <v>358</v>
      </c>
      <c r="T39" s="1">
        <v>378</v>
      </c>
      <c r="U39" s="2">
        <v>1890</v>
      </c>
    </row>
    <row r="40" spans="1:21" ht="130.5" customHeight="1">
      <c r="A40" s="12" t="s">
        <v>54</v>
      </c>
      <c r="B40" s="33" t="s">
        <v>297</v>
      </c>
      <c r="C40" s="172" t="s">
        <v>90</v>
      </c>
      <c r="D40" s="5" t="s">
        <v>85</v>
      </c>
      <c r="E40" s="5" t="s">
        <v>91</v>
      </c>
      <c r="F40" s="11" t="s">
        <v>146</v>
      </c>
      <c r="G40" s="11" t="s">
        <v>110</v>
      </c>
      <c r="H40" s="1">
        <v>12</v>
      </c>
      <c r="I40" s="11" t="s">
        <v>146</v>
      </c>
      <c r="J40" s="11" t="s">
        <v>110</v>
      </c>
      <c r="K40" s="1">
        <v>12</v>
      </c>
      <c r="L40" s="11" t="s">
        <v>146</v>
      </c>
      <c r="M40" s="11" t="s">
        <v>110</v>
      </c>
      <c r="N40" s="1">
        <v>12</v>
      </c>
      <c r="O40" s="11" t="s">
        <v>146</v>
      </c>
      <c r="P40" s="11" t="s">
        <v>110</v>
      </c>
      <c r="Q40" s="1">
        <v>12</v>
      </c>
      <c r="R40" s="11" t="s">
        <v>146</v>
      </c>
      <c r="S40" s="11" t="s">
        <v>110</v>
      </c>
      <c r="T40" s="1">
        <v>12</v>
      </c>
      <c r="U40" s="2">
        <v>60</v>
      </c>
    </row>
    <row r="41" spans="1:21" ht="51" customHeight="1">
      <c r="A41" s="12" t="s">
        <v>55</v>
      </c>
      <c r="B41" s="10" t="s">
        <v>202</v>
      </c>
      <c r="C41" s="162" t="s">
        <v>191</v>
      </c>
      <c r="D41" s="5" t="s">
        <v>85</v>
      </c>
      <c r="E41" s="5" t="s">
        <v>102</v>
      </c>
      <c r="F41" s="11" t="s">
        <v>146</v>
      </c>
      <c r="G41" s="11" t="s">
        <v>359</v>
      </c>
      <c r="H41" s="1">
        <v>50</v>
      </c>
      <c r="I41" s="11" t="s">
        <v>146</v>
      </c>
      <c r="J41" s="11" t="s">
        <v>359</v>
      </c>
      <c r="K41" s="1">
        <v>50</v>
      </c>
      <c r="L41" s="11" t="s">
        <v>146</v>
      </c>
      <c r="M41" s="11" t="s">
        <v>359</v>
      </c>
      <c r="N41" s="1">
        <v>50</v>
      </c>
      <c r="O41" s="11" t="s">
        <v>146</v>
      </c>
      <c r="P41" s="11" t="s">
        <v>359</v>
      </c>
      <c r="Q41" s="1">
        <v>50</v>
      </c>
      <c r="R41" s="11" t="s">
        <v>146</v>
      </c>
      <c r="S41" s="11" t="s">
        <v>359</v>
      </c>
      <c r="T41" s="1">
        <v>50</v>
      </c>
      <c r="U41" s="2">
        <v>250</v>
      </c>
    </row>
    <row r="42" spans="1:21" ht="115.5" customHeight="1">
      <c r="A42" s="12" t="s">
        <v>56</v>
      </c>
      <c r="B42" s="33" t="s">
        <v>195</v>
      </c>
      <c r="C42" s="166"/>
      <c r="D42" s="5" t="s">
        <v>85</v>
      </c>
      <c r="E42" s="5" t="s">
        <v>102</v>
      </c>
      <c r="F42" s="11" t="s">
        <v>146</v>
      </c>
      <c r="G42" s="11" t="s">
        <v>360</v>
      </c>
      <c r="H42" s="1">
        <v>50</v>
      </c>
      <c r="I42" s="11" t="s">
        <v>146</v>
      </c>
      <c r="J42" s="11" t="s">
        <v>360</v>
      </c>
      <c r="K42" s="1">
        <v>50</v>
      </c>
      <c r="L42" s="11" t="s">
        <v>146</v>
      </c>
      <c r="M42" s="11" t="s">
        <v>360</v>
      </c>
      <c r="N42" s="1">
        <v>50</v>
      </c>
      <c r="O42" s="11" t="s">
        <v>146</v>
      </c>
      <c r="P42" s="11" t="s">
        <v>360</v>
      </c>
      <c r="Q42" s="1">
        <v>50</v>
      </c>
      <c r="R42" s="11" t="s">
        <v>146</v>
      </c>
      <c r="S42" s="11" t="s">
        <v>360</v>
      </c>
      <c r="T42" s="1">
        <v>50</v>
      </c>
      <c r="U42" s="2">
        <v>250</v>
      </c>
    </row>
    <row r="43" spans="1:21" ht="162" customHeight="1">
      <c r="A43" s="12" t="s">
        <v>57</v>
      </c>
      <c r="B43" s="33" t="s">
        <v>196</v>
      </c>
      <c r="C43" s="166"/>
      <c r="D43" s="5" t="s">
        <v>85</v>
      </c>
      <c r="E43" s="5" t="s">
        <v>91</v>
      </c>
      <c r="F43" s="39" t="s">
        <v>361</v>
      </c>
      <c r="G43" s="39" t="s">
        <v>362</v>
      </c>
      <c r="H43" s="40">
        <v>480</v>
      </c>
      <c r="I43" s="11" t="s">
        <v>361</v>
      </c>
      <c r="J43" s="11" t="s">
        <v>362</v>
      </c>
      <c r="K43" s="1">
        <v>480</v>
      </c>
      <c r="L43" s="11" t="s">
        <v>361</v>
      </c>
      <c r="M43" s="11" t="s">
        <v>362</v>
      </c>
      <c r="N43" s="1">
        <v>480</v>
      </c>
      <c r="O43" s="11" t="s">
        <v>361</v>
      </c>
      <c r="P43" s="11" t="s">
        <v>362</v>
      </c>
      <c r="Q43" s="1">
        <v>480</v>
      </c>
      <c r="R43" s="11" t="s">
        <v>361</v>
      </c>
      <c r="S43" s="11" t="s">
        <v>362</v>
      </c>
      <c r="T43" s="1">
        <v>480</v>
      </c>
      <c r="U43" s="2">
        <v>2400</v>
      </c>
    </row>
    <row r="44" spans="1:21" ht="177.75" customHeight="1">
      <c r="A44" s="55" t="s">
        <v>58</v>
      </c>
      <c r="B44" s="33" t="s">
        <v>197</v>
      </c>
      <c r="C44" s="166"/>
      <c r="D44" s="5" t="s">
        <v>85</v>
      </c>
      <c r="E44" s="5" t="s">
        <v>102</v>
      </c>
      <c r="F44" s="11" t="s">
        <v>131</v>
      </c>
      <c r="G44" s="11" t="s">
        <v>362</v>
      </c>
      <c r="H44" s="1">
        <v>30</v>
      </c>
      <c r="I44" s="11" t="s">
        <v>131</v>
      </c>
      <c r="J44" s="11" t="s">
        <v>362</v>
      </c>
      <c r="K44" s="1">
        <v>30</v>
      </c>
      <c r="L44" s="11" t="s">
        <v>131</v>
      </c>
      <c r="M44" s="11" t="s">
        <v>362</v>
      </c>
      <c r="N44" s="1">
        <v>30</v>
      </c>
      <c r="O44" s="11" t="s">
        <v>131</v>
      </c>
      <c r="P44" s="11" t="s">
        <v>362</v>
      </c>
      <c r="Q44" s="1">
        <v>30</v>
      </c>
      <c r="R44" s="11" t="s">
        <v>131</v>
      </c>
      <c r="S44" s="11" t="s">
        <v>362</v>
      </c>
      <c r="T44" s="1">
        <v>30</v>
      </c>
      <c r="U44" s="2">
        <v>150</v>
      </c>
    </row>
    <row r="45" spans="1:21" ht="106.5" customHeight="1">
      <c r="A45" s="16" t="s">
        <v>59</v>
      </c>
      <c r="B45" s="33" t="s">
        <v>198</v>
      </c>
      <c r="C45" s="167"/>
      <c r="D45" s="5" t="s">
        <v>85</v>
      </c>
      <c r="E45" s="5" t="s">
        <v>102</v>
      </c>
      <c r="F45" s="11">
        <v>1</v>
      </c>
      <c r="G45" s="11" t="s">
        <v>360</v>
      </c>
      <c r="H45" s="1">
        <v>50</v>
      </c>
      <c r="I45" s="11">
        <v>1</v>
      </c>
      <c r="J45" s="11" t="s">
        <v>360</v>
      </c>
      <c r="K45" s="1">
        <v>50</v>
      </c>
      <c r="L45" s="11">
        <v>1</v>
      </c>
      <c r="M45" s="11" t="s">
        <v>360</v>
      </c>
      <c r="N45" s="1">
        <v>50</v>
      </c>
      <c r="O45" s="11">
        <v>1</v>
      </c>
      <c r="P45" s="11" t="s">
        <v>360</v>
      </c>
      <c r="Q45" s="1">
        <v>50</v>
      </c>
      <c r="R45" s="11">
        <v>1</v>
      </c>
      <c r="S45" s="11" t="s">
        <v>360</v>
      </c>
      <c r="T45" s="1">
        <v>50</v>
      </c>
      <c r="U45" s="2">
        <v>250</v>
      </c>
    </row>
    <row r="46" spans="1:21" ht="112.5" customHeight="1">
      <c r="A46" s="16" t="s">
        <v>60</v>
      </c>
      <c r="B46" s="10" t="s">
        <v>61</v>
      </c>
      <c r="C46" s="172" t="s">
        <v>90</v>
      </c>
      <c r="D46" s="5" t="s">
        <v>85</v>
      </c>
      <c r="E46" s="5" t="s">
        <v>91</v>
      </c>
      <c r="F46" s="39" t="s">
        <v>363</v>
      </c>
      <c r="G46" s="39" t="s">
        <v>270</v>
      </c>
      <c r="H46" s="40">
        <v>96</v>
      </c>
      <c r="I46" s="11" t="s">
        <v>363</v>
      </c>
      <c r="J46" s="11" t="s">
        <v>270</v>
      </c>
      <c r="K46" s="1">
        <v>96</v>
      </c>
      <c r="L46" s="11" t="s">
        <v>363</v>
      </c>
      <c r="M46" s="11" t="s">
        <v>270</v>
      </c>
      <c r="N46" s="1">
        <v>96</v>
      </c>
      <c r="O46" s="11" t="s">
        <v>363</v>
      </c>
      <c r="P46" s="11" t="s">
        <v>270</v>
      </c>
      <c r="Q46" s="1">
        <v>96</v>
      </c>
      <c r="R46" s="11" t="s">
        <v>363</v>
      </c>
      <c r="S46" s="11" t="s">
        <v>270</v>
      </c>
      <c r="T46" s="1">
        <v>96</v>
      </c>
      <c r="U46" s="2">
        <v>480</v>
      </c>
    </row>
    <row r="47" spans="1:21" ht="146.25" customHeight="1">
      <c r="A47" s="16" t="s">
        <v>62</v>
      </c>
      <c r="B47" s="33" t="s">
        <v>234</v>
      </c>
      <c r="C47" s="172" t="s">
        <v>90</v>
      </c>
      <c r="D47" s="5" t="s">
        <v>113</v>
      </c>
      <c r="E47" s="5" t="s">
        <v>102</v>
      </c>
      <c r="F47" s="39" t="s">
        <v>327</v>
      </c>
      <c r="G47" s="39" t="s">
        <v>298</v>
      </c>
      <c r="H47" s="40">
        <v>28325</v>
      </c>
      <c r="I47" s="11" t="s">
        <v>299</v>
      </c>
      <c r="J47" s="11" t="s">
        <v>149</v>
      </c>
      <c r="K47" s="1">
        <v>1848</v>
      </c>
      <c r="L47" s="11" t="s">
        <v>299</v>
      </c>
      <c r="M47" s="11" t="s">
        <v>149</v>
      </c>
      <c r="N47" s="1">
        <v>1848</v>
      </c>
      <c r="O47" s="11" t="s">
        <v>275</v>
      </c>
      <c r="P47" s="11" t="s">
        <v>149</v>
      </c>
      <c r="Q47" s="1">
        <v>2321</v>
      </c>
      <c r="R47" s="11" t="s">
        <v>275</v>
      </c>
      <c r="S47" s="11" t="s">
        <v>149</v>
      </c>
      <c r="T47" s="1">
        <v>2321</v>
      </c>
      <c r="U47" s="2">
        <v>36663</v>
      </c>
    </row>
    <row r="48" spans="1:21" ht="160.5" customHeight="1">
      <c r="A48" s="12" t="s">
        <v>163</v>
      </c>
      <c r="B48" s="33" t="s">
        <v>122</v>
      </c>
      <c r="C48" s="154" t="s">
        <v>99</v>
      </c>
      <c r="D48" s="5" t="s">
        <v>85</v>
      </c>
      <c r="E48" s="5" t="s">
        <v>5</v>
      </c>
      <c r="F48" s="11" t="s">
        <v>364</v>
      </c>
      <c r="G48" s="86" t="s">
        <v>125</v>
      </c>
      <c r="H48" s="1">
        <v>387</v>
      </c>
      <c r="I48" s="85" t="s">
        <v>300</v>
      </c>
      <c r="J48" s="87" t="s">
        <v>125</v>
      </c>
      <c r="K48" s="38">
        <v>387</v>
      </c>
      <c r="L48" s="14" t="s">
        <v>364</v>
      </c>
      <c r="M48" s="56" t="s">
        <v>125</v>
      </c>
      <c r="N48" s="38">
        <v>387</v>
      </c>
      <c r="O48" s="14" t="s">
        <v>365</v>
      </c>
      <c r="P48" s="56" t="s">
        <v>125</v>
      </c>
      <c r="Q48" s="38">
        <v>386</v>
      </c>
      <c r="R48" s="14" t="s">
        <v>365</v>
      </c>
      <c r="S48" s="56" t="s">
        <v>125</v>
      </c>
      <c r="T48" s="38">
        <v>386</v>
      </c>
      <c r="U48" s="2">
        <v>1933</v>
      </c>
    </row>
    <row r="49" spans="1:21" s="9" customFormat="1" ht="16.5">
      <c r="A49" s="141" t="s">
        <v>114</v>
      </c>
      <c r="B49" s="142"/>
      <c r="C49" s="142"/>
      <c r="D49" s="142"/>
      <c r="E49" s="142"/>
      <c r="F49" s="41"/>
      <c r="G49" s="42"/>
      <c r="H49" s="43">
        <v>36903</v>
      </c>
      <c r="I49" s="44"/>
      <c r="J49" s="45"/>
      <c r="K49" s="43">
        <v>10426</v>
      </c>
      <c r="L49" s="44"/>
      <c r="M49" s="45"/>
      <c r="N49" s="43">
        <v>10426</v>
      </c>
      <c r="O49" s="43"/>
      <c r="P49" s="43"/>
      <c r="Q49" s="43">
        <v>10898</v>
      </c>
      <c r="R49" s="43"/>
      <c r="S49" s="43"/>
      <c r="T49" s="43">
        <v>10898</v>
      </c>
      <c r="U49" s="43">
        <v>79551</v>
      </c>
    </row>
    <row r="50" spans="1:21" s="9" customFormat="1" ht="16.5">
      <c r="A50" s="160" t="s">
        <v>6</v>
      </c>
      <c r="B50" s="161"/>
      <c r="C50" s="142"/>
      <c r="D50" s="142"/>
      <c r="E50" s="142"/>
      <c r="F50" s="41"/>
      <c r="G50" s="42"/>
      <c r="H50" s="54">
        <v>387</v>
      </c>
      <c r="I50" s="52"/>
      <c r="J50" s="53"/>
      <c r="K50" s="54">
        <v>387</v>
      </c>
      <c r="L50" s="52"/>
      <c r="M50" s="53"/>
      <c r="N50" s="54">
        <v>387</v>
      </c>
      <c r="O50" s="54"/>
      <c r="P50" s="54"/>
      <c r="Q50" s="54">
        <v>386</v>
      </c>
      <c r="R50" s="43"/>
      <c r="S50" s="43"/>
      <c r="T50" s="54">
        <v>386</v>
      </c>
      <c r="U50" s="54">
        <v>1933</v>
      </c>
    </row>
    <row r="51" spans="1:21" ht="16.5">
      <c r="A51" s="144" t="s">
        <v>95</v>
      </c>
      <c r="B51" s="144"/>
      <c r="C51" s="144"/>
      <c r="D51" s="144"/>
      <c r="E51" s="144"/>
      <c r="F51" s="46"/>
      <c r="G51" s="47"/>
      <c r="H51" s="48">
        <v>36516</v>
      </c>
      <c r="I51" s="49"/>
      <c r="J51" s="49"/>
      <c r="K51" s="48">
        <v>10039</v>
      </c>
      <c r="L51" s="49"/>
      <c r="M51" s="49"/>
      <c r="N51" s="48">
        <v>10039</v>
      </c>
      <c r="O51" s="48"/>
      <c r="P51" s="48"/>
      <c r="Q51" s="48">
        <v>10512</v>
      </c>
      <c r="R51" s="48"/>
      <c r="S51" s="48"/>
      <c r="T51" s="48">
        <v>10512</v>
      </c>
      <c r="U51" s="54">
        <v>77618</v>
      </c>
    </row>
    <row r="52" spans="1:21" ht="39" customHeight="1">
      <c r="A52" s="50" t="s">
        <v>366</v>
      </c>
      <c r="B52" s="156" t="s">
        <v>226</v>
      </c>
      <c r="C52" s="156"/>
      <c r="D52" s="156"/>
      <c r="E52" s="156"/>
      <c r="F52" s="156"/>
      <c r="G52" s="156"/>
      <c r="H52" s="156"/>
      <c r="I52" s="156"/>
      <c r="J52" s="156"/>
      <c r="K52" s="156"/>
      <c r="L52" s="156"/>
      <c r="M52" s="156"/>
      <c r="N52" s="156"/>
      <c r="O52" s="156"/>
      <c r="P52" s="156"/>
      <c r="Q52" s="156"/>
      <c r="R52" s="156"/>
      <c r="S52" s="156"/>
      <c r="T52" s="156"/>
      <c r="U52" s="156"/>
    </row>
    <row r="53" spans="1:21" ht="167.25" customHeight="1">
      <c r="A53" s="88" t="s">
        <v>64</v>
      </c>
      <c r="B53" s="89" t="s">
        <v>220</v>
      </c>
      <c r="C53" s="154" t="s">
        <v>192</v>
      </c>
      <c r="D53" s="159" t="s">
        <v>85</v>
      </c>
      <c r="E53" s="159" t="s">
        <v>91</v>
      </c>
      <c r="F53" s="118">
        <v>75</v>
      </c>
      <c r="G53" s="118" t="s">
        <v>367</v>
      </c>
      <c r="H53" s="119">
        <v>1248</v>
      </c>
      <c r="I53" s="118">
        <v>75</v>
      </c>
      <c r="J53" s="118" t="s">
        <v>367</v>
      </c>
      <c r="K53" s="119">
        <v>1248</v>
      </c>
      <c r="L53" s="118">
        <v>75</v>
      </c>
      <c r="M53" s="118" t="s">
        <v>367</v>
      </c>
      <c r="N53" s="119">
        <v>1248</v>
      </c>
      <c r="O53" s="118">
        <v>75</v>
      </c>
      <c r="P53" s="118" t="s">
        <v>367</v>
      </c>
      <c r="Q53" s="119">
        <v>1248</v>
      </c>
      <c r="R53" s="118">
        <v>75</v>
      </c>
      <c r="S53" s="118" t="s">
        <v>367</v>
      </c>
      <c r="T53" s="119">
        <v>1248</v>
      </c>
      <c r="U53" s="120">
        <v>6240</v>
      </c>
    </row>
    <row r="54" spans="1:21" s="9" customFormat="1" ht="24" customHeight="1">
      <c r="A54" s="141" t="s">
        <v>0</v>
      </c>
      <c r="B54" s="142"/>
      <c r="C54" s="142"/>
      <c r="D54" s="142"/>
      <c r="E54" s="142"/>
      <c r="F54" s="41"/>
      <c r="G54" s="42"/>
      <c r="H54" s="43">
        <v>1248</v>
      </c>
      <c r="I54" s="44"/>
      <c r="J54" s="45"/>
      <c r="K54" s="43">
        <v>1248</v>
      </c>
      <c r="L54" s="44"/>
      <c r="M54" s="45"/>
      <c r="N54" s="43">
        <v>1248</v>
      </c>
      <c r="O54" s="43"/>
      <c r="P54" s="43"/>
      <c r="Q54" s="43">
        <v>1248</v>
      </c>
      <c r="R54" s="43"/>
      <c r="S54" s="43"/>
      <c r="T54" s="43">
        <v>1248</v>
      </c>
      <c r="U54" s="43">
        <v>6240</v>
      </c>
    </row>
    <row r="55" spans="1:21" ht="20.25" customHeight="1">
      <c r="A55" s="144" t="s">
        <v>95</v>
      </c>
      <c r="B55" s="144"/>
      <c r="C55" s="144"/>
      <c r="D55" s="144"/>
      <c r="E55" s="144"/>
      <c r="F55" s="46"/>
      <c r="G55" s="47"/>
      <c r="H55" s="48">
        <v>1248</v>
      </c>
      <c r="I55" s="49"/>
      <c r="J55" s="49"/>
      <c r="K55" s="48">
        <v>1248</v>
      </c>
      <c r="L55" s="49"/>
      <c r="M55" s="49"/>
      <c r="N55" s="48">
        <v>1248</v>
      </c>
      <c r="O55" s="48"/>
      <c r="P55" s="48"/>
      <c r="Q55" s="48">
        <v>1248</v>
      </c>
      <c r="R55" s="48"/>
      <c r="S55" s="48"/>
      <c r="T55" s="48">
        <v>1248</v>
      </c>
      <c r="U55" s="54">
        <v>6240</v>
      </c>
    </row>
    <row r="56" spans="1:21" ht="18.75">
      <c r="A56" s="57" t="s">
        <v>368</v>
      </c>
      <c r="B56" s="168" t="s">
        <v>227</v>
      </c>
      <c r="C56" s="169"/>
      <c r="D56" s="169"/>
      <c r="E56" s="169"/>
      <c r="F56" s="169"/>
      <c r="G56" s="169"/>
      <c r="H56" s="169"/>
      <c r="I56" s="169"/>
      <c r="J56" s="169"/>
      <c r="K56" s="169"/>
      <c r="L56" s="169"/>
      <c r="M56" s="169"/>
      <c r="N56" s="169"/>
      <c r="O56" s="169"/>
      <c r="P56" s="169"/>
      <c r="Q56" s="169"/>
      <c r="R56" s="169"/>
      <c r="S56" s="169"/>
      <c r="T56" s="169"/>
      <c r="U56" s="170"/>
    </row>
    <row r="57" spans="1:21" ht="151.5" customHeight="1">
      <c r="A57" s="12" t="s">
        <v>66</v>
      </c>
      <c r="B57" s="10" t="s">
        <v>203</v>
      </c>
      <c r="C57" s="154" t="s">
        <v>90</v>
      </c>
      <c r="D57" s="5" t="s">
        <v>85</v>
      </c>
      <c r="E57" s="5" t="s">
        <v>369</v>
      </c>
      <c r="F57" s="39" t="s">
        <v>124</v>
      </c>
      <c r="G57" s="39" t="s">
        <v>123</v>
      </c>
      <c r="H57" s="40">
        <v>700</v>
      </c>
      <c r="I57" s="11" t="s">
        <v>124</v>
      </c>
      <c r="J57" s="11" t="s">
        <v>123</v>
      </c>
      <c r="K57" s="1">
        <v>700</v>
      </c>
      <c r="L57" s="11" t="s">
        <v>124</v>
      </c>
      <c r="M57" s="11" t="s">
        <v>123</v>
      </c>
      <c r="N57" s="1">
        <v>700</v>
      </c>
      <c r="O57" s="11" t="s">
        <v>124</v>
      </c>
      <c r="P57" s="11" t="s">
        <v>123</v>
      </c>
      <c r="Q57" s="1">
        <v>700</v>
      </c>
      <c r="R57" s="11" t="s">
        <v>124</v>
      </c>
      <c r="S57" s="11" t="s">
        <v>123</v>
      </c>
      <c r="T57" s="1">
        <v>700</v>
      </c>
      <c r="U57" s="2">
        <v>3500</v>
      </c>
    </row>
    <row r="58" spans="1:21" s="9" customFormat="1" ht="16.5">
      <c r="A58" s="141" t="s">
        <v>2</v>
      </c>
      <c r="B58" s="142"/>
      <c r="C58" s="142"/>
      <c r="D58" s="142"/>
      <c r="E58" s="142"/>
      <c r="F58" s="41"/>
      <c r="G58" s="42"/>
      <c r="H58" s="43">
        <v>700</v>
      </c>
      <c r="I58" s="44"/>
      <c r="J58" s="45"/>
      <c r="K58" s="43">
        <v>700</v>
      </c>
      <c r="L58" s="44"/>
      <c r="M58" s="45"/>
      <c r="N58" s="43">
        <v>700</v>
      </c>
      <c r="O58" s="43"/>
      <c r="P58" s="43"/>
      <c r="Q58" s="43">
        <v>700</v>
      </c>
      <c r="R58" s="43"/>
      <c r="S58" s="43"/>
      <c r="T58" s="43">
        <v>700</v>
      </c>
      <c r="U58" s="43">
        <v>3500</v>
      </c>
    </row>
    <row r="59" spans="1:21" ht="16.5">
      <c r="A59" s="144" t="s">
        <v>95</v>
      </c>
      <c r="B59" s="144"/>
      <c r="C59" s="144"/>
      <c r="D59" s="144"/>
      <c r="E59" s="144"/>
      <c r="F59" s="46"/>
      <c r="G59" s="47"/>
      <c r="H59" s="48">
        <v>700</v>
      </c>
      <c r="I59" s="49"/>
      <c r="J59" s="49"/>
      <c r="K59" s="48">
        <v>700</v>
      </c>
      <c r="L59" s="49"/>
      <c r="M59" s="49"/>
      <c r="N59" s="48">
        <v>700</v>
      </c>
      <c r="O59" s="48"/>
      <c r="P59" s="48"/>
      <c r="Q59" s="48">
        <v>700</v>
      </c>
      <c r="R59" s="48"/>
      <c r="S59" s="48"/>
      <c r="T59" s="48">
        <v>700</v>
      </c>
      <c r="U59" s="54">
        <v>3500</v>
      </c>
    </row>
    <row r="60" spans="1:21" ht="18.75" customHeight="1">
      <c r="A60" s="57" t="s">
        <v>370</v>
      </c>
      <c r="B60" s="156" t="s">
        <v>228</v>
      </c>
      <c r="C60" s="156"/>
      <c r="D60" s="156"/>
      <c r="E60" s="156"/>
      <c r="F60" s="156"/>
      <c r="G60" s="156"/>
      <c r="H60" s="156"/>
      <c r="I60" s="156"/>
      <c r="J60" s="156"/>
      <c r="K60" s="156"/>
      <c r="L60" s="156"/>
      <c r="M60" s="156"/>
      <c r="N60" s="156"/>
      <c r="O60" s="156"/>
      <c r="P60" s="156"/>
      <c r="Q60" s="156"/>
      <c r="R60" s="156"/>
      <c r="S60" s="156"/>
      <c r="T60" s="156"/>
      <c r="U60" s="156"/>
    </row>
    <row r="61" spans="1:21" ht="108" customHeight="1">
      <c r="A61" s="12" t="s">
        <v>68</v>
      </c>
      <c r="B61" s="10" t="s">
        <v>204</v>
      </c>
      <c r="C61" s="5" t="s">
        <v>90</v>
      </c>
      <c r="D61" s="5" t="s">
        <v>85</v>
      </c>
      <c r="E61" s="5" t="s">
        <v>91</v>
      </c>
      <c r="F61" s="39" t="s">
        <v>242</v>
      </c>
      <c r="G61" s="39" t="s">
        <v>152</v>
      </c>
      <c r="H61" s="40">
        <v>1656</v>
      </c>
      <c r="I61" s="11" t="s">
        <v>242</v>
      </c>
      <c r="J61" s="11" t="s">
        <v>152</v>
      </c>
      <c r="K61" s="1">
        <v>1656</v>
      </c>
      <c r="L61" s="13" t="s">
        <v>242</v>
      </c>
      <c r="M61" s="11" t="s">
        <v>152</v>
      </c>
      <c r="N61" s="1">
        <v>1656</v>
      </c>
      <c r="O61" s="13" t="s">
        <v>242</v>
      </c>
      <c r="P61" s="11" t="s">
        <v>152</v>
      </c>
      <c r="Q61" s="1">
        <v>1656</v>
      </c>
      <c r="R61" s="13" t="s">
        <v>242</v>
      </c>
      <c r="S61" s="11" t="s">
        <v>152</v>
      </c>
      <c r="T61" s="1">
        <v>1656</v>
      </c>
      <c r="U61" s="2">
        <v>8280</v>
      </c>
    </row>
    <row r="62" spans="1:21" ht="123" customHeight="1">
      <c r="A62" s="12" t="s">
        <v>69</v>
      </c>
      <c r="B62" s="10" t="s">
        <v>235</v>
      </c>
      <c r="C62" s="5" t="s">
        <v>99</v>
      </c>
      <c r="D62" s="5" t="s">
        <v>85</v>
      </c>
      <c r="E62" s="5" t="s">
        <v>3</v>
      </c>
      <c r="F62" s="11" t="s">
        <v>116</v>
      </c>
      <c r="G62" s="11" t="s">
        <v>302</v>
      </c>
      <c r="H62" s="1">
        <v>86</v>
      </c>
      <c r="I62" s="11" t="s">
        <v>116</v>
      </c>
      <c r="J62" s="11" t="s">
        <v>302</v>
      </c>
      <c r="K62" s="1">
        <v>86</v>
      </c>
      <c r="L62" s="11" t="s">
        <v>116</v>
      </c>
      <c r="M62" s="11" t="s">
        <v>302</v>
      </c>
      <c r="N62" s="1">
        <v>86</v>
      </c>
      <c r="O62" s="11" t="s">
        <v>116</v>
      </c>
      <c r="P62" s="11" t="s">
        <v>117</v>
      </c>
      <c r="Q62" s="1">
        <v>86</v>
      </c>
      <c r="R62" s="11" t="s">
        <v>116</v>
      </c>
      <c r="S62" s="11" t="s">
        <v>117</v>
      </c>
      <c r="T62" s="1">
        <v>86</v>
      </c>
      <c r="U62" s="2">
        <v>430</v>
      </c>
    </row>
    <row r="63" spans="1:21" s="9" customFormat="1" ht="16.5">
      <c r="A63" s="141" t="s">
        <v>4</v>
      </c>
      <c r="B63" s="142"/>
      <c r="C63" s="142"/>
      <c r="D63" s="142"/>
      <c r="E63" s="142"/>
      <c r="F63" s="41"/>
      <c r="G63" s="42"/>
      <c r="H63" s="43">
        <v>1742</v>
      </c>
      <c r="I63" s="44"/>
      <c r="J63" s="45"/>
      <c r="K63" s="43">
        <v>1742</v>
      </c>
      <c r="L63" s="44"/>
      <c r="M63" s="45"/>
      <c r="N63" s="43">
        <v>1742</v>
      </c>
      <c r="O63" s="43"/>
      <c r="P63" s="43"/>
      <c r="Q63" s="43">
        <v>1742</v>
      </c>
      <c r="R63" s="43"/>
      <c r="S63" s="43"/>
      <c r="T63" s="43">
        <v>1742</v>
      </c>
      <c r="U63" s="43">
        <v>8710</v>
      </c>
    </row>
    <row r="64" spans="1:21" ht="16.5">
      <c r="A64" s="144" t="s">
        <v>95</v>
      </c>
      <c r="B64" s="144"/>
      <c r="C64" s="144"/>
      <c r="D64" s="144"/>
      <c r="E64" s="144"/>
      <c r="F64" s="46"/>
      <c r="G64" s="47"/>
      <c r="H64" s="48">
        <v>1656</v>
      </c>
      <c r="I64" s="49"/>
      <c r="J64" s="49"/>
      <c r="K64" s="48">
        <v>1656</v>
      </c>
      <c r="L64" s="49"/>
      <c r="M64" s="49"/>
      <c r="N64" s="48">
        <v>1656</v>
      </c>
      <c r="O64" s="48"/>
      <c r="P64" s="48"/>
      <c r="Q64" s="48">
        <v>1656</v>
      </c>
      <c r="R64" s="48"/>
      <c r="S64" s="48"/>
      <c r="T64" s="48">
        <v>1656</v>
      </c>
      <c r="U64" s="54">
        <v>8280</v>
      </c>
    </row>
    <row r="65" spans="1:23" ht="16.5">
      <c r="A65" s="144" t="s">
        <v>6</v>
      </c>
      <c r="B65" s="144"/>
      <c r="C65" s="144"/>
      <c r="D65" s="144"/>
      <c r="E65" s="144"/>
      <c r="F65" s="46"/>
      <c r="G65" s="47"/>
      <c r="H65" s="48">
        <v>86</v>
      </c>
      <c r="I65" s="49"/>
      <c r="J65" s="49"/>
      <c r="K65" s="48">
        <v>86</v>
      </c>
      <c r="L65" s="49"/>
      <c r="M65" s="49"/>
      <c r="N65" s="48">
        <v>86</v>
      </c>
      <c r="O65" s="48"/>
      <c r="P65" s="48"/>
      <c r="Q65" s="48">
        <v>86</v>
      </c>
      <c r="R65" s="48"/>
      <c r="S65" s="48"/>
      <c r="T65" s="48">
        <v>86</v>
      </c>
      <c r="U65" s="54">
        <v>430</v>
      </c>
    </row>
    <row r="66" spans="1:23" ht="18.75" customHeight="1">
      <c r="A66" s="58" t="s">
        <v>181</v>
      </c>
      <c r="B66" s="138" t="s">
        <v>371</v>
      </c>
      <c r="C66" s="150"/>
      <c r="D66" s="150"/>
      <c r="E66" s="150"/>
      <c r="F66" s="150"/>
      <c r="G66" s="150"/>
      <c r="H66" s="150"/>
      <c r="I66" s="150"/>
      <c r="J66" s="150"/>
      <c r="K66" s="150"/>
      <c r="L66" s="150"/>
      <c r="M66" s="150"/>
      <c r="N66" s="150"/>
      <c r="O66" s="150"/>
      <c r="P66" s="150"/>
      <c r="Q66" s="150"/>
      <c r="R66" s="150"/>
      <c r="S66" s="150"/>
      <c r="T66" s="150"/>
      <c r="U66" s="150"/>
    </row>
    <row r="67" spans="1:23" ht="108" customHeight="1">
      <c r="A67" s="17" t="s">
        <v>182</v>
      </c>
      <c r="B67" s="59" t="s">
        <v>193</v>
      </c>
      <c r="C67" s="154" t="s">
        <v>8</v>
      </c>
      <c r="D67" s="172" t="s">
        <v>85</v>
      </c>
      <c r="E67" s="2" t="s">
        <v>91</v>
      </c>
      <c r="F67" s="39" t="s">
        <v>158</v>
      </c>
      <c r="G67" s="39" t="s">
        <v>217</v>
      </c>
      <c r="H67" s="121">
        <v>409</v>
      </c>
      <c r="I67" s="39" t="s">
        <v>158</v>
      </c>
      <c r="J67" s="11" t="s">
        <v>217</v>
      </c>
      <c r="K67" s="3">
        <v>409</v>
      </c>
      <c r="L67" s="11" t="s">
        <v>158</v>
      </c>
      <c r="M67" s="11" t="s">
        <v>217</v>
      </c>
      <c r="N67" s="3">
        <v>409</v>
      </c>
      <c r="O67" s="11" t="s">
        <v>158</v>
      </c>
      <c r="P67" s="11" t="s">
        <v>217</v>
      </c>
      <c r="Q67" s="3">
        <v>510</v>
      </c>
      <c r="R67" s="11" t="s">
        <v>158</v>
      </c>
      <c r="S67" s="11" t="s">
        <v>217</v>
      </c>
      <c r="T67" s="3">
        <v>510</v>
      </c>
      <c r="U67" s="2">
        <v>2247</v>
      </c>
      <c r="V67" s="7" t="s">
        <v>219</v>
      </c>
      <c r="W67" s="7" t="s">
        <v>218</v>
      </c>
    </row>
    <row r="68" spans="1:23" s="9" customFormat="1" ht="29.25" customHeight="1">
      <c r="A68" s="141" t="s">
        <v>7</v>
      </c>
      <c r="B68" s="142"/>
      <c r="C68" s="142"/>
      <c r="D68" s="142"/>
      <c r="E68" s="142"/>
      <c r="F68" s="41"/>
      <c r="G68" s="42"/>
      <c r="H68" s="43">
        <v>409</v>
      </c>
      <c r="I68" s="44"/>
      <c r="J68" s="45"/>
      <c r="K68" s="43">
        <v>409</v>
      </c>
      <c r="L68" s="44"/>
      <c r="M68" s="45"/>
      <c r="N68" s="43">
        <v>409</v>
      </c>
      <c r="O68" s="43"/>
      <c r="P68" s="43"/>
      <c r="Q68" s="43">
        <v>510</v>
      </c>
      <c r="R68" s="43"/>
      <c r="S68" s="43"/>
      <c r="T68" s="43">
        <v>510</v>
      </c>
      <c r="U68" s="43">
        <v>2247</v>
      </c>
    </row>
    <row r="69" spans="1:23" ht="30" customHeight="1">
      <c r="A69" s="144" t="s">
        <v>95</v>
      </c>
      <c r="B69" s="144"/>
      <c r="C69" s="144"/>
      <c r="D69" s="144"/>
      <c r="E69" s="144"/>
      <c r="F69" s="46"/>
      <c r="G69" s="47"/>
      <c r="H69" s="48">
        <v>409</v>
      </c>
      <c r="I69" s="49"/>
      <c r="J69" s="49"/>
      <c r="K69" s="48">
        <v>409</v>
      </c>
      <c r="L69" s="49"/>
      <c r="M69" s="49"/>
      <c r="N69" s="48">
        <v>409</v>
      </c>
      <c r="O69" s="48"/>
      <c r="P69" s="48"/>
      <c r="Q69" s="48">
        <v>510</v>
      </c>
      <c r="R69" s="48"/>
      <c r="S69" s="48"/>
      <c r="T69" s="48">
        <v>510</v>
      </c>
      <c r="U69" s="54">
        <v>2247</v>
      </c>
    </row>
    <row r="70" spans="1:23" ht="26.25" customHeight="1">
      <c r="A70" s="60" t="s">
        <v>166</v>
      </c>
      <c r="B70" s="138" t="s">
        <v>372</v>
      </c>
      <c r="C70" s="139"/>
      <c r="D70" s="139"/>
      <c r="E70" s="139"/>
      <c r="F70" s="139"/>
      <c r="G70" s="139"/>
      <c r="H70" s="139"/>
      <c r="I70" s="139"/>
      <c r="J70" s="139"/>
      <c r="K70" s="139"/>
      <c r="L70" s="139"/>
      <c r="M70" s="139"/>
      <c r="N70" s="139"/>
      <c r="O70" s="139"/>
      <c r="P70" s="139"/>
      <c r="Q70" s="139"/>
      <c r="R70" s="139"/>
      <c r="S70" s="139"/>
      <c r="T70" s="139"/>
      <c r="U70" s="140"/>
    </row>
    <row r="71" spans="1:23" ht="199.5" customHeight="1">
      <c r="A71" s="12" t="s">
        <v>183</v>
      </c>
      <c r="B71" s="61" t="s">
        <v>199</v>
      </c>
      <c r="C71" s="154" t="s">
        <v>191</v>
      </c>
      <c r="D71" s="154" t="s">
        <v>85</v>
      </c>
      <c r="E71" s="5" t="s">
        <v>91</v>
      </c>
      <c r="F71" s="11" t="s">
        <v>139</v>
      </c>
      <c r="G71" s="11" t="s">
        <v>141</v>
      </c>
      <c r="H71" s="1">
        <v>27786</v>
      </c>
      <c r="I71" s="11" t="s">
        <v>139</v>
      </c>
      <c r="J71" s="11" t="s">
        <v>141</v>
      </c>
      <c r="K71" s="1">
        <v>27786</v>
      </c>
      <c r="L71" s="11" t="s">
        <v>139</v>
      </c>
      <c r="M71" s="11" t="s">
        <v>141</v>
      </c>
      <c r="N71" s="1">
        <v>27786</v>
      </c>
      <c r="O71" s="11" t="s">
        <v>140</v>
      </c>
      <c r="P71" s="11" t="s">
        <v>142</v>
      </c>
      <c r="Q71" s="1">
        <v>40120</v>
      </c>
      <c r="R71" s="11" t="s">
        <v>140</v>
      </c>
      <c r="S71" s="11" t="s">
        <v>142</v>
      </c>
      <c r="T71" s="1">
        <v>40120</v>
      </c>
      <c r="U71" s="2">
        <v>163598</v>
      </c>
    </row>
    <row r="72" spans="1:23" s="9" customFormat="1" ht="25.5" customHeight="1">
      <c r="A72" s="141" t="s">
        <v>170</v>
      </c>
      <c r="B72" s="142"/>
      <c r="C72" s="142"/>
      <c r="D72" s="142"/>
      <c r="E72" s="143"/>
      <c r="F72" s="62"/>
      <c r="G72" s="62"/>
      <c r="H72" s="63">
        <v>27786</v>
      </c>
      <c r="I72" s="62"/>
      <c r="J72" s="62"/>
      <c r="K72" s="63">
        <v>27786</v>
      </c>
      <c r="L72" s="41"/>
      <c r="M72" s="42"/>
      <c r="N72" s="63">
        <v>27786</v>
      </c>
      <c r="O72" s="63"/>
      <c r="P72" s="63"/>
      <c r="Q72" s="63">
        <v>40120</v>
      </c>
      <c r="R72" s="63"/>
      <c r="S72" s="63"/>
      <c r="T72" s="63">
        <v>40120</v>
      </c>
      <c r="U72" s="43">
        <v>163598</v>
      </c>
    </row>
    <row r="73" spans="1:23" ht="25.5" customHeight="1">
      <c r="A73" s="144" t="s">
        <v>95</v>
      </c>
      <c r="B73" s="144"/>
      <c r="C73" s="144"/>
      <c r="D73" s="144"/>
      <c r="E73" s="144"/>
      <c r="F73" s="11"/>
      <c r="G73" s="11"/>
      <c r="H73" s="1">
        <v>27786</v>
      </c>
      <c r="I73" s="11"/>
      <c r="J73" s="11"/>
      <c r="K73" s="1">
        <v>27786</v>
      </c>
      <c r="L73" s="46"/>
      <c r="M73" s="47"/>
      <c r="N73" s="1">
        <v>27786</v>
      </c>
      <c r="O73" s="1"/>
      <c r="P73" s="1"/>
      <c r="Q73" s="1">
        <v>40120</v>
      </c>
      <c r="R73" s="1"/>
      <c r="S73" s="1"/>
      <c r="T73" s="1">
        <v>40120</v>
      </c>
      <c r="U73" s="54">
        <v>163598</v>
      </c>
    </row>
    <row r="74" spans="1:23" ht="25.5" customHeight="1">
      <c r="A74" s="60" t="s">
        <v>70</v>
      </c>
      <c r="B74" s="138" t="s">
        <v>373</v>
      </c>
      <c r="C74" s="139"/>
      <c r="D74" s="139"/>
      <c r="E74" s="139"/>
      <c r="F74" s="139"/>
      <c r="G74" s="139"/>
      <c r="H74" s="139"/>
      <c r="I74" s="139"/>
      <c r="J74" s="139"/>
      <c r="K74" s="139"/>
      <c r="L74" s="139"/>
      <c r="M74" s="139"/>
      <c r="N74" s="139"/>
      <c r="O74" s="139"/>
      <c r="P74" s="139"/>
      <c r="Q74" s="139"/>
      <c r="R74" s="139"/>
      <c r="S74" s="139"/>
      <c r="T74" s="139"/>
      <c r="U74" s="140"/>
    </row>
    <row r="75" spans="1:23" ht="63.75" customHeight="1">
      <c r="A75" s="16" t="s">
        <v>167</v>
      </c>
      <c r="B75" s="35" t="s">
        <v>162</v>
      </c>
      <c r="C75" s="154" t="s">
        <v>8</v>
      </c>
      <c r="D75" s="154" t="s">
        <v>85</v>
      </c>
      <c r="E75" s="154" t="s">
        <v>91</v>
      </c>
      <c r="F75" s="122" t="s">
        <v>277</v>
      </c>
      <c r="G75" s="123" t="s">
        <v>276</v>
      </c>
      <c r="H75" s="124">
        <f>6486</f>
        <v>6486</v>
      </c>
      <c r="I75" s="18" t="s">
        <v>277</v>
      </c>
      <c r="J75" s="19" t="s">
        <v>276</v>
      </c>
      <c r="K75" s="20">
        <v>6486</v>
      </c>
      <c r="L75" s="18" t="s">
        <v>277</v>
      </c>
      <c r="M75" s="19" t="s">
        <v>276</v>
      </c>
      <c r="N75" s="20">
        <v>6486</v>
      </c>
      <c r="O75" s="18" t="s">
        <v>277</v>
      </c>
      <c r="P75" s="19" t="s">
        <v>276</v>
      </c>
      <c r="Q75" s="20">
        <v>6486</v>
      </c>
      <c r="R75" s="18" t="s">
        <v>277</v>
      </c>
      <c r="S75" s="19" t="s">
        <v>276</v>
      </c>
      <c r="T75" s="20">
        <v>6486</v>
      </c>
      <c r="U75" s="2">
        <v>32430</v>
      </c>
    </row>
    <row r="76" spans="1:23" ht="47.25">
      <c r="A76" s="64" t="s">
        <v>184</v>
      </c>
      <c r="B76" s="65" t="s">
        <v>77</v>
      </c>
      <c r="C76" s="5" t="s">
        <v>6</v>
      </c>
      <c r="D76" s="5" t="s">
        <v>85</v>
      </c>
      <c r="E76" s="23" t="s">
        <v>154</v>
      </c>
      <c r="F76" s="1" t="s">
        <v>126</v>
      </c>
      <c r="G76" s="2" t="s">
        <v>33</v>
      </c>
      <c r="H76" s="3">
        <v>77</v>
      </c>
      <c r="I76" s="1" t="s">
        <v>126</v>
      </c>
      <c r="J76" s="2" t="s">
        <v>33</v>
      </c>
      <c r="K76" s="3">
        <v>77</v>
      </c>
      <c r="L76" s="1" t="s">
        <v>126</v>
      </c>
      <c r="M76" s="2" t="s">
        <v>33</v>
      </c>
      <c r="N76" s="3">
        <v>77</v>
      </c>
      <c r="O76" s="1" t="s">
        <v>126</v>
      </c>
      <c r="P76" s="2" t="s">
        <v>33</v>
      </c>
      <c r="Q76" s="3">
        <v>77</v>
      </c>
      <c r="R76" s="1" t="s">
        <v>126</v>
      </c>
      <c r="S76" s="2" t="s">
        <v>33</v>
      </c>
      <c r="T76" s="3">
        <v>77</v>
      </c>
      <c r="U76" s="2">
        <v>385</v>
      </c>
    </row>
    <row r="77" spans="1:23" s="9" customFormat="1" ht="18.75" customHeight="1">
      <c r="A77" s="141" t="s">
        <v>9</v>
      </c>
      <c r="B77" s="142"/>
      <c r="C77" s="142"/>
      <c r="D77" s="142"/>
      <c r="E77" s="143"/>
      <c r="F77" s="62"/>
      <c r="G77" s="62"/>
      <c r="H77" s="63">
        <v>6563</v>
      </c>
      <c r="I77" s="62"/>
      <c r="J77" s="62"/>
      <c r="K77" s="63">
        <v>6563</v>
      </c>
      <c r="L77" s="41"/>
      <c r="M77" s="42"/>
      <c r="N77" s="63">
        <v>6563</v>
      </c>
      <c r="O77" s="63"/>
      <c r="P77" s="63"/>
      <c r="Q77" s="63">
        <v>6563</v>
      </c>
      <c r="R77" s="63"/>
      <c r="S77" s="63"/>
      <c r="T77" s="63">
        <v>6563</v>
      </c>
      <c r="U77" s="43">
        <v>32815</v>
      </c>
    </row>
    <row r="78" spans="1:23" ht="18.75" customHeight="1">
      <c r="A78" s="144" t="s">
        <v>6</v>
      </c>
      <c r="B78" s="144"/>
      <c r="C78" s="144"/>
      <c r="D78" s="144"/>
      <c r="E78" s="144"/>
      <c r="F78" s="11"/>
      <c r="G78" s="11"/>
      <c r="H78" s="1">
        <v>77</v>
      </c>
      <c r="I78" s="11"/>
      <c r="J78" s="11"/>
      <c r="K78" s="1">
        <v>77</v>
      </c>
      <c r="L78" s="46"/>
      <c r="M78" s="47"/>
      <c r="N78" s="1">
        <v>77</v>
      </c>
      <c r="O78" s="1"/>
      <c r="P78" s="1"/>
      <c r="Q78" s="1">
        <v>77</v>
      </c>
      <c r="R78" s="1"/>
      <c r="S78" s="1"/>
      <c r="T78" s="1">
        <v>77</v>
      </c>
      <c r="U78" s="54">
        <v>385</v>
      </c>
    </row>
    <row r="79" spans="1:23" ht="16.5">
      <c r="A79" s="144" t="s">
        <v>95</v>
      </c>
      <c r="B79" s="144"/>
      <c r="C79" s="144"/>
      <c r="D79" s="144"/>
      <c r="E79" s="144"/>
      <c r="F79" s="46"/>
      <c r="G79" s="47"/>
      <c r="H79" s="1">
        <v>6486</v>
      </c>
      <c r="I79" s="11"/>
      <c r="J79" s="11"/>
      <c r="K79" s="1">
        <v>6486</v>
      </c>
      <c r="L79" s="46"/>
      <c r="M79" s="47"/>
      <c r="N79" s="1">
        <v>6486</v>
      </c>
      <c r="O79" s="1"/>
      <c r="P79" s="1"/>
      <c r="Q79" s="1">
        <v>6486</v>
      </c>
      <c r="R79" s="1"/>
      <c r="S79" s="1"/>
      <c r="T79" s="1">
        <v>6486</v>
      </c>
      <c r="U79" s="54">
        <v>32430</v>
      </c>
    </row>
    <row r="80" spans="1:23" ht="57.75" customHeight="1">
      <c r="A80" s="66" t="s">
        <v>71</v>
      </c>
      <c r="B80" s="95" t="s">
        <v>325</v>
      </c>
      <c r="C80" s="94"/>
      <c r="D80" s="94"/>
      <c r="E80" s="94"/>
      <c r="F80" s="94"/>
      <c r="G80" s="94"/>
      <c r="H80" s="94"/>
      <c r="I80" s="94"/>
      <c r="J80" s="94"/>
      <c r="K80" s="94"/>
      <c r="L80" s="94"/>
      <c r="M80" s="94"/>
      <c r="N80" s="94"/>
      <c r="O80" s="94"/>
      <c r="P80" s="94"/>
      <c r="Q80" s="94"/>
      <c r="R80" s="94"/>
      <c r="S80" s="94"/>
      <c r="T80" s="94"/>
      <c r="U80" s="94"/>
    </row>
    <row r="81" spans="1:21" ht="144" customHeight="1">
      <c r="A81" s="67" t="s">
        <v>72</v>
      </c>
      <c r="B81" s="61" t="s">
        <v>216</v>
      </c>
      <c r="C81" s="5" t="s">
        <v>305</v>
      </c>
      <c r="D81" s="65" t="s">
        <v>85</v>
      </c>
      <c r="E81" s="120" t="s">
        <v>91</v>
      </c>
      <c r="F81" s="40" t="s">
        <v>374</v>
      </c>
      <c r="G81" s="120" t="s">
        <v>118</v>
      </c>
      <c r="H81" s="121">
        <v>6183</v>
      </c>
      <c r="I81" s="1" t="s">
        <v>250</v>
      </c>
      <c r="J81" s="2" t="s">
        <v>118</v>
      </c>
      <c r="K81" s="3">
        <v>6213</v>
      </c>
      <c r="L81" s="1" t="s">
        <v>250</v>
      </c>
      <c r="M81" s="2" t="s">
        <v>118</v>
      </c>
      <c r="N81" s="3">
        <v>6213</v>
      </c>
      <c r="O81" s="1" t="s">
        <v>251</v>
      </c>
      <c r="P81" s="2" t="s">
        <v>118</v>
      </c>
      <c r="Q81" s="3">
        <v>6150</v>
      </c>
      <c r="R81" s="1" t="s">
        <v>251</v>
      </c>
      <c r="S81" s="2" t="s">
        <v>118</v>
      </c>
      <c r="T81" s="3">
        <v>6150</v>
      </c>
      <c r="U81" s="2">
        <v>30909</v>
      </c>
    </row>
    <row r="82" spans="1:21" ht="47.25" customHeight="1">
      <c r="A82" s="67" t="s">
        <v>168</v>
      </c>
      <c r="B82" s="61" t="s">
        <v>207</v>
      </c>
      <c r="C82" s="158" t="s">
        <v>205</v>
      </c>
      <c r="D82" s="65" t="s">
        <v>85</v>
      </c>
      <c r="E82" s="2" t="s">
        <v>173</v>
      </c>
      <c r="F82" s="120" t="s">
        <v>278</v>
      </c>
      <c r="G82" s="120" t="s">
        <v>10</v>
      </c>
      <c r="H82" s="120">
        <v>785</v>
      </c>
      <c r="I82" s="2" t="s">
        <v>278</v>
      </c>
      <c r="J82" s="2" t="s">
        <v>10</v>
      </c>
      <c r="K82" s="2">
        <v>785</v>
      </c>
      <c r="L82" s="2" t="s">
        <v>278</v>
      </c>
      <c r="M82" s="2" t="s">
        <v>10</v>
      </c>
      <c r="N82" s="2">
        <v>785</v>
      </c>
      <c r="O82" s="2" t="s">
        <v>282</v>
      </c>
      <c r="P82" s="2" t="s">
        <v>10</v>
      </c>
      <c r="Q82" s="2">
        <v>940</v>
      </c>
      <c r="R82" s="2" t="s">
        <v>287</v>
      </c>
      <c r="S82" s="2" t="s">
        <v>10</v>
      </c>
      <c r="T82" s="2">
        <v>950</v>
      </c>
      <c r="U82" s="2">
        <v>4245</v>
      </c>
    </row>
    <row r="83" spans="1:21" ht="47.25">
      <c r="A83" s="67" t="s">
        <v>185</v>
      </c>
      <c r="B83" s="61" t="s">
        <v>208</v>
      </c>
      <c r="C83" s="158"/>
      <c r="D83" s="65" t="s">
        <v>85</v>
      </c>
      <c r="E83" s="2" t="s">
        <v>173</v>
      </c>
      <c r="F83" s="120" t="s">
        <v>279</v>
      </c>
      <c r="G83" s="120" t="s">
        <v>12</v>
      </c>
      <c r="H83" s="120">
        <v>110</v>
      </c>
      <c r="I83" s="2" t="s">
        <v>279</v>
      </c>
      <c r="J83" s="2" t="s">
        <v>12</v>
      </c>
      <c r="K83" s="2">
        <v>110</v>
      </c>
      <c r="L83" s="2" t="s">
        <v>279</v>
      </c>
      <c r="M83" s="2" t="s">
        <v>12</v>
      </c>
      <c r="N83" s="2">
        <v>110</v>
      </c>
      <c r="O83" s="2" t="s">
        <v>283</v>
      </c>
      <c r="P83" s="2" t="s">
        <v>12</v>
      </c>
      <c r="Q83" s="2">
        <v>140</v>
      </c>
      <c r="R83" s="2" t="s">
        <v>283</v>
      </c>
      <c r="S83" s="2" t="s">
        <v>12</v>
      </c>
      <c r="T83" s="2">
        <v>140</v>
      </c>
      <c r="U83" s="2">
        <v>610</v>
      </c>
    </row>
    <row r="84" spans="1:21" ht="86.25" customHeight="1">
      <c r="A84" s="67" t="s">
        <v>212</v>
      </c>
      <c r="B84" s="61" t="s">
        <v>209</v>
      </c>
      <c r="C84" s="158"/>
      <c r="D84" s="65" t="s">
        <v>85</v>
      </c>
      <c r="E84" s="2" t="s">
        <v>173</v>
      </c>
      <c r="F84" s="120" t="s">
        <v>280</v>
      </c>
      <c r="G84" s="120" t="s">
        <v>13</v>
      </c>
      <c r="H84" s="120">
        <v>53</v>
      </c>
      <c r="I84" s="2" t="s">
        <v>280</v>
      </c>
      <c r="J84" s="2" t="s">
        <v>13</v>
      </c>
      <c r="K84" s="2">
        <v>53</v>
      </c>
      <c r="L84" s="2" t="s">
        <v>280</v>
      </c>
      <c r="M84" s="2" t="s">
        <v>13</v>
      </c>
      <c r="N84" s="2">
        <v>53</v>
      </c>
      <c r="O84" s="2" t="s">
        <v>284</v>
      </c>
      <c r="P84" s="2" t="s">
        <v>13</v>
      </c>
      <c r="Q84" s="2">
        <v>50</v>
      </c>
      <c r="R84" s="2" t="s">
        <v>284</v>
      </c>
      <c r="S84" s="2" t="s">
        <v>13</v>
      </c>
      <c r="T84" s="2">
        <v>50</v>
      </c>
      <c r="U84" s="2">
        <v>259</v>
      </c>
    </row>
    <row r="85" spans="1:21" ht="82.5" customHeight="1">
      <c r="A85" s="67" t="s">
        <v>213</v>
      </c>
      <c r="B85" s="61" t="s">
        <v>210</v>
      </c>
      <c r="C85" s="158"/>
      <c r="D85" s="65" t="s">
        <v>85</v>
      </c>
      <c r="E85" s="2" t="s">
        <v>173</v>
      </c>
      <c r="F85" s="120" t="s">
        <v>281</v>
      </c>
      <c r="G85" s="120" t="s">
        <v>12</v>
      </c>
      <c r="H85" s="120">
        <v>112</v>
      </c>
      <c r="I85" s="2" t="s">
        <v>281</v>
      </c>
      <c r="J85" s="2" t="s">
        <v>12</v>
      </c>
      <c r="K85" s="2">
        <v>112</v>
      </c>
      <c r="L85" s="2" t="s">
        <v>281</v>
      </c>
      <c r="M85" s="2" t="s">
        <v>12</v>
      </c>
      <c r="N85" s="2">
        <v>112</v>
      </c>
      <c r="O85" s="2" t="s">
        <v>285</v>
      </c>
      <c r="P85" s="2" t="s">
        <v>12</v>
      </c>
      <c r="Q85" s="2">
        <v>60</v>
      </c>
      <c r="R85" s="2" t="s">
        <v>285</v>
      </c>
      <c r="S85" s="2" t="s">
        <v>12</v>
      </c>
      <c r="T85" s="2">
        <v>60</v>
      </c>
      <c r="U85" s="2">
        <v>456</v>
      </c>
    </row>
    <row r="86" spans="1:21" ht="84" customHeight="1">
      <c r="A86" s="67" t="s">
        <v>214</v>
      </c>
      <c r="B86" s="61" t="s">
        <v>211</v>
      </c>
      <c r="C86" s="159"/>
      <c r="D86" s="65" t="s">
        <v>85</v>
      </c>
      <c r="E86" s="2" t="s">
        <v>173</v>
      </c>
      <c r="F86" s="2" t="s">
        <v>324</v>
      </c>
      <c r="G86" s="23" t="s">
        <v>14</v>
      </c>
      <c r="H86" s="2">
        <v>120</v>
      </c>
      <c r="I86" s="2" t="s">
        <v>286</v>
      </c>
      <c r="J86" s="23" t="s">
        <v>14</v>
      </c>
      <c r="K86" s="2">
        <v>90</v>
      </c>
      <c r="L86" s="2" t="s">
        <v>286</v>
      </c>
      <c r="M86" s="23" t="s">
        <v>14</v>
      </c>
      <c r="N86" s="2">
        <v>90</v>
      </c>
      <c r="O86" s="2" t="s">
        <v>286</v>
      </c>
      <c r="P86" s="23" t="s">
        <v>14</v>
      </c>
      <c r="Q86" s="2">
        <v>90</v>
      </c>
      <c r="R86" s="2" t="s">
        <v>286</v>
      </c>
      <c r="S86" s="23" t="s">
        <v>14</v>
      </c>
      <c r="T86" s="2">
        <v>90</v>
      </c>
      <c r="U86" s="2">
        <v>480</v>
      </c>
    </row>
    <row r="87" spans="1:21" ht="109.5" customHeight="1">
      <c r="A87" s="67" t="s">
        <v>215</v>
      </c>
      <c r="B87" s="61" t="s">
        <v>328</v>
      </c>
      <c r="C87" s="5" t="s">
        <v>6</v>
      </c>
      <c r="D87" s="65" t="s">
        <v>132</v>
      </c>
      <c r="E87" s="2" t="s">
        <v>91</v>
      </c>
      <c r="F87" s="1" t="s">
        <v>321</v>
      </c>
      <c r="G87" s="23" t="s">
        <v>320</v>
      </c>
      <c r="H87" s="3">
        <v>23068</v>
      </c>
      <c r="I87" s="1">
        <v>0</v>
      </c>
      <c r="J87" s="2">
        <v>0</v>
      </c>
      <c r="K87" s="3">
        <v>0</v>
      </c>
      <c r="L87" s="1">
        <v>0</v>
      </c>
      <c r="M87" s="2">
        <v>0</v>
      </c>
      <c r="N87" s="3">
        <v>0</v>
      </c>
      <c r="O87" s="1">
        <v>0</v>
      </c>
      <c r="P87" s="2">
        <v>0</v>
      </c>
      <c r="Q87" s="3">
        <v>0</v>
      </c>
      <c r="R87" s="1">
        <v>0</v>
      </c>
      <c r="S87" s="2">
        <v>0</v>
      </c>
      <c r="T87" s="3">
        <v>0</v>
      </c>
      <c r="U87" s="2">
        <v>23068</v>
      </c>
    </row>
    <row r="88" spans="1:21" ht="86.25" customHeight="1">
      <c r="A88" s="67" t="s">
        <v>304</v>
      </c>
      <c r="B88" s="61" t="s">
        <v>313</v>
      </c>
      <c r="C88" s="5" t="s">
        <v>326</v>
      </c>
      <c r="D88" s="65" t="s">
        <v>306</v>
      </c>
      <c r="E88" s="2" t="s">
        <v>173</v>
      </c>
      <c r="F88" s="1" t="s">
        <v>307</v>
      </c>
      <c r="G88" s="2" t="s">
        <v>308</v>
      </c>
      <c r="H88" s="3">
        <v>238</v>
      </c>
      <c r="I88" s="1">
        <v>0</v>
      </c>
      <c r="J88" s="2">
        <v>0</v>
      </c>
      <c r="K88" s="3">
        <v>0</v>
      </c>
      <c r="L88" s="1">
        <v>0</v>
      </c>
      <c r="M88" s="2">
        <v>0</v>
      </c>
      <c r="N88" s="3">
        <v>0</v>
      </c>
      <c r="O88" s="1">
        <v>0</v>
      </c>
      <c r="P88" s="2">
        <v>0</v>
      </c>
      <c r="Q88" s="3">
        <v>0</v>
      </c>
      <c r="R88" s="1">
        <v>0</v>
      </c>
      <c r="S88" s="2">
        <v>0</v>
      </c>
      <c r="T88" s="3">
        <v>0</v>
      </c>
      <c r="U88" s="2">
        <v>238</v>
      </c>
    </row>
    <row r="89" spans="1:21" s="9" customFormat="1" ht="16.5" customHeight="1">
      <c r="A89" s="145" t="s">
        <v>186</v>
      </c>
      <c r="B89" s="146"/>
      <c r="C89" s="146"/>
      <c r="D89" s="146"/>
      <c r="E89" s="147"/>
      <c r="F89" s="129"/>
      <c r="G89" s="129"/>
      <c r="H89" s="125">
        <v>30669</v>
      </c>
      <c r="I89" s="129"/>
      <c r="J89" s="129"/>
      <c r="K89" s="129">
        <v>7363</v>
      </c>
      <c r="L89" s="129"/>
      <c r="M89" s="129"/>
      <c r="N89" s="129">
        <v>7363</v>
      </c>
      <c r="O89" s="129"/>
      <c r="P89" s="129"/>
      <c r="Q89" s="129">
        <v>7430</v>
      </c>
      <c r="R89" s="129"/>
      <c r="S89" s="129"/>
      <c r="T89" s="129">
        <v>7440</v>
      </c>
      <c r="U89" s="43">
        <v>60265</v>
      </c>
    </row>
    <row r="90" spans="1:21" ht="18.75" customHeight="1">
      <c r="A90" s="91" t="s">
        <v>95</v>
      </c>
      <c r="B90" s="92"/>
      <c r="C90" s="92"/>
      <c r="D90" s="92"/>
      <c r="E90" s="93"/>
      <c r="F90" s="3"/>
      <c r="G90" s="3"/>
      <c r="H90" s="121">
        <v>7363</v>
      </c>
      <c r="I90" s="3"/>
      <c r="J90" s="3"/>
      <c r="K90" s="3">
        <v>7363</v>
      </c>
      <c r="L90" s="3"/>
      <c r="M90" s="3"/>
      <c r="N90" s="3">
        <v>7363</v>
      </c>
      <c r="O90" s="3"/>
      <c r="P90" s="3"/>
      <c r="Q90" s="3">
        <v>7430</v>
      </c>
      <c r="R90" s="3"/>
      <c r="S90" s="3"/>
      <c r="T90" s="3">
        <v>7440</v>
      </c>
      <c r="U90" s="54">
        <v>36959</v>
      </c>
    </row>
    <row r="91" spans="1:21" ht="18.75" customHeight="1">
      <c r="A91" s="91" t="s">
        <v>6</v>
      </c>
      <c r="B91" s="68"/>
      <c r="C91" s="68"/>
      <c r="D91" s="68"/>
      <c r="E91" s="68"/>
      <c r="F91" s="3"/>
      <c r="G91" s="3"/>
      <c r="H91" s="121">
        <v>23306</v>
      </c>
      <c r="I91" s="3"/>
      <c r="J91" s="3"/>
      <c r="K91" s="3">
        <v>0</v>
      </c>
      <c r="L91" s="3"/>
      <c r="M91" s="3"/>
      <c r="N91" s="3">
        <v>0</v>
      </c>
      <c r="O91" s="3"/>
      <c r="P91" s="3"/>
      <c r="Q91" s="3">
        <v>0</v>
      </c>
      <c r="R91" s="3"/>
      <c r="S91" s="3"/>
      <c r="T91" s="3">
        <v>0</v>
      </c>
      <c r="U91" s="54">
        <v>23306</v>
      </c>
    </row>
    <row r="92" spans="1:21" ht="39" customHeight="1">
      <c r="A92" s="58" t="s">
        <v>73</v>
      </c>
      <c r="B92" s="138" t="s">
        <v>375</v>
      </c>
      <c r="C92" s="150"/>
      <c r="D92" s="150"/>
      <c r="E92" s="150"/>
      <c r="F92" s="150"/>
      <c r="G92" s="150"/>
      <c r="H92" s="150"/>
      <c r="I92" s="150"/>
      <c r="J92" s="150"/>
      <c r="K92" s="150"/>
      <c r="L92" s="150"/>
      <c r="M92" s="150"/>
      <c r="N92" s="150"/>
      <c r="O92" s="150"/>
      <c r="P92" s="150"/>
      <c r="Q92" s="150"/>
      <c r="R92" s="150"/>
      <c r="S92" s="150"/>
      <c r="T92" s="150"/>
      <c r="U92" s="150"/>
    </row>
    <row r="93" spans="1:21" ht="55.5" customHeight="1">
      <c r="A93" s="17" t="s">
        <v>74</v>
      </c>
      <c r="B93" s="59" t="s">
        <v>16</v>
      </c>
      <c r="C93" s="154" t="s">
        <v>6</v>
      </c>
      <c r="D93" s="172" t="s">
        <v>85</v>
      </c>
      <c r="E93" s="2" t="s">
        <v>33</v>
      </c>
      <c r="F93" s="3" t="s">
        <v>33</v>
      </c>
      <c r="G93" s="3" t="s">
        <v>33</v>
      </c>
      <c r="H93" s="3">
        <v>68</v>
      </c>
      <c r="I93" s="3" t="s">
        <v>127</v>
      </c>
      <c r="J93" s="2" t="s">
        <v>33</v>
      </c>
      <c r="K93" s="3">
        <v>68</v>
      </c>
      <c r="L93" s="3" t="s">
        <v>127</v>
      </c>
      <c r="M93" s="2" t="s">
        <v>33</v>
      </c>
      <c r="N93" s="3">
        <v>68</v>
      </c>
      <c r="O93" s="3" t="s">
        <v>127</v>
      </c>
      <c r="P93" s="2" t="s">
        <v>33</v>
      </c>
      <c r="Q93" s="3">
        <v>68</v>
      </c>
      <c r="R93" s="3" t="s">
        <v>127</v>
      </c>
      <c r="S93" s="2" t="s">
        <v>33</v>
      </c>
      <c r="T93" s="3">
        <v>68</v>
      </c>
      <c r="U93" s="2">
        <v>340</v>
      </c>
    </row>
    <row r="94" spans="1:21" ht="66.75" customHeight="1">
      <c r="A94" s="69" t="s">
        <v>187</v>
      </c>
      <c r="B94" s="61" t="s">
        <v>17</v>
      </c>
      <c r="C94" s="155"/>
      <c r="D94" s="172" t="s">
        <v>85</v>
      </c>
      <c r="E94" s="2" t="s">
        <v>155</v>
      </c>
      <c r="F94" s="3" t="s">
        <v>126</v>
      </c>
      <c r="G94" s="1" t="s">
        <v>33</v>
      </c>
      <c r="H94" s="1">
        <v>39</v>
      </c>
      <c r="I94" s="1" t="s">
        <v>126</v>
      </c>
      <c r="J94" s="2" t="s">
        <v>33</v>
      </c>
      <c r="K94" s="3">
        <v>39</v>
      </c>
      <c r="L94" s="1" t="s">
        <v>126</v>
      </c>
      <c r="M94" s="2" t="s">
        <v>33</v>
      </c>
      <c r="N94" s="3">
        <v>39</v>
      </c>
      <c r="O94" s="1" t="s">
        <v>126</v>
      </c>
      <c r="P94" s="2" t="s">
        <v>33</v>
      </c>
      <c r="Q94" s="3">
        <v>39</v>
      </c>
      <c r="R94" s="1" t="s">
        <v>126</v>
      </c>
      <c r="S94" s="2" t="s">
        <v>33</v>
      </c>
      <c r="T94" s="3">
        <v>39</v>
      </c>
      <c r="U94" s="2">
        <v>195</v>
      </c>
    </row>
    <row r="95" spans="1:21" ht="53.25" customHeight="1">
      <c r="A95" s="69" t="s">
        <v>188</v>
      </c>
      <c r="B95" s="61" t="s">
        <v>18</v>
      </c>
      <c r="C95" s="155"/>
      <c r="D95" s="172" t="s">
        <v>85</v>
      </c>
      <c r="E95" s="2" t="s">
        <v>154</v>
      </c>
      <c r="F95" s="3" t="s">
        <v>126</v>
      </c>
      <c r="G95" s="1" t="s">
        <v>33</v>
      </c>
      <c r="H95" s="1">
        <v>29</v>
      </c>
      <c r="I95" s="1" t="s">
        <v>126</v>
      </c>
      <c r="J95" s="2" t="s">
        <v>33</v>
      </c>
      <c r="K95" s="3">
        <v>29</v>
      </c>
      <c r="L95" s="1" t="s">
        <v>126</v>
      </c>
      <c r="M95" s="2" t="s">
        <v>33</v>
      </c>
      <c r="N95" s="3">
        <v>29</v>
      </c>
      <c r="O95" s="1" t="s">
        <v>126</v>
      </c>
      <c r="P95" s="2" t="s">
        <v>33</v>
      </c>
      <c r="Q95" s="3">
        <v>29</v>
      </c>
      <c r="R95" s="1" t="s">
        <v>126</v>
      </c>
      <c r="S95" s="2" t="s">
        <v>33</v>
      </c>
      <c r="T95" s="3">
        <v>29</v>
      </c>
      <c r="U95" s="2">
        <v>145</v>
      </c>
    </row>
    <row r="96" spans="1:21" s="9" customFormat="1" ht="18.75" customHeight="1">
      <c r="A96" s="145" t="s">
        <v>169</v>
      </c>
      <c r="B96" s="146"/>
      <c r="C96" s="146"/>
      <c r="D96" s="146"/>
      <c r="E96" s="147"/>
      <c r="F96" s="129"/>
      <c r="G96" s="129"/>
      <c r="H96" s="129">
        <v>68</v>
      </c>
      <c r="I96" s="129"/>
      <c r="J96" s="129"/>
      <c r="K96" s="129">
        <v>68</v>
      </c>
      <c r="L96" s="129"/>
      <c r="M96" s="129"/>
      <c r="N96" s="129">
        <v>68</v>
      </c>
      <c r="O96" s="129"/>
      <c r="P96" s="129"/>
      <c r="Q96" s="129">
        <v>68</v>
      </c>
      <c r="R96" s="129"/>
      <c r="S96" s="129"/>
      <c r="T96" s="129">
        <v>68</v>
      </c>
      <c r="U96" s="90">
        <v>340</v>
      </c>
    </row>
    <row r="97" spans="1:22" ht="23.25" customHeight="1">
      <c r="A97" s="91" t="s">
        <v>6</v>
      </c>
      <c r="B97" s="68"/>
      <c r="C97" s="153"/>
      <c r="D97" s="70"/>
      <c r="E97" s="71"/>
      <c r="F97" s="3"/>
      <c r="G97" s="1"/>
      <c r="H97" s="1">
        <v>68</v>
      </c>
      <c r="I97" s="1"/>
      <c r="J97" s="2"/>
      <c r="K97" s="3">
        <v>68</v>
      </c>
      <c r="L97" s="1"/>
      <c r="M97" s="2"/>
      <c r="N97" s="3">
        <v>68</v>
      </c>
      <c r="O97" s="1"/>
      <c r="P97" s="2"/>
      <c r="Q97" s="3">
        <v>68</v>
      </c>
      <c r="R97" s="1"/>
      <c r="S97" s="2"/>
      <c r="T97" s="3">
        <v>68</v>
      </c>
      <c r="U97" s="2">
        <v>340</v>
      </c>
    </row>
    <row r="98" spans="1:22" ht="39" customHeight="1">
      <c r="A98" s="58" t="s">
        <v>75</v>
      </c>
      <c r="B98" s="138" t="s">
        <v>376</v>
      </c>
      <c r="C98" s="150"/>
      <c r="D98" s="150"/>
      <c r="E98" s="150"/>
      <c r="F98" s="150"/>
      <c r="G98" s="150"/>
      <c r="H98" s="150"/>
      <c r="I98" s="150"/>
      <c r="J98" s="150"/>
      <c r="K98" s="150"/>
      <c r="L98" s="150"/>
      <c r="M98" s="150"/>
      <c r="N98" s="150"/>
      <c r="O98" s="150"/>
      <c r="P98" s="150"/>
      <c r="Q98" s="150"/>
      <c r="R98" s="150"/>
      <c r="S98" s="150"/>
      <c r="T98" s="150"/>
      <c r="U98" s="150"/>
    </row>
    <row r="99" spans="1:22" ht="71.25" customHeight="1">
      <c r="A99" s="21" t="s">
        <v>76</v>
      </c>
      <c r="B99" s="72" t="s">
        <v>294</v>
      </c>
      <c r="C99" s="151" t="s">
        <v>205</v>
      </c>
      <c r="D99" s="5" t="s">
        <v>85</v>
      </c>
      <c r="E99" s="5" t="s">
        <v>173</v>
      </c>
      <c r="F99" s="5">
        <v>0</v>
      </c>
      <c r="G99" s="5">
        <v>0</v>
      </c>
      <c r="H99" s="4">
        <v>0</v>
      </c>
      <c r="I99" s="5">
        <v>0</v>
      </c>
      <c r="J99" s="5">
        <v>0</v>
      </c>
      <c r="K99" s="4">
        <v>0</v>
      </c>
      <c r="L99" s="5">
        <v>0</v>
      </c>
      <c r="M99" s="5">
        <v>0</v>
      </c>
      <c r="N99" s="4">
        <v>0</v>
      </c>
      <c r="O99" s="5" t="s">
        <v>174</v>
      </c>
      <c r="P99" s="5" t="s">
        <v>175</v>
      </c>
      <c r="Q99" s="4">
        <v>2000</v>
      </c>
      <c r="R99" s="5" t="s">
        <v>174</v>
      </c>
      <c r="S99" s="5" t="s">
        <v>175</v>
      </c>
      <c r="T99" s="4">
        <v>2000</v>
      </c>
      <c r="U99" s="4">
        <v>4000</v>
      </c>
    </row>
    <row r="100" spans="1:22" ht="69" customHeight="1">
      <c r="A100" s="73" t="s">
        <v>288</v>
      </c>
      <c r="B100" s="72" t="s">
        <v>293</v>
      </c>
      <c r="C100" s="152"/>
      <c r="D100" s="5" t="s">
        <v>85</v>
      </c>
      <c r="E100" s="5" t="s">
        <v>173</v>
      </c>
      <c r="F100" s="5">
        <v>0</v>
      </c>
      <c r="G100" s="5">
        <v>0</v>
      </c>
      <c r="H100" s="4">
        <v>0</v>
      </c>
      <c r="I100" s="5">
        <v>0</v>
      </c>
      <c r="J100" s="5">
        <v>0</v>
      </c>
      <c r="K100" s="4">
        <v>0</v>
      </c>
      <c r="L100" s="5">
        <v>0</v>
      </c>
      <c r="M100" s="5">
        <v>0</v>
      </c>
      <c r="N100" s="4">
        <v>0</v>
      </c>
      <c r="O100" s="5" t="s">
        <v>190</v>
      </c>
      <c r="P100" s="5" t="s">
        <v>194</v>
      </c>
      <c r="Q100" s="4">
        <v>10000</v>
      </c>
      <c r="R100" s="5" t="s">
        <v>190</v>
      </c>
      <c r="S100" s="5" t="s">
        <v>194</v>
      </c>
      <c r="T100" s="4">
        <v>10000</v>
      </c>
      <c r="U100" s="4">
        <v>20000</v>
      </c>
    </row>
    <row r="101" spans="1:22" ht="69" customHeight="1">
      <c r="A101" s="73" t="s">
        <v>189</v>
      </c>
      <c r="B101" s="61" t="s">
        <v>206</v>
      </c>
      <c r="C101" s="153"/>
      <c r="D101" s="5" t="s">
        <v>85</v>
      </c>
      <c r="E101" s="2" t="s">
        <v>156</v>
      </c>
      <c r="F101" s="121" t="s">
        <v>11</v>
      </c>
      <c r="G101" s="40" t="s">
        <v>157</v>
      </c>
      <c r="H101" s="40">
        <v>300</v>
      </c>
      <c r="I101" s="1" t="s">
        <v>11</v>
      </c>
      <c r="J101" s="23" t="s">
        <v>157</v>
      </c>
      <c r="K101" s="3">
        <v>300</v>
      </c>
      <c r="L101" s="1" t="s">
        <v>11</v>
      </c>
      <c r="M101" s="23" t="s">
        <v>157</v>
      </c>
      <c r="N101" s="3">
        <v>300</v>
      </c>
      <c r="O101" s="1" t="s">
        <v>11</v>
      </c>
      <c r="P101" s="23" t="s">
        <v>157</v>
      </c>
      <c r="Q101" s="3">
        <v>300</v>
      </c>
      <c r="R101" s="1" t="s">
        <v>11</v>
      </c>
      <c r="S101" s="23" t="s">
        <v>157</v>
      </c>
      <c r="T101" s="3">
        <v>300</v>
      </c>
      <c r="U101" s="2">
        <v>1500</v>
      </c>
    </row>
    <row r="102" spans="1:22" s="9" customFormat="1" ht="18.75" customHeight="1">
      <c r="A102" s="145" t="s">
        <v>15</v>
      </c>
      <c r="B102" s="146"/>
      <c r="C102" s="146"/>
      <c r="D102" s="146"/>
      <c r="E102" s="147"/>
      <c r="F102" s="129"/>
      <c r="G102" s="129"/>
      <c r="H102" s="129">
        <v>300</v>
      </c>
      <c r="I102" s="129"/>
      <c r="J102" s="129"/>
      <c r="K102" s="129">
        <v>300</v>
      </c>
      <c r="L102" s="129"/>
      <c r="M102" s="129"/>
      <c r="N102" s="129">
        <v>300</v>
      </c>
      <c r="O102" s="129"/>
      <c r="P102" s="129"/>
      <c r="Q102" s="129">
        <v>12300</v>
      </c>
      <c r="R102" s="129"/>
      <c r="S102" s="129"/>
      <c r="T102" s="129">
        <v>12300</v>
      </c>
      <c r="U102" s="90">
        <v>25500</v>
      </c>
    </row>
    <row r="103" spans="1:22" s="9" customFormat="1" ht="18.75" customHeight="1">
      <c r="A103" s="91" t="s">
        <v>95</v>
      </c>
      <c r="B103" s="92"/>
      <c r="C103" s="74"/>
      <c r="D103" s="74"/>
      <c r="E103" s="74"/>
      <c r="F103" s="129"/>
      <c r="G103" s="129"/>
      <c r="H103" s="3">
        <v>300</v>
      </c>
      <c r="I103" s="129"/>
      <c r="J103" s="129"/>
      <c r="K103" s="3">
        <v>300</v>
      </c>
      <c r="L103" s="3"/>
      <c r="M103" s="3"/>
      <c r="N103" s="3">
        <v>300</v>
      </c>
      <c r="O103" s="3"/>
      <c r="P103" s="3"/>
      <c r="Q103" s="3">
        <v>12300</v>
      </c>
      <c r="R103" s="3"/>
      <c r="S103" s="3"/>
      <c r="T103" s="3">
        <v>12300</v>
      </c>
      <c r="U103" s="2"/>
    </row>
    <row r="104" spans="1:22" s="9" customFormat="1" ht="18.75" customHeight="1">
      <c r="A104" s="91" t="s">
        <v>236</v>
      </c>
      <c r="B104" s="138" t="s">
        <v>377</v>
      </c>
      <c r="C104" s="150"/>
      <c r="D104" s="150"/>
      <c r="E104" s="150"/>
      <c r="F104" s="150"/>
      <c r="G104" s="150"/>
      <c r="H104" s="150"/>
      <c r="I104" s="150"/>
      <c r="J104" s="150"/>
      <c r="K104" s="150"/>
      <c r="L104" s="150"/>
      <c r="M104" s="150"/>
      <c r="N104" s="150"/>
      <c r="O104" s="150"/>
      <c r="P104" s="150"/>
      <c r="Q104" s="150"/>
      <c r="R104" s="150"/>
      <c r="S104" s="150"/>
      <c r="T104" s="150"/>
      <c r="U104" s="150"/>
    </row>
    <row r="105" spans="1:22" s="9" customFormat="1" ht="161.25" customHeight="1">
      <c r="A105" s="21" t="s">
        <v>237</v>
      </c>
      <c r="B105" s="188" t="s">
        <v>262</v>
      </c>
      <c r="C105" s="76" t="s">
        <v>239</v>
      </c>
      <c r="D105" s="5" t="s">
        <v>85</v>
      </c>
      <c r="E105" s="5" t="s">
        <v>91</v>
      </c>
      <c r="F105" s="11">
        <v>0</v>
      </c>
      <c r="G105" s="11">
        <v>0</v>
      </c>
      <c r="H105" s="22">
        <v>0</v>
      </c>
      <c r="I105" s="11">
        <v>0</v>
      </c>
      <c r="J105" s="11">
        <v>0</v>
      </c>
      <c r="K105" s="22">
        <v>0</v>
      </c>
      <c r="L105" s="11">
        <v>0</v>
      </c>
      <c r="M105" s="11">
        <v>0</v>
      </c>
      <c r="N105" s="22">
        <v>0</v>
      </c>
      <c r="O105" s="11" t="s">
        <v>243</v>
      </c>
      <c r="P105" s="11" t="s">
        <v>267</v>
      </c>
      <c r="Q105" s="22">
        <v>2488</v>
      </c>
      <c r="R105" s="11" t="s">
        <v>243</v>
      </c>
      <c r="S105" s="11" t="s">
        <v>267</v>
      </c>
      <c r="T105" s="22">
        <v>2488</v>
      </c>
      <c r="U105" s="23">
        <v>4976</v>
      </c>
      <c r="V105" s="24"/>
    </row>
    <row r="106" spans="1:22" s="9" customFormat="1" ht="187.5" customHeight="1">
      <c r="A106" s="21" t="s">
        <v>238</v>
      </c>
      <c r="B106" s="188" t="s">
        <v>263</v>
      </c>
      <c r="C106" s="6" t="s">
        <v>205</v>
      </c>
      <c r="D106" s="5" t="s">
        <v>85</v>
      </c>
      <c r="E106" s="5" t="s">
        <v>91</v>
      </c>
      <c r="F106" s="11" t="s">
        <v>303</v>
      </c>
      <c r="G106" s="11" t="s">
        <v>240</v>
      </c>
      <c r="H106" s="77">
        <v>500</v>
      </c>
      <c r="I106" s="11">
        <v>0</v>
      </c>
      <c r="J106" s="11">
        <v>0</v>
      </c>
      <c r="K106" s="77">
        <v>0</v>
      </c>
      <c r="L106" s="11">
        <v>0</v>
      </c>
      <c r="M106" s="11">
        <v>0</v>
      </c>
      <c r="N106" s="77">
        <v>0</v>
      </c>
      <c r="O106" s="11" t="s">
        <v>244</v>
      </c>
      <c r="P106" s="11" t="s">
        <v>240</v>
      </c>
      <c r="Q106" s="77">
        <v>6480</v>
      </c>
      <c r="R106" s="11" t="s">
        <v>244</v>
      </c>
      <c r="S106" s="11" t="s">
        <v>240</v>
      </c>
      <c r="T106" s="77">
        <v>6480</v>
      </c>
      <c r="U106" s="2">
        <v>13460</v>
      </c>
    </row>
    <row r="107" spans="1:22" s="9" customFormat="1" ht="135.75" customHeight="1">
      <c r="A107" s="21" t="s">
        <v>241</v>
      </c>
      <c r="B107" s="188" t="s">
        <v>246</v>
      </c>
      <c r="C107" s="6" t="s">
        <v>205</v>
      </c>
      <c r="D107" s="5" t="s">
        <v>85</v>
      </c>
      <c r="E107" s="5" t="s">
        <v>91</v>
      </c>
      <c r="F107" s="11" t="s">
        <v>242</v>
      </c>
      <c r="G107" s="11" t="s">
        <v>292</v>
      </c>
      <c r="H107" s="3">
        <v>2880</v>
      </c>
      <c r="I107" s="11">
        <v>0</v>
      </c>
      <c r="J107" s="11">
        <v>0</v>
      </c>
      <c r="K107" s="3">
        <v>0</v>
      </c>
      <c r="L107" s="11">
        <v>0</v>
      </c>
      <c r="M107" s="11">
        <v>0</v>
      </c>
      <c r="N107" s="3">
        <v>0</v>
      </c>
      <c r="O107" s="11" t="s">
        <v>242</v>
      </c>
      <c r="P107" s="11" t="s">
        <v>245</v>
      </c>
      <c r="Q107" s="3">
        <v>5760</v>
      </c>
      <c r="R107" s="11" t="s">
        <v>242</v>
      </c>
      <c r="S107" s="11" t="s">
        <v>245</v>
      </c>
      <c r="T107" s="3">
        <v>5760</v>
      </c>
      <c r="U107" s="2">
        <v>14400</v>
      </c>
    </row>
    <row r="108" spans="1:22" s="9" customFormat="1" ht="24" customHeight="1">
      <c r="A108" s="91" t="s">
        <v>95</v>
      </c>
      <c r="B108" s="92"/>
      <c r="C108" s="6"/>
      <c r="D108" s="5"/>
      <c r="E108" s="5"/>
      <c r="F108" s="11"/>
      <c r="G108" s="11"/>
      <c r="H108" s="3">
        <v>3380</v>
      </c>
      <c r="I108" s="11"/>
      <c r="J108" s="11"/>
      <c r="K108" s="3">
        <v>0</v>
      </c>
      <c r="L108" s="11"/>
      <c r="M108" s="11"/>
      <c r="N108" s="3">
        <v>0</v>
      </c>
      <c r="O108" s="11"/>
      <c r="P108" s="11"/>
      <c r="Q108" s="3">
        <v>14728</v>
      </c>
      <c r="R108" s="11"/>
      <c r="S108" s="11"/>
      <c r="T108" s="3">
        <v>14728</v>
      </c>
      <c r="U108" s="2">
        <v>32836</v>
      </c>
    </row>
    <row r="109" spans="1:22" s="9" customFormat="1" ht="24" customHeight="1">
      <c r="A109" s="91">
        <v>15</v>
      </c>
      <c r="B109" s="138" t="s">
        <v>378</v>
      </c>
      <c r="C109" s="150"/>
      <c r="D109" s="150"/>
      <c r="E109" s="150"/>
      <c r="F109" s="150"/>
      <c r="G109" s="150"/>
      <c r="H109" s="150"/>
      <c r="I109" s="150"/>
      <c r="J109" s="150"/>
      <c r="K109" s="150"/>
      <c r="L109" s="150"/>
      <c r="M109" s="150"/>
      <c r="N109" s="150"/>
      <c r="O109" s="150"/>
      <c r="P109" s="150"/>
      <c r="Q109" s="150"/>
      <c r="R109" s="150"/>
      <c r="S109" s="150"/>
      <c r="T109" s="150"/>
      <c r="U109" s="150"/>
    </row>
    <row r="110" spans="1:22" s="104" customFormat="1" ht="84" customHeight="1">
      <c r="A110" s="101" t="s">
        <v>253</v>
      </c>
      <c r="B110" s="75" t="s">
        <v>249</v>
      </c>
      <c r="C110" s="75" t="s">
        <v>84</v>
      </c>
      <c r="D110" s="37" t="s">
        <v>85</v>
      </c>
      <c r="E110" s="37" t="s">
        <v>254</v>
      </c>
      <c r="F110" s="102">
        <v>0</v>
      </c>
      <c r="G110" s="102">
        <v>0</v>
      </c>
      <c r="H110" s="102">
        <v>0</v>
      </c>
      <c r="I110" s="102">
        <v>0</v>
      </c>
      <c r="J110" s="102">
        <v>0</v>
      </c>
      <c r="K110" s="102">
        <v>0</v>
      </c>
      <c r="L110" s="102">
        <v>0</v>
      </c>
      <c r="M110" s="102">
        <v>0</v>
      </c>
      <c r="N110" s="102">
        <v>0</v>
      </c>
      <c r="O110" s="102" t="s">
        <v>311</v>
      </c>
      <c r="P110" s="102" t="s">
        <v>252</v>
      </c>
      <c r="Q110" s="102">
        <v>3942</v>
      </c>
      <c r="R110" s="102" t="s">
        <v>311</v>
      </c>
      <c r="S110" s="102" t="s">
        <v>252</v>
      </c>
      <c r="T110" s="102">
        <v>3942</v>
      </c>
      <c r="U110" s="103">
        <v>7884</v>
      </c>
    </row>
    <row r="111" spans="1:22" ht="20.25">
      <c r="A111" s="148" t="s">
        <v>379</v>
      </c>
      <c r="B111" s="149"/>
      <c r="C111" s="149"/>
      <c r="D111" s="149"/>
      <c r="E111" s="149"/>
      <c r="F111" s="135">
        <v>187405</v>
      </c>
      <c r="G111" s="136"/>
      <c r="H111" s="137"/>
      <c r="I111" s="135">
        <v>70176</v>
      </c>
      <c r="J111" s="136"/>
      <c r="K111" s="137"/>
      <c r="L111" s="135">
        <v>70176</v>
      </c>
      <c r="M111" s="136"/>
      <c r="N111" s="137"/>
      <c r="O111" s="135">
        <v>204395.5</v>
      </c>
      <c r="P111" s="136"/>
      <c r="Q111" s="137"/>
      <c r="R111" s="135">
        <v>204405.5</v>
      </c>
      <c r="S111" s="136"/>
      <c r="T111" s="137"/>
      <c r="U111" s="78">
        <v>736558</v>
      </c>
    </row>
    <row r="112" spans="1:22" ht="18.75">
      <c r="A112" s="134" t="s">
        <v>164</v>
      </c>
      <c r="B112" s="134"/>
      <c r="C112" s="134"/>
      <c r="D112" s="134"/>
      <c r="E112" s="134"/>
      <c r="F112" s="129">
        <v>23924</v>
      </c>
      <c r="G112" s="129"/>
      <c r="H112" s="129"/>
      <c r="I112" s="129">
        <v>618</v>
      </c>
      <c r="J112" s="129"/>
      <c r="K112" s="129"/>
      <c r="L112" s="129">
        <v>618</v>
      </c>
      <c r="M112" s="129"/>
      <c r="N112" s="129"/>
      <c r="O112" s="129">
        <v>617</v>
      </c>
      <c r="P112" s="129"/>
      <c r="Q112" s="129"/>
      <c r="R112" s="129">
        <v>617</v>
      </c>
      <c r="S112" s="129"/>
      <c r="T112" s="129"/>
      <c r="U112" s="79">
        <v>26394</v>
      </c>
    </row>
    <row r="113" spans="1:21" ht="18.75">
      <c r="A113" s="134" t="s">
        <v>20</v>
      </c>
      <c r="B113" s="134"/>
      <c r="C113" s="134"/>
      <c r="D113" s="134"/>
      <c r="E113" s="134"/>
      <c r="F113" s="129">
        <v>99415</v>
      </c>
      <c r="G113" s="129"/>
      <c r="H113" s="129"/>
      <c r="I113" s="129">
        <v>69558</v>
      </c>
      <c r="J113" s="129"/>
      <c r="K113" s="129"/>
      <c r="L113" s="129">
        <v>69558</v>
      </c>
      <c r="M113" s="129"/>
      <c r="N113" s="129"/>
      <c r="O113" s="129">
        <v>113733.3</v>
      </c>
      <c r="P113" s="129"/>
      <c r="Q113" s="129"/>
      <c r="R113" s="129">
        <v>113743.3</v>
      </c>
      <c r="S113" s="129"/>
      <c r="T113" s="129"/>
      <c r="U113" s="79">
        <v>466007.6</v>
      </c>
    </row>
    <row r="114" spans="1:21" ht="20.25" customHeight="1">
      <c r="A114" s="131" t="s">
        <v>21</v>
      </c>
      <c r="B114" s="132"/>
      <c r="C114" s="132"/>
      <c r="D114" s="132"/>
      <c r="E114" s="133"/>
      <c r="F114" s="129">
        <v>64066</v>
      </c>
      <c r="G114" s="129"/>
      <c r="H114" s="129"/>
      <c r="I114" s="129">
        <v>0</v>
      </c>
      <c r="J114" s="129"/>
      <c r="K114" s="129"/>
      <c r="L114" s="129">
        <v>0</v>
      </c>
      <c r="M114" s="129"/>
      <c r="N114" s="129"/>
      <c r="O114" s="129">
        <v>90045.2</v>
      </c>
      <c r="P114" s="129"/>
      <c r="Q114" s="129"/>
      <c r="R114" s="129">
        <v>90045.2</v>
      </c>
      <c r="S114" s="129"/>
      <c r="T114" s="129"/>
      <c r="U114" s="79">
        <v>244156.4</v>
      </c>
    </row>
    <row r="115" spans="1:21" ht="22.5" customHeight="1">
      <c r="A115" s="128" t="s">
        <v>22</v>
      </c>
      <c r="B115" s="128"/>
      <c r="C115" s="128"/>
      <c r="D115" s="128"/>
      <c r="E115" s="128"/>
      <c r="F115" s="128"/>
      <c r="G115" s="128"/>
      <c r="H115" s="128"/>
      <c r="I115" s="128"/>
      <c r="J115" s="128"/>
      <c r="K115" s="128"/>
      <c r="L115" s="128"/>
      <c r="M115" s="128"/>
      <c r="N115" s="128"/>
      <c r="O115" s="128"/>
      <c r="P115" s="128"/>
      <c r="Q115" s="128"/>
      <c r="R115" s="128"/>
      <c r="S115" s="128"/>
      <c r="T115" s="128"/>
      <c r="U115" s="128"/>
    </row>
    <row r="116" spans="1:21" ht="16.5">
      <c r="A116" s="130" t="s">
        <v>23</v>
      </c>
      <c r="B116" s="130"/>
      <c r="C116" s="130"/>
      <c r="D116" s="130"/>
      <c r="E116" s="80">
        <v>29400</v>
      </c>
      <c r="F116" s="81"/>
      <c r="G116" s="81"/>
      <c r="H116" s="81"/>
      <c r="I116" s="81"/>
      <c r="J116" s="81"/>
      <c r="K116" s="81"/>
      <c r="L116" s="81"/>
      <c r="M116" s="81"/>
      <c r="N116" s="81"/>
      <c r="O116" s="81"/>
      <c r="P116" s="81"/>
      <c r="Q116" s="81"/>
      <c r="R116" s="81"/>
      <c r="S116" s="81"/>
      <c r="T116" s="81"/>
      <c r="U116" s="81"/>
    </row>
    <row r="117" spans="1:21" ht="17.25" customHeight="1">
      <c r="A117" s="128" t="s">
        <v>24</v>
      </c>
      <c r="B117" s="128"/>
      <c r="C117" s="128"/>
      <c r="D117" s="128"/>
      <c r="E117" s="128"/>
      <c r="F117" s="128"/>
      <c r="G117" s="128"/>
      <c r="H117" s="128"/>
      <c r="I117" s="128"/>
      <c r="J117" s="128"/>
      <c r="K117" s="128"/>
      <c r="L117" s="128"/>
      <c r="M117" s="128"/>
      <c r="N117" s="128"/>
      <c r="O117" s="128"/>
      <c r="P117" s="128"/>
      <c r="Q117" s="128"/>
      <c r="R117" s="128"/>
      <c r="S117" s="128"/>
      <c r="T117" s="128"/>
      <c r="U117" s="82">
        <v>736558</v>
      </c>
    </row>
    <row r="123" spans="1:21">
      <c r="D123" s="83">
        <v>707158</v>
      </c>
    </row>
  </sheetData>
  <pageMargins left="0.15748031496062992" right="0.15748031496062992" top="0.15748031496062992" bottom="0.27559055118110237" header="0.19685039370078741" footer="0.15748031496062992"/>
  <pageSetup paperSize="9" scale="37" orientation="landscape" r:id="rId1"/>
  <headerFooter alignWithMargins="0"/>
  <rowBreaks count="5" manualBreakCount="5">
    <brk id="21" max="20" man="1"/>
    <brk id="36" max="16383" man="1"/>
    <brk id="51" max="16383" man="1"/>
    <brk id="73" max="16383" man="1"/>
    <brk id="97" max="16383" man="1"/>
  </rowBreaks>
</worksheet>
</file>

<file path=xl/worksheets/sheet2.xml><?xml version="1.0" encoding="utf-8"?>
<worksheet xmlns="http://schemas.openxmlformats.org/spreadsheetml/2006/main" xmlns:r="http://schemas.openxmlformats.org/officeDocument/2006/relationships">
  <dimension ref="A1:W123"/>
  <sheetViews>
    <sheetView view="pageBreakPreview" zoomScale="60" workbookViewId="0">
      <pane xSplit="12" ySplit="12" topLeftCell="M79" activePane="bottomRight" state="frozen"/>
      <selection pane="topRight" activeCell="M1" sqref="M1"/>
      <selection pane="bottomLeft" activeCell="A13" sqref="A13"/>
      <selection pane="bottomRight" activeCell="A85" sqref="A85"/>
    </sheetView>
  </sheetViews>
  <sheetFormatPr defaultRowHeight="15"/>
  <cols>
    <col min="1" max="1" width="6.28515625" style="7" customWidth="1"/>
    <col min="2" max="2" width="56" style="7" customWidth="1"/>
    <col min="3" max="3" width="26" style="7" customWidth="1"/>
    <col min="4" max="4" width="12.7109375" style="7" customWidth="1"/>
    <col min="5" max="5" width="13.28515625" style="7" customWidth="1"/>
    <col min="6" max="6" width="16.42578125" style="7" customWidth="1"/>
    <col min="7" max="7" width="14.85546875" style="7" customWidth="1"/>
    <col min="8" max="8" width="12.7109375" style="7" customWidth="1"/>
    <col min="9" max="9" width="16.5703125" style="7" customWidth="1"/>
    <col min="10" max="10" width="15.5703125" style="7" customWidth="1"/>
    <col min="11" max="11" width="12.28515625" style="7" customWidth="1"/>
    <col min="12" max="12" width="16.85546875" style="7" customWidth="1"/>
    <col min="13" max="13" width="15.5703125" style="7" customWidth="1"/>
    <col min="14" max="14" width="12.140625" style="7" customWidth="1"/>
    <col min="15" max="15" width="17.42578125" style="7" customWidth="1"/>
    <col min="16" max="16" width="14.7109375" style="7" customWidth="1"/>
    <col min="17" max="17" width="12.1406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ht="15" customHeight="1">
      <c r="R1" s="449" t="s">
        <v>323</v>
      </c>
      <c r="S1" s="450"/>
      <c r="T1" s="450"/>
      <c r="U1" s="450"/>
    </row>
    <row r="2" spans="1:21">
      <c r="R2" s="450"/>
      <c r="S2" s="450"/>
      <c r="T2" s="450"/>
      <c r="U2" s="450"/>
    </row>
    <row r="3" spans="1:21" ht="15" customHeight="1">
      <c r="A3" s="27"/>
      <c r="B3" s="27"/>
      <c r="C3" s="27"/>
      <c r="D3" s="27"/>
      <c r="E3" s="27"/>
      <c r="F3" s="27"/>
      <c r="G3" s="27"/>
      <c r="H3" s="27"/>
      <c r="I3" s="27"/>
      <c r="J3" s="27"/>
      <c r="K3" s="27"/>
      <c r="L3" s="27"/>
      <c r="M3" s="27"/>
      <c r="N3" s="27"/>
      <c r="O3" s="27"/>
      <c r="P3" s="27"/>
      <c r="Q3" s="27"/>
      <c r="R3" s="449" t="s">
        <v>322</v>
      </c>
      <c r="S3" s="451"/>
      <c r="T3" s="451"/>
      <c r="U3" s="451"/>
    </row>
    <row r="4" spans="1:21" ht="18.75">
      <c r="A4" s="452" t="s">
        <v>133</v>
      </c>
      <c r="B4" s="452"/>
      <c r="C4" s="452"/>
      <c r="D4" s="452"/>
      <c r="E4" s="452"/>
      <c r="F4" s="452"/>
      <c r="G4" s="452"/>
      <c r="H4" s="452"/>
      <c r="I4" s="452"/>
      <c r="J4" s="452"/>
      <c r="K4" s="452"/>
      <c r="L4" s="452"/>
      <c r="M4" s="452"/>
      <c r="N4" s="452"/>
      <c r="O4" s="452"/>
      <c r="P4" s="452"/>
      <c r="Q4" s="452"/>
      <c r="R4" s="452"/>
      <c r="S4" s="452"/>
      <c r="T4" s="452"/>
      <c r="U4" s="452"/>
    </row>
    <row r="5" spans="1:21" ht="18.75">
      <c r="A5" s="105"/>
      <c r="B5" s="105"/>
      <c r="C5" s="105"/>
      <c r="D5" s="105"/>
      <c r="E5" s="105"/>
      <c r="F5" s="105"/>
      <c r="G5" s="105"/>
      <c r="H5" s="105"/>
      <c r="I5" s="105"/>
      <c r="J5" s="105"/>
      <c r="K5" s="105"/>
      <c r="L5" s="105"/>
      <c r="M5" s="105"/>
      <c r="N5" s="105"/>
      <c r="O5" s="105"/>
      <c r="P5" s="105"/>
      <c r="Q5" s="105"/>
      <c r="R5" s="105"/>
      <c r="S5" s="105"/>
      <c r="T5" s="105"/>
      <c r="U5" s="105"/>
    </row>
    <row r="6" spans="1:21" s="8" customFormat="1" ht="15" customHeight="1">
      <c r="A6" s="453" t="s">
        <v>25</v>
      </c>
      <c r="B6" s="453" t="s">
        <v>177</v>
      </c>
      <c r="C6" s="453" t="s">
        <v>178</v>
      </c>
      <c r="D6" s="453" t="s">
        <v>78</v>
      </c>
      <c r="E6" s="453" t="s">
        <v>79</v>
      </c>
      <c r="F6" s="455" t="s">
        <v>134</v>
      </c>
      <c r="G6" s="455"/>
      <c r="H6" s="455"/>
      <c r="I6" s="455" t="s">
        <v>135</v>
      </c>
      <c r="J6" s="455"/>
      <c r="K6" s="455"/>
      <c r="L6" s="455" t="s">
        <v>136</v>
      </c>
      <c r="M6" s="455"/>
      <c r="N6" s="455"/>
      <c r="O6" s="455" t="s">
        <v>171</v>
      </c>
      <c r="P6" s="455"/>
      <c r="Q6" s="455"/>
      <c r="R6" s="455" t="s">
        <v>172</v>
      </c>
      <c r="S6" s="455"/>
      <c r="T6" s="455"/>
      <c r="U6" s="453" t="s">
        <v>80</v>
      </c>
    </row>
    <row r="7" spans="1:21" s="8" customFormat="1" ht="60">
      <c r="A7" s="454"/>
      <c r="B7" s="454"/>
      <c r="C7" s="454"/>
      <c r="D7" s="454"/>
      <c r="E7" s="454"/>
      <c r="F7" s="28" t="s">
        <v>81</v>
      </c>
      <c r="G7" s="28" t="s">
        <v>176</v>
      </c>
      <c r="H7" s="28" t="s">
        <v>83</v>
      </c>
      <c r="I7" s="28" t="s">
        <v>81</v>
      </c>
      <c r="J7" s="28" t="s">
        <v>82</v>
      </c>
      <c r="K7" s="28" t="s">
        <v>83</v>
      </c>
      <c r="L7" s="28" t="s">
        <v>81</v>
      </c>
      <c r="M7" s="28" t="s">
        <v>82</v>
      </c>
      <c r="N7" s="28" t="s">
        <v>83</v>
      </c>
      <c r="O7" s="28" t="s">
        <v>81</v>
      </c>
      <c r="P7" s="28" t="s">
        <v>82</v>
      </c>
      <c r="Q7" s="28" t="s">
        <v>83</v>
      </c>
      <c r="R7" s="28" t="s">
        <v>81</v>
      </c>
      <c r="S7" s="28" t="s">
        <v>82</v>
      </c>
      <c r="T7" s="28" t="s">
        <v>83</v>
      </c>
      <c r="U7" s="454"/>
    </row>
    <row r="8" spans="1:21" s="8" customFormat="1" ht="15.75">
      <c r="A8" s="107">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18.75" customHeight="1">
      <c r="A9" s="456" t="s">
        <v>26</v>
      </c>
      <c r="B9" s="457"/>
      <c r="C9" s="457"/>
      <c r="D9" s="457"/>
      <c r="E9" s="457"/>
      <c r="F9" s="457"/>
      <c r="G9" s="457"/>
      <c r="H9" s="457"/>
      <c r="I9" s="457"/>
      <c r="J9" s="457"/>
      <c r="K9" s="457"/>
      <c r="L9" s="457"/>
      <c r="M9" s="457"/>
      <c r="N9" s="457"/>
      <c r="O9" s="457"/>
      <c r="P9" s="457"/>
      <c r="Q9" s="457"/>
      <c r="R9" s="457"/>
      <c r="S9" s="457"/>
      <c r="T9" s="457"/>
      <c r="U9" s="458"/>
    </row>
    <row r="10" spans="1:21" ht="18.75" customHeight="1">
      <c r="A10" s="30" t="s">
        <v>27</v>
      </c>
      <c r="B10" s="448" t="s">
        <v>264</v>
      </c>
      <c r="C10" s="412"/>
      <c r="D10" s="412"/>
      <c r="E10" s="412"/>
      <c r="F10" s="412"/>
      <c r="G10" s="412"/>
      <c r="H10" s="412"/>
      <c r="I10" s="412"/>
      <c r="J10" s="412"/>
      <c r="K10" s="412"/>
      <c r="L10" s="412"/>
      <c r="M10" s="412"/>
      <c r="N10" s="412"/>
      <c r="O10" s="412"/>
      <c r="P10" s="412"/>
      <c r="Q10" s="412"/>
      <c r="R10" s="412"/>
      <c r="S10" s="412"/>
      <c r="T10" s="412"/>
      <c r="U10" s="413"/>
    </row>
    <row r="11" spans="1:21" ht="141.75">
      <c r="A11" s="25" t="s">
        <v>28</v>
      </c>
      <c r="B11" s="31" t="s">
        <v>29</v>
      </c>
      <c r="C11" s="433" t="s">
        <v>84</v>
      </c>
      <c r="D11" s="109" t="s">
        <v>85</v>
      </c>
      <c r="E11" s="32" t="s">
        <v>86</v>
      </c>
      <c r="F11" s="11" t="s">
        <v>401</v>
      </c>
      <c r="G11" s="26" t="s">
        <v>402</v>
      </c>
      <c r="H11" s="1">
        <v>43350</v>
      </c>
      <c r="I11" s="11" t="s">
        <v>33</v>
      </c>
      <c r="J11" s="26" t="s">
        <v>33</v>
      </c>
      <c r="K11" s="1">
        <v>0</v>
      </c>
      <c r="L11" s="11" t="s">
        <v>33</v>
      </c>
      <c r="M11" s="26" t="s">
        <v>33</v>
      </c>
      <c r="N11" s="1">
        <v>0</v>
      </c>
      <c r="O11" s="11" t="s">
        <v>273</v>
      </c>
      <c r="P11" s="26" t="s">
        <v>87</v>
      </c>
      <c r="Q11" s="1">
        <v>46425</v>
      </c>
      <c r="R11" s="11" t="s">
        <v>273</v>
      </c>
      <c r="S11" s="26" t="s">
        <v>87</v>
      </c>
      <c r="T11" s="1">
        <v>46425</v>
      </c>
      <c r="U11" s="2">
        <f t="shared" ref="U11:U16" si="0">H11+K11+N11+Q11+T11</f>
        <v>136200</v>
      </c>
    </row>
    <row r="12" spans="1:21" ht="157.5">
      <c r="A12" s="12" t="s">
        <v>30</v>
      </c>
      <c r="B12" s="33" t="s">
        <v>221</v>
      </c>
      <c r="C12" s="440"/>
      <c r="D12" s="5" t="s">
        <v>88</v>
      </c>
      <c r="E12" s="32" t="s">
        <v>89</v>
      </c>
      <c r="F12" s="11" t="s">
        <v>403</v>
      </c>
      <c r="G12" s="26" t="s">
        <v>402</v>
      </c>
      <c r="H12" s="1">
        <v>17350</v>
      </c>
      <c r="I12" s="11" t="s">
        <v>33</v>
      </c>
      <c r="J12" s="26" t="s">
        <v>33</v>
      </c>
      <c r="K12" s="1">
        <v>0</v>
      </c>
      <c r="L12" s="11" t="s">
        <v>33</v>
      </c>
      <c r="M12" s="26" t="s">
        <v>33</v>
      </c>
      <c r="N12" s="1">
        <v>0</v>
      </c>
      <c r="O12" s="11" t="s">
        <v>274</v>
      </c>
      <c r="P12" s="26" t="s">
        <v>87</v>
      </c>
      <c r="Q12" s="1">
        <v>19038</v>
      </c>
      <c r="R12" s="11" t="s">
        <v>274</v>
      </c>
      <c r="S12" s="26" t="s">
        <v>87</v>
      </c>
      <c r="T12" s="1">
        <v>19038</v>
      </c>
      <c r="U12" s="2">
        <f t="shared" si="0"/>
        <v>55426</v>
      </c>
    </row>
    <row r="13" spans="1:21" ht="94.5">
      <c r="A13" s="12" t="s">
        <v>31</v>
      </c>
      <c r="B13" s="10" t="s">
        <v>200</v>
      </c>
      <c r="C13" s="446" t="s">
        <v>90</v>
      </c>
      <c r="D13" s="34" t="s">
        <v>85</v>
      </c>
      <c r="E13" s="5" t="s">
        <v>159</v>
      </c>
      <c r="F13" s="85" t="s">
        <v>160</v>
      </c>
      <c r="G13" s="85" t="s">
        <v>161</v>
      </c>
      <c r="H13" s="38">
        <f>774</f>
        <v>774</v>
      </c>
      <c r="I13" s="11" t="s">
        <v>160</v>
      </c>
      <c r="J13" s="11" t="s">
        <v>161</v>
      </c>
      <c r="K13" s="1">
        <v>774</v>
      </c>
      <c r="L13" s="11" t="s">
        <v>160</v>
      </c>
      <c r="M13" s="11" t="s">
        <v>161</v>
      </c>
      <c r="N13" s="1">
        <v>774</v>
      </c>
      <c r="O13" s="11" t="s">
        <v>160</v>
      </c>
      <c r="P13" s="11" t="s">
        <v>161</v>
      </c>
      <c r="Q13" s="1">
        <v>774</v>
      </c>
      <c r="R13" s="11" t="s">
        <v>160</v>
      </c>
      <c r="S13" s="11" t="s">
        <v>161</v>
      </c>
      <c r="T13" s="1">
        <v>774</v>
      </c>
      <c r="U13" s="2">
        <f t="shared" si="0"/>
        <v>3870</v>
      </c>
    </row>
    <row r="14" spans="1:21" ht="126">
      <c r="A14" s="12" t="s">
        <v>32</v>
      </c>
      <c r="B14" s="35" t="s">
        <v>222</v>
      </c>
      <c r="C14" s="446"/>
      <c r="D14" s="36" t="s">
        <v>85</v>
      </c>
      <c r="E14" s="37" t="s">
        <v>316</v>
      </c>
      <c r="F14" s="85" t="s">
        <v>329</v>
      </c>
      <c r="G14" s="85" t="s">
        <v>267</v>
      </c>
      <c r="H14" s="38">
        <v>8260</v>
      </c>
      <c r="I14" s="85" t="s">
        <v>329</v>
      </c>
      <c r="J14" s="85" t="s">
        <v>267</v>
      </c>
      <c r="K14" s="38">
        <v>8260</v>
      </c>
      <c r="L14" s="85" t="s">
        <v>329</v>
      </c>
      <c r="M14" s="85" t="s">
        <v>267</v>
      </c>
      <c r="N14" s="38">
        <v>8260</v>
      </c>
      <c r="O14" s="11" t="s">
        <v>272</v>
      </c>
      <c r="P14" s="11" t="s">
        <v>267</v>
      </c>
      <c r="Q14" s="1">
        <v>12655.3</v>
      </c>
      <c r="R14" s="11" t="s">
        <v>272</v>
      </c>
      <c r="S14" s="11" t="s">
        <v>267</v>
      </c>
      <c r="T14" s="1">
        <v>12655.3</v>
      </c>
      <c r="U14" s="2">
        <f t="shared" si="0"/>
        <v>50090.600000000006</v>
      </c>
    </row>
    <row r="15" spans="1:21" ht="110.25">
      <c r="A15" s="12" t="s">
        <v>165</v>
      </c>
      <c r="B15" s="10" t="s">
        <v>271</v>
      </c>
      <c r="C15" s="107" t="s">
        <v>84</v>
      </c>
      <c r="D15" s="34" t="s">
        <v>88</v>
      </c>
      <c r="E15" s="5" t="s">
        <v>92</v>
      </c>
      <c r="F15" s="11" t="s">
        <v>315</v>
      </c>
      <c r="G15" s="11" t="s">
        <v>314</v>
      </c>
      <c r="H15" s="1">
        <v>4075</v>
      </c>
      <c r="I15" s="11" t="s">
        <v>33</v>
      </c>
      <c r="J15" s="11" t="s">
        <v>33</v>
      </c>
      <c r="K15" s="1">
        <v>0</v>
      </c>
      <c r="L15" s="11" t="s">
        <v>33</v>
      </c>
      <c r="M15" s="11" t="s">
        <v>33</v>
      </c>
      <c r="N15" s="1">
        <v>0</v>
      </c>
      <c r="O15" s="11" t="s">
        <v>93</v>
      </c>
      <c r="P15" s="11" t="s">
        <v>115</v>
      </c>
      <c r="Q15" s="1">
        <v>2909</v>
      </c>
      <c r="R15" s="11" t="s">
        <v>93</v>
      </c>
      <c r="S15" s="11" t="s">
        <v>115</v>
      </c>
      <c r="T15" s="1">
        <v>2909</v>
      </c>
      <c r="U15" s="2">
        <f t="shared" si="0"/>
        <v>9893</v>
      </c>
    </row>
    <row r="16" spans="1:21" s="100" customFormat="1" ht="141.75">
      <c r="A16" s="96" t="s">
        <v>247</v>
      </c>
      <c r="B16" s="97" t="s">
        <v>255</v>
      </c>
      <c r="C16" s="98" t="s">
        <v>84</v>
      </c>
      <c r="D16" s="36" t="s">
        <v>88</v>
      </c>
      <c r="E16" s="37" t="s">
        <v>91</v>
      </c>
      <c r="F16" s="85">
        <v>0</v>
      </c>
      <c r="G16" s="85">
        <v>0</v>
      </c>
      <c r="H16" s="38">
        <v>0</v>
      </c>
      <c r="I16" s="85">
        <v>0</v>
      </c>
      <c r="J16" s="85">
        <v>0</v>
      </c>
      <c r="K16" s="38">
        <v>0</v>
      </c>
      <c r="L16" s="85">
        <v>0</v>
      </c>
      <c r="M16" s="85">
        <v>0</v>
      </c>
      <c r="N16" s="38">
        <v>0</v>
      </c>
      <c r="O16" s="85">
        <v>0</v>
      </c>
      <c r="P16" s="85">
        <v>0</v>
      </c>
      <c r="Q16" s="38">
        <v>0</v>
      </c>
      <c r="R16" s="85">
        <v>0</v>
      </c>
      <c r="S16" s="85">
        <v>0</v>
      </c>
      <c r="T16" s="38">
        <v>0</v>
      </c>
      <c r="U16" s="99">
        <f t="shared" si="0"/>
        <v>0</v>
      </c>
    </row>
    <row r="17" spans="1:21" s="100" customFormat="1" ht="141.75">
      <c r="A17" s="96" t="s">
        <v>257</v>
      </c>
      <c r="B17" s="97" t="s">
        <v>258</v>
      </c>
      <c r="C17" s="98" t="s">
        <v>84</v>
      </c>
      <c r="D17" s="36" t="s">
        <v>88</v>
      </c>
      <c r="E17" s="37" t="s">
        <v>91</v>
      </c>
      <c r="F17" s="85">
        <v>0</v>
      </c>
      <c r="G17" s="85">
        <v>0</v>
      </c>
      <c r="H17" s="38">
        <v>0</v>
      </c>
      <c r="I17" s="85">
        <v>0</v>
      </c>
      <c r="J17" s="85">
        <v>0</v>
      </c>
      <c r="K17" s="38">
        <v>0</v>
      </c>
      <c r="L17" s="85">
        <v>0</v>
      </c>
      <c r="M17" s="85">
        <v>0</v>
      </c>
      <c r="N17" s="38">
        <v>0</v>
      </c>
      <c r="O17" s="85">
        <v>0</v>
      </c>
      <c r="P17" s="85">
        <v>0</v>
      </c>
      <c r="Q17" s="38">
        <v>0</v>
      </c>
      <c r="R17" s="85">
        <v>0</v>
      </c>
      <c r="S17" s="85">
        <v>0</v>
      </c>
      <c r="T17" s="38">
        <v>0</v>
      </c>
      <c r="U17" s="99">
        <f>H17+K17+N17+Q17+T17</f>
        <v>0</v>
      </c>
    </row>
    <row r="18" spans="1:21" s="9" customFormat="1" ht="16.5">
      <c r="A18" s="414" t="s">
        <v>94</v>
      </c>
      <c r="B18" s="415"/>
      <c r="C18" s="447"/>
      <c r="D18" s="415"/>
      <c r="E18" s="415"/>
      <c r="F18" s="41"/>
      <c r="G18" s="42"/>
      <c r="H18" s="43">
        <f>H19+H20</f>
        <v>73809</v>
      </c>
      <c r="I18" s="44"/>
      <c r="J18" s="45"/>
      <c r="K18" s="43">
        <f>K19+K20</f>
        <v>9034</v>
      </c>
      <c r="L18" s="44"/>
      <c r="M18" s="45"/>
      <c r="N18" s="43">
        <f>N19+N20</f>
        <v>9034</v>
      </c>
      <c r="O18" s="43"/>
      <c r="P18" s="43"/>
      <c r="Q18" s="43">
        <f>Q19+Q20</f>
        <v>81801.3</v>
      </c>
      <c r="R18" s="43"/>
      <c r="S18" s="43"/>
      <c r="T18" s="43">
        <f>T19+T20</f>
        <v>81801.3</v>
      </c>
      <c r="U18" s="43">
        <f>SUM(H18:T18)</f>
        <v>255479.59999999998</v>
      </c>
    </row>
    <row r="19" spans="1:21" ht="16.5">
      <c r="A19" s="411" t="s">
        <v>84</v>
      </c>
      <c r="B19" s="411"/>
      <c r="C19" s="411"/>
      <c r="D19" s="411"/>
      <c r="E19" s="411"/>
      <c r="F19" s="46"/>
      <c r="G19" s="47"/>
      <c r="H19" s="48">
        <f>H11+H12+H15+H16+H17</f>
        <v>64775</v>
      </c>
      <c r="I19" s="49"/>
      <c r="J19" s="49"/>
      <c r="K19" s="48">
        <f>K11+K12+K15+K16+K17</f>
        <v>0</v>
      </c>
      <c r="L19" s="49"/>
      <c r="M19" s="49"/>
      <c r="N19" s="48">
        <f>N11+N12+N15+N16+N17</f>
        <v>0</v>
      </c>
      <c r="O19" s="48"/>
      <c r="P19" s="48"/>
      <c r="Q19" s="48">
        <f>Q11+Q12+Q15+Q16+Q17</f>
        <v>68372</v>
      </c>
      <c r="R19" s="48"/>
      <c r="S19" s="48"/>
      <c r="T19" s="48">
        <f>T11+T12+T15+T16+T17</f>
        <v>68372</v>
      </c>
      <c r="U19" s="48">
        <f>SUM(H19:T19)</f>
        <v>201519</v>
      </c>
    </row>
    <row r="20" spans="1:21" ht="16.5">
      <c r="A20" s="411" t="s">
        <v>95</v>
      </c>
      <c r="B20" s="411"/>
      <c r="C20" s="411"/>
      <c r="D20" s="411"/>
      <c r="E20" s="411"/>
      <c r="F20" s="46"/>
      <c r="G20" s="47"/>
      <c r="H20" s="48">
        <f>H13+H14</f>
        <v>9034</v>
      </c>
      <c r="I20" s="49"/>
      <c r="J20" s="49"/>
      <c r="K20" s="48">
        <f>K13+K14</f>
        <v>9034</v>
      </c>
      <c r="L20" s="49"/>
      <c r="M20" s="49"/>
      <c r="N20" s="48">
        <f>N13+N14</f>
        <v>9034</v>
      </c>
      <c r="O20" s="48"/>
      <c r="P20" s="48"/>
      <c r="Q20" s="48">
        <f>Q13+Q14</f>
        <v>13429.3</v>
      </c>
      <c r="R20" s="48"/>
      <c r="S20" s="48"/>
      <c r="T20" s="48">
        <f>T13+T14</f>
        <v>13429.3</v>
      </c>
      <c r="U20" s="48">
        <f>H20+K20+N20+Q20+13429.3</f>
        <v>53960.600000000006</v>
      </c>
    </row>
    <row r="21" spans="1:21" ht="18.75" customHeight="1">
      <c r="A21" s="50" t="s">
        <v>34</v>
      </c>
      <c r="B21" s="448" t="s">
        <v>223</v>
      </c>
      <c r="C21" s="412"/>
      <c r="D21" s="412"/>
      <c r="E21" s="412"/>
      <c r="F21" s="412"/>
      <c r="G21" s="412"/>
      <c r="H21" s="412"/>
      <c r="I21" s="412"/>
      <c r="J21" s="412"/>
      <c r="K21" s="412"/>
      <c r="L21" s="412"/>
      <c r="M21" s="412"/>
      <c r="N21" s="412"/>
      <c r="O21" s="412"/>
      <c r="P21" s="412"/>
      <c r="Q21" s="412"/>
      <c r="R21" s="412"/>
      <c r="S21" s="412"/>
      <c r="T21" s="412"/>
      <c r="U21" s="413"/>
    </row>
    <row r="22" spans="1:21" ht="126">
      <c r="A22" s="12" t="s">
        <v>35</v>
      </c>
      <c r="B22" s="51" t="s">
        <v>291</v>
      </c>
      <c r="C22" s="5"/>
      <c r="D22" s="5" t="s">
        <v>85</v>
      </c>
      <c r="E22" s="34" t="s">
        <v>96</v>
      </c>
      <c r="F22" s="85" t="s">
        <v>385</v>
      </c>
      <c r="G22" s="85" t="s">
        <v>386</v>
      </c>
      <c r="H22" s="38">
        <f>2664</f>
        <v>2664</v>
      </c>
      <c r="I22" s="13" t="s">
        <v>143</v>
      </c>
      <c r="J22" s="11" t="s">
        <v>144</v>
      </c>
      <c r="K22" s="1">
        <f>((190*600*9)+(195*840*10))/1000</f>
        <v>2664</v>
      </c>
      <c r="L22" s="14" t="s">
        <v>143</v>
      </c>
      <c r="M22" s="11" t="s">
        <v>144</v>
      </c>
      <c r="N22" s="1">
        <f>((190*600*9)+(195*840*10))/1000</f>
        <v>2664</v>
      </c>
      <c r="O22" s="14" t="s">
        <v>143</v>
      </c>
      <c r="P22" s="11" t="s">
        <v>144</v>
      </c>
      <c r="Q22" s="1">
        <f>((190*600*9)+(195*840*10))/1000</f>
        <v>2664</v>
      </c>
      <c r="R22" s="14" t="s">
        <v>143</v>
      </c>
      <c r="S22" s="11" t="s">
        <v>144</v>
      </c>
      <c r="T22" s="1">
        <f>((190*600*9)+(195*840*10))/1000</f>
        <v>2664</v>
      </c>
      <c r="U22" s="2">
        <f>H22+K22+N22+Q22+T22</f>
        <v>13320</v>
      </c>
    </row>
    <row r="23" spans="1:21" ht="16.5">
      <c r="A23" s="414" t="s">
        <v>97</v>
      </c>
      <c r="B23" s="415"/>
      <c r="C23" s="415"/>
      <c r="D23" s="415"/>
      <c r="E23" s="415"/>
      <c r="F23" s="46"/>
      <c r="G23" s="47"/>
      <c r="H23" s="43">
        <f>SUM(H24:H24)</f>
        <v>2664</v>
      </c>
      <c r="I23" s="52"/>
      <c r="J23" s="53"/>
      <c r="K23" s="43">
        <f>SUM(K24:K24)</f>
        <v>2664</v>
      </c>
      <c r="L23" s="52"/>
      <c r="M23" s="53"/>
      <c r="N23" s="43">
        <f>SUM(N24:N24)</f>
        <v>2664</v>
      </c>
      <c r="O23" s="54"/>
      <c r="P23" s="54"/>
      <c r="Q23" s="43">
        <f>SUM(Q24:Q24)</f>
        <v>2664</v>
      </c>
      <c r="R23" s="54"/>
      <c r="S23" s="54"/>
      <c r="T23" s="43">
        <f>SUM(T24:T24)</f>
        <v>2664</v>
      </c>
      <c r="U23" s="43">
        <f>H23+K23+N23+Q23+T23</f>
        <v>13320</v>
      </c>
    </row>
    <row r="24" spans="1:21" ht="16.5">
      <c r="A24" s="411" t="s">
        <v>95</v>
      </c>
      <c r="B24" s="411"/>
      <c r="C24" s="411"/>
      <c r="D24" s="411"/>
      <c r="E24" s="411"/>
      <c r="F24" s="46"/>
      <c r="G24" s="47"/>
      <c r="H24" s="48">
        <f>SUM(,H22,)</f>
        <v>2664</v>
      </c>
      <c r="I24" s="49"/>
      <c r="J24" s="49"/>
      <c r="K24" s="48">
        <f>SUM(,K22,)</f>
        <v>2664</v>
      </c>
      <c r="L24" s="49"/>
      <c r="M24" s="49"/>
      <c r="N24" s="48">
        <f>SUM(,N22,)</f>
        <v>2664</v>
      </c>
      <c r="O24" s="48"/>
      <c r="P24" s="48"/>
      <c r="Q24" s="48">
        <f>SUM(,Q22,)</f>
        <v>2664</v>
      </c>
      <c r="R24" s="48"/>
      <c r="S24" s="48"/>
      <c r="T24" s="48">
        <f>SUM(,T22,)</f>
        <v>2664</v>
      </c>
      <c r="U24" s="54">
        <f>H24+K24+N24+Q24+T24</f>
        <v>13320</v>
      </c>
    </row>
    <row r="25" spans="1:21" ht="18.75" customHeight="1">
      <c r="A25" s="50" t="s">
        <v>36</v>
      </c>
      <c r="B25" s="448" t="s">
        <v>388</v>
      </c>
      <c r="C25" s="412"/>
      <c r="D25" s="412"/>
      <c r="E25" s="412"/>
      <c r="F25" s="412"/>
      <c r="G25" s="412"/>
      <c r="H25" s="412"/>
      <c r="I25" s="412"/>
      <c r="J25" s="412"/>
      <c r="K25" s="412"/>
      <c r="L25" s="412"/>
      <c r="M25" s="412"/>
      <c r="N25" s="412"/>
      <c r="O25" s="412"/>
      <c r="P25" s="412"/>
      <c r="Q25" s="412"/>
      <c r="R25" s="412"/>
      <c r="S25" s="412"/>
      <c r="T25" s="412"/>
      <c r="U25" s="413"/>
    </row>
    <row r="26" spans="1:21" ht="78.75">
      <c r="A26" s="12" t="s">
        <v>37</v>
      </c>
      <c r="B26" s="10" t="s">
        <v>289</v>
      </c>
      <c r="C26" s="433" t="s">
        <v>90</v>
      </c>
      <c r="D26" s="5" t="s">
        <v>85</v>
      </c>
      <c r="E26" s="37" t="s">
        <v>91</v>
      </c>
      <c r="F26" s="85" t="s">
        <v>387</v>
      </c>
      <c r="G26" s="85" t="s">
        <v>309</v>
      </c>
      <c r="H26" s="38">
        <v>681</v>
      </c>
      <c r="I26" s="11" t="s">
        <v>319</v>
      </c>
      <c r="J26" s="11" t="s">
        <v>98</v>
      </c>
      <c r="K26" s="1">
        <v>681</v>
      </c>
      <c r="L26" s="11" t="s">
        <v>319</v>
      </c>
      <c r="M26" s="11" t="s">
        <v>98</v>
      </c>
      <c r="N26" s="1">
        <v>681</v>
      </c>
      <c r="O26" s="11">
        <v>110</v>
      </c>
      <c r="P26" s="11" t="s">
        <v>98</v>
      </c>
      <c r="Q26" s="1">
        <v>660</v>
      </c>
      <c r="R26" s="11">
        <v>110</v>
      </c>
      <c r="S26" s="11" t="s">
        <v>98</v>
      </c>
      <c r="T26" s="1">
        <v>660</v>
      </c>
      <c r="U26" s="2">
        <f>H26+K26+N26+Q26+T26</f>
        <v>3363</v>
      </c>
    </row>
    <row r="27" spans="1:21" ht="102">
      <c r="A27" s="12" t="s">
        <v>312</v>
      </c>
      <c r="B27" s="10" t="s">
        <v>290</v>
      </c>
      <c r="C27" s="435"/>
      <c r="D27" s="5" t="s">
        <v>85</v>
      </c>
      <c r="E27" s="37" t="s">
        <v>100</v>
      </c>
      <c r="F27" s="85" t="s">
        <v>318</v>
      </c>
      <c r="G27" s="85" t="s">
        <v>309</v>
      </c>
      <c r="H27" s="38">
        <f>1192</f>
        <v>1192</v>
      </c>
      <c r="I27" s="84" t="s">
        <v>318</v>
      </c>
      <c r="J27" s="11" t="s">
        <v>309</v>
      </c>
      <c r="K27" s="1">
        <v>1192</v>
      </c>
      <c r="L27" s="84" t="s">
        <v>318</v>
      </c>
      <c r="M27" s="11" t="s">
        <v>309</v>
      </c>
      <c r="N27" s="1">
        <v>1192</v>
      </c>
      <c r="O27" s="13" t="s">
        <v>128</v>
      </c>
      <c r="P27" s="11" t="s">
        <v>129</v>
      </c>
      <c r="Q27" s="1">
        <v>1290</v>
      </c>
      <c r="R27" s="13" t="s">
        <v>128</v>
      </c>
      <c r="S27" s="11" t="s">
        <v>129</v>
      </c>
      <c r="T27" s="1">
        <v>1290</v>
      </c>
      <c r="U27" s="2">
        <f>H27+K27+N27+Q27+T27</f>
        <v>6156</v>
      </c>
    </row>
    <row r="28" spans="1:21" s="9" customFormat="1" ht="16.5">
      <c r="A28" s="414" t="s">
        <v>101</v>
      </c>
      <c r="B28" s="415"/>
      <c r="C28" s="415"/>
      <c r="D28" s="415"/>
      <c r="E28" s="415"/>
      <c r="F28" s="41"/>
      <c r="G28" s="42"/>
      <c r="H28" s="43">
        <f>SUM(H26:H27)</f>
        <v>1873</v>
      </c>
      <c r="I28" s="44"/>
      <c r="J28" s="45"/>
      <c r="K28" s="43">
        <f>SUM(K26:K27)</f>
        <v>1873</v>
      </c>
      <c r="L28" s="44"/>
      <c r="M28" s="45"/>
      <c r="N28" s="43">
        <f>SUM(N26:N27)</f>
        <v>1873</v>
      </c>
      <c r="O28" s="43"/>
      <c r="P28" s="43"/>
      <c r="Q28" s="43">
        <f>SUM(Q26:Q27)</f>
        <v>1950</v>
      </c>
      <c r="R28" s="43"/>
      <c r="S28" s="43"/>
      <c r="T28" s="43">
        <f>SUM(T26:T27)</f>
        <v>1950</v>
      </c>
      <c r="U28" s="43">
        <f>H28+K28+N28+Q28+T28</f>
        <v>9519</v>
      </c>
    </row>
    <row r="29" spans="1:21" ht="16.5">
      <c r="A29" s="443" t="s">
        <v>95</v>
      </c>
      <c r="B29" s="444"/>
      <c r="C29" s="444"/>
      <c r="D29" s="444"/>
      <c r="E29" s="445"/>
      <c r="F29" s="46"/>
      <c r="G29" s="47"/>
      <c r="H29" s="48">
        <f>H28</f>
        <v>1873</v>
      </c>
      <c r="I29" s="49"/>
      <c r="J29" s="49"/>
      <c r="K29" s="48">
        <f>K28</f>
        <v>1873</v>
      </c>
      <c r="L29" s="49"/>
      <c r="M29" s="49"/>
      <c r="N29" s="48">
        <f>N28</f>
        <v>1873</v>
      </c>
      <c r="O29" s="48"/>
      <c r="P29" s="48"/>
      <c r="Q29" s="48">
        <f>Q28</f>
        <v>1950</v>
      </c>
      <c r="R29" s="48"/>
      <c r="S29" s="48"/>
      <c r="T29" s="48">
        <f>T28</f>
        <v>1950</v>
      </c>
      <c r="U29" s="54">
        <f>H29+K29+N29+Q29+T29</f>
        <v>9519</v>
      </c>
    </row>
    <row r="30" spans="1:21" ht="18.75">
      <c r="A30" s="50" t="s">
        <v>38</v>
      </c>
      <c r="B30" s="432" t="s">
        <v>225</v>
      </c>
      <c r="C30" s="432"/>
      <c r="D30" s="432"/>
      <c r="E30" s="432"/>
      <c r="F30" s="432"/>
      <c r="G30" s="432"/>
      <c r="H30" s="432"/>
      <c r="I30" s="432"/>
      <c r="J30" s="432"/>
      <c r="K30" s="432"/>
      <c r="L30" s="432"/>
      <c r="M30" s="432"/>
      <c r="N30" s="432"/>
      <c r="O30" s="432"/>
      <c r="P30" s="432"/>
      <c r="Q30" s="432"/>
      <c r="R30" s="432"/>
      <c r="S30" s="432"/>
      <c r="T30" s="432"/>
      <c r="U30" s="432"/>
    </row>
    <row r="31" spans="1:21" ht="31.5" customHeight="1">
      <c r="A31" s="12" t="s">
        <v>39</v>
      </c>
      <c r="B31" s="51" t="s">
        <v>40</v>
      </c>
      <c r="C31" s="433" t="s">
        <v>90</v>
      </c>
      <c r="D31" s="417" t="s">
        <v>85</v>
      </c>
      <c r="E31" s="417" t="s">
        <v>102</v>
      </c>
      <c r="F31" s="85" t="s">
        <v>396</v>
      </c>
      <c r="G31" s="85" t="s">
        <v>33</v>
      </c>
      <c r="H31" s="38">
        <f>SUM(H32:H35)</f>
        <v>2949</v>
      </c>
      <c r="I31" s="85" t="s">
        <v>310</v>
      </c>
      <c r="J31" s="85" t="s">
        <v>33</v>
      </c>
      <c r="K31" s="38">
        <f>SUM(K32:K35)</f>
        <v>3306</v>
      </c>
      <c r="L31" s="85" t="s">
        <v>310</v>
      </c>
      <c r="M31" s="85" t="s">
        <v>33</v>
      </c>
      <c r="N31" s="38">
        <f>SUM(N32:N35)</f>
        <v>3306</v>
      </c>
      <c r="O31" s="85" t="s">
        <v>310</v>
      </c>
      <c r="P31" s="85" t="s">
        <v>33</v>
      </c>
      <c r="Q31" s="38">
        <f>SUM(Q32:Q35)</f>
        <v>3306</v>
      </c>
      <c r="R31" s="85" t="s">
        <v>310</v>
      </c>
      <c r="S31" s="85" t="s">
        <v>33</v>
      </c>
      <c r="T31" s="38">
        <f>SUM(T32:T35)</f>
        <v>3306</v>
      </c>
      <c r="U31" s="2">
        <f t="shared" ref="U31:U51" si="1">H31+K31+N31+Q31+T31</f>
        <v>16173</v>
      </c>
    </row>
    <row r="32" spans="1:21" ht="63">
      <c r="A32" s="15" t="s">
        <v>41</v>
      </c>
      <c r="B32" s="10" t="s">
        <v>295</v>
      </c>
      <c r="C32" s="434"/>
      <c r="D32" s="436"/>
      <c r="E32" s="436"/>
      <c r="F32" s="85" t="s">
        <v>389</v>
      </c>
      <c r="G32" s="85" t="s">
        <v>390</v>
      </c>
      <c r="H32" s="38">
        <f>124</f>
        <v>124</v>
      </c>
      <c r="I32" s="11" t="s">
        <v>268</v>
      </c>
      <c r="J32" s="11" t="s">
        <v>130</v>
      </c>
      <c r="K32" s="1">
        <v>124</v>
      </c>
      <c r="L32" s="11" t="s">
        <v>268</v>
      </c>
      <c r="M32" s="11" t="s">
        <v>103</v>
      </c>
      <c r="N32" s="1">
        <v>124</v>
      </c>
      <c r="O32" s="11" t="s">
        <v>268</v>
      </c>
      <c r="P32" s="11" t="s">
        <v>103</v>
      </c>
      <c r="Q32" s="1">
        <v>124</v>
      </c>
      <c r="R32" s="11" t="s">
        <v>268</v>
      </c>
      <c r="S32" s="11" t="s">
        <v>103</v>
      </c>
      <c r="T32" s="1">
        <v>124</v>
      </c>
      <c r="U32" s="2">
        <f t="shared" si="1"/>
        <v>620</v>
      </c>
    </row>
    <row r="33" spans="1:21" ht="165.75">
      <c r="A33" s="15" t="s">
        <v>42</v>
      </c>
      <c r="B33" s="10" t="s">
        <v>43</v>
      </c>
      <c r="C33" s="434"/>
      <c r="D33" s="436"/>
      <c r="E33" s="436"/>
      <c r="F33" s="39" t="s">
        <v>391</v>
      </c>
      <c r="G33" s="11" t="s">
        <v>265</v>
      </c>
      <c r="H33" s="40">
        <f>2147-357</f>
        <v>1790</v>
      </c>
      <c r="I33" s="11" t="s">
        <v>269</v>
      </c>
      <c r="J33" s="11" t="s">
        <v>265</v>
      </c>
      <c r="K33" s="1">
        <v>2147</v>
      </c>
      <c r="L33" s="11" t="s">
        <v>269</v>
      </c>
      <c r="M33" s="11" t="s">
        <v>265</v>
      </c>
      <c r="N33" s="1">
        <v>2147</v>
      </c>
      <c r="O33" s="11" t="s">
        <v>269</v>
      </c>
      <c r="P33" s="11" t="s">
        <v>265</v>
      </c>
      <c r="Q33" s="1">
        <v>2147</v>
      </c>
      <c r="R33" s="11" t="s">
        <v>269</v>
      </c>
      <c r="S33" s="11" t="s">
        <v>265</v>
      </c>
      <c r="T33" s="1">
        <v>2147</v>
      </c>
      <c r="U33" s="2">
        <f>H33+K33+N33+Q33+T33</f>
        <v>10378</v>
      </c>
    </row>
    <row r="34" spans="1:21" ht="31.5">
      <c r="A34" s="15" t="s">
        <v>44</v>
      </c>
      <c r="B34" s="10" t="s">
        <v>45</v>
      </c>
      <c r="C34" s="434"/>
      <c r="D34" s="436"/>
      <c r="E34" s="436"/>
      <c r="F34" s="11" t="s">
        <v>145</v>
      </c>
      <c r="G34" s="85" t="s">
        <v>393</v>
      </c>
      <c r="H34" s="38">
        <f>921</f>
        <v>921</v>
      </c>
      <c r="I34" s="11" t="s">
        <v>145</v>
      </c>
      <c r="J34" s="11" t="s">
        <v>119</v>
      </c>
      <c r="K34" s="1">
        <v>921</v>
      </c>
      <c r="L34" s="11" t="s">
        <v>145</v>
      </c>
      <c r="M34" s="11" t="s">
        <v>119</v>
      </c>
      <c r="N34" s="1">
        <v>921</v>
      </c>
      <c r="O34" s="11" t="s">
        <v>145</v>
      </c>
      <c r="P34" s="11" t="s">
        <v>119</v>
      </c>
      <c r="Q34" s="1">
        <v>921</v>
      </c>
      <c r="R34" s="11" t="s">
        <v>145</v>
      </c>
      <c r="S34" s="11" t="s">
        <v>119</v>
      </c>
      <c r="T34" s="1">
        <v>921</v>
      </c>
      <c r="U34" s="2">
        <f t="shared" si="1"/>
        <v>4605</v>
      </c>
    </row>
    <row r="35" spans="1:21" ht="31.5">
      <c r="A35" s="15" t="s">
        <v>46</v>
      </c>
      <c r="B35" s="10" t="s">
        <v>47</v>
      </c>
      <c r="C35" s="435"/>
      <c r="D35" s="437"/>
      <c r="E35" s="437"/>
      <c r="F35" s="85" t="s">
        <v>179</v>
      </c>
      <c r="G35" s="85" t="s">
        <v>394</v>
      </c>
      <c r="H35" s="38">
        <f>114</f>
        <v>114</v>
      </c>
      <c r="I35" s="11" t="s">
        <v>179</v>
      </c>
      <c r="J35" s="11" t="s">
        <v>180</v>
      </c>
      <c r="K35" s="1">
        <v>114</v>
      </c>
      <c r="L35" s="11" t="s">
        <v>179</v>
      </c>
      <c r="M35" s="11" t="s">
        <v>180</v>
      </c>
      <c r="N35" s="1">
        <v>114</v>
      </c>
      <c r="O35" s="11" t="s">
        <v>179</v>
      </c>
      <c r="P35" s="11" t="s">
        <v>180</v>
      </c>
      <c r="Q35" s="1">
        <v>114</v>
      </c>
      <c r="R35" s="11" t="s">
        <v>179</v>
      </c>
      <c r="S35" s="11" t="s">
        <v>180</v>
      </c>
      <c r="T35" s="1">
        <v>114</v>
      </c>
      <c r="U35" s="2">
        <f t="shared" si="1"/>
        <v>570</v>
      </c>
    </row>
    <row r="36" spans="1:21" ht="220.5">
      <c r="A36" s="12" t="s">
        <v>48</v>
      </c>
      <c r="B36" s="10" t="s">
        <v>49</v>
      </c>
      <c r="C36" s="106" t="s">
        <v>90</v>
      </c>
      <c r="D36" s="5" t="s">
        <v>85</v>
      </c>
      <c r="E36" s="5" t="s">
        <v>91</v>
      </c>
      <c r="F36" s="11" t="s">
        <v>104</v>
      </c>
      <c r="G36" s="11" t="s">
        <v>105</v>
      </c>
      <c r="H36" s="1">
        <v>9</v>
      </c>
      <c r="I36" s="11" t="s">
        <v>104</v>
      </c>
      <c r="J36" s="11" t="s">
        <v>105</v>
      </c>
      <c r="K36" s="1">
        <v>9</v>
      </c>
      <c r="L36" s="11" t="s">
        <v>104</v>
      </c>
      <c r="M36" s="11" t="s">
        <v>105</v>
      </c>
      <c r="N36" s="1">
        <v>9</v>
      </c>
      <c r="O36" s="11" t="s">
        <v>104</v>
      </c>
      <c r="P36" s="11" t="s">
        <v>105</v>
      </c>
      <c r="Q36" s="1">
        <v>9</v>
      </c>
      <c r="R36" s="11" t="s">
        <v>104</v>
      </c>
      <c r="S36" s="11" t="s">
        <v>105</v>
      </c>
      <c r="T36" s="1">
        <v>9</v>
      </c>
      <c r="U36" s="2">
        <f t="shared" si="1"/>
        <v>45</v>
      </c>
    </row>
    <row r="37" spans="1:21" ht="63">
      <c r="A37" s="12" t="s">
        <v>50</v>
      </c>
      <c r="B37" s="10" t="s">
        <v>51</v>
      </c>
      <c r="C37" s="107" t="s">
        <v>90</v>
      </c>
      <c r="D37" s="5" t="s">
        <v>85</v>
      </c>
      <c r="E37" s="5" t="s">
        <v>91</v>
      </c>
      <c r="F37" s="85" t="s">
        <v>147</v>
      </c>
      <c r="G37" s="85" t="s">
        <v>381</v>
      </c>
      <c r="H37" s="38">
        <f>426</f>
        <v>426</v>
      </c>
      <c r="I37" s="11" t="s">
        <v>147</v>
      </c>
      <c r="J37" s="11" t="s">
        <v>148</v>
      </c>
      <c r="K37" s="1">
        <v>426</v>
      </c>
      <c r="L37" s="11" t="s">
        <v>147</v>
      </c>
      <c r="M37" s="11" t="s">
        <v>148</v>
      </c>
      <c r="N37" s="1">
        <v>426</v>
      </c>
      <c r="O37" s="11" t="s">
        <v>147</v>
      </c>
      <c r="P37" s="11" t="s">
        <v>148</v>
      </c>
      <c r="Q37" s="1">
        <v>426</v>
      </c>
      <c r="R37" s="11" t="s">
        <v>147</v>
      </c>
      <c r="S37" s="11" t="s">
        <v>148</v>
      </c>
      <c r="T37" s="1">
        <v>426</v>
      </c>
      <c r="U37" s="2">
        <f t="shared" si="1"/>
        <v>2130</v>
      </c>
    </row>
    <row r="38" spans="1:21" ht="66.75" customHeight="1">
      <c r="A38" s="12" t="s">
        <v>52</v>
      </c>
      <c r="B38" s="10" t="s">
        <v>201</v>
      </c>
      <c r="C38" s="438" t="s">
        <v>191</v>
      </c>
      <c r="D38" s="5" t="s">
        <v>85</v>
      </c>
      <c r="E38" s="5" t="s">
        <v>106</v>
      </c>
      <c r="F38" s="11" t="s">
        <v>317</v>
      </c>
      <c r="G38" s="11" t="s">
        <v>107</v>
      </c>
      <c r="H38" s="1">
        <v>3304</v>
      </c>
      <c r="I38" s="11" t="s">
        <v>317</v>
      </c>
      <c r="J38" s="11" t="s">
        <v>107</v>
      </c>
      <c r="K38" s="1">
        <v>3304</v>
      </c>
      <c r="L38" s="11" t="s">
        <v>317</v>
      </c>
      <c r="M38" s="11" t="s">
        <v>107</v>
      </c>
      <c r="N38" s="1">
        <v>3304</v>
      </c>
      <c r="O38" s="11" t="s">
        <v>317</v>
      </c>
      <c r="P38" s="11" t="s">
        <v>107</v>
      </c>
      <c r="Q38" s="1">
        <v>3304</v>
      </c>
      <c r="R38" s="11" t="s">
        <v>317</v>
      </c>
      <c r="S38" s="11" t="s">
        <v>107</v>
      </c>
      <c r="T38" s="1">
        <v>3304</v>
      </c>
      <c r="U38" s="2">
        <f t="shared" si="1"/>
        <v>16520</v>
      </c>
    </row>
    <row r="39" spans="1:21" ht="110.25">
      <c r="A39" s="12" t="s">
        <v>53</v>
      </c>
      <c r="B39" s="10" t="s">
        <v>296</v>
      </c>
      <c r="C39" s="438"/>
      <c r="D39" s="5" t="s">
        <v>85</v>
      </c>
      <c r="E39" s="5" t="s">
        <v>108</v>
      </c>
      <c r="F39" s="11" t="s">
        <v>137</v>
      </c>
      <c r="G39" s="11" t="s">
        <v>109</v>
      </c>
      <c r="H39" s="1">
        <v>378</v>
      </c>
      <c r="I39" s="11" t="s">
        <v>137</v>
      </c>
      <c r="J39" s="11" t="s">
        <v>109</v>
      </c>
      <c r="K39" s="1">
        <v>378</v>
      </c>
      <c r="L39" s="11" t="s">
        <v>137</v>
      </c>
      <c r="M39" s="11" t="s">
        <v>109</v>
      </c>
      <c r="N39" s="1">
        <v>378</v>
      </c>
      <c r="O39" s="11" t="s">
        <v>137</v>
      </c>
      <c r="P39" s="11" t="s">
        <v>109</v>
      </c>
      <c r="Q39" s="1">
        <v>378</v>
      </c>
      <c r="R39" s="11" t="s">
        <v>137</v>
      </c>
      <c r="S39" s="11" t="s">
        <v>109</v>
      </c>
      <c r="T39" s="1">
        <v>378</v>
      </c>
      <c r="U39" s="2">
        <f t="shared" si="1"/>
        <v>1890</v>
      </c>
    </row>
    <row r="40" spans="1:21" ht="126">
      <c r="A40" s="12" t="s">
        <v>54</v>
      </c>
      <c r="B40" s="10" t="s">
        <v>297</v>
      </c>
      <c r="C40" s="107" t="s">
        <v>90</v>
      </c>
      <c r="D40" s="5" t="s">
        <v>85</v>
      </c>
      <c r="E40" s="5" t="s">
        <v>91</v>
      </c>
      <c r="F40" s="11" t="s">
        <v>146</v>
      </c>
      <c r="G40" s="11" t="s">
        <v>110</v>
      </c>
      <c r="H40" s="1">
        <v>12</v>
      </c>
      <c r="I40" s="11" t="s">
        <v>146</v>
      </c>
      <c r="J40" s="11" t="s">
        <v>110</v>
      </c>
      <c r="K40" s="1">
        <v>12</v>
      </c>
      <c r="L40" s="11" t="s">
        <v>146</v>
      </c>
      <c r="M40" s="11" t="s">
        <v>110</v>
      </c>
      <c r="N40" s="1">
        <v>12</v>
      </c>
      <c r="O40" s="11" t="s">
        <v>146</v>
      </c>
      <c r="P40" s="11" t="s">
        <v>110</v>
      </c>
      <c r="Q40" s="1">
        <v>12</v>
      </c>
      <c r="R40" s="11" t="s">
        <v>146</v>
      </c>
      <c r="S40" s="11" t="s">
        <v>110</v>
      </c>
      <c r="T40" s="1">
        <v>12</v>
      </c>
      <c r="U40" s="2">
        <f t="shared" si="1"/>
        <v>60</v>
      </c>
    </row>
    <row r="41" spans="1:21" ht="47.25" customHeight="1">
      <c r="A41" s="12" t="s">
        <v>55</v>
      </c>
      <c r="B41" s="10" t="s">
        <v>202</v>
      </c>
      <c r="C41" s="433" t="s">
        <v>191</v>
      </c>
      <c r="D41" s="5" t="s">
        <v>85</v>
      </c>
      <c r="E41" s="5" t="s">
        <v>102</v>
      </c>
      <c r="F41" s="11" t="s">
        <v>104</v>
      </c>
      <c r="G41" s="11" t="s">
        <v>111</v>
      </c>
      <c r="H41" s="1">
        <v>50</v>
      </c>
      <c r="I41" s="11" t="s">
        <v>104</v>
      </c>
      <c r="J41" s="11" t="s">
        <v>111</v>
      </c>
      <c r="K41" s="1">
        <v>50</v>
      </c>
      <c r="L41" s="11" t="s">
        <v>104</v>
      </c>
      <c r="M41" s="11" t="s">
        <v>111</v>
      </c>
      <c r="N41" s="1">
        <v>50</v>
      </c>
      <c r="O41" s="11" t="s">
        <v>104</v>
      </c>
      <c r="P41" s="11" t="s">
        <v>111</v>
      </c>
      <c r="Q41" s="1">
        <v>50</v>
      </c>
      <c r="R41" s="11" t="s">
        <v>104</v>
      </c>
      <c r="S41" s="11" t="s">
        <v>111</v>
      </c>
      <c r="T41" s="1">
        <v>50</v>
      </c>
      <c r="U41" s="2">
        <f t="shared" si="1"/>
        <v>250</v>
      </c>
    </row>
    <row r="42" spans="1:21" ht="110.25">
      <c r="A42" s="12" t="s">
        <v>56</v>
      </c>
      <c r="B42" s="10" t="s">
        <v>195</v>
      </c>
      <c r="C42" s="439"/>
      <c r="D42" s="5" t="s">
        <v>85</v>
      </c>
      <c r="E42" s="5" t="s">
        <v>102</v>
      </c>
      <c r="F42" s="11" t="s">
        <v>104</v>
      </c>
      <c r="G42" s="11" t="s">
        <v>138</v>
      </c>
      <c r="H42" s="1">
        <v>50</v>
      </c>
      <c r="I42" s="11" t="s">
        <v>104</v>
      </c>
      <c r="J42" s="11" t="s">
        <v>138</v>
      </c>
      <c r="K42" s="1">
        <v>50</v>
      </c>
      <c r="L42" s="11" t="s">
        <v>104</v>
      </c>
      <c r="M42" s="11" t="s">
        <v>138</v>
      </c>
      <c r="N42" s="1">
        <v>50</v>
      </c>
      <c r="O42" s="11" t="s">
        <v>104</v>
      </c>
      <c r="P42" s="11" t="s">
        <v>138</v>
      </c>
      <c r="Q42" s="1">
        <v>50</v>
      </c>
      <c r="R42" s="11" t="s">
        <v>104</v>
      </c>
      <c r="S42" s="11" t="s">
        <v>138</v>
      </c>
      <c r="T42" s="1">
        <v>50</v>
      </c>
      <c r="U42" s="2">
        <f t="shared" si="1"/>
        <v>250</v>
      </c>
    </row>
    <row r="43" spans="1:21" ht="141.75">
      <c r="A43" s="12" t="s">
        <v>57</v>
      </c>
      <c r="B43" s="10" t="s">
        <v>196</v>
      </c>
      <c r="C43" s="439"/>
      <c r="D43" s="5" t="s">
        <v>85</v>
      </c>
      <c r="E43" s="5" t="s">
        <v>91</v>
      </c>
      <c r="F43" s="39" t="s">
        <v>330</v>
      </c>
      <c r="G43" s="39" t="s">
        <v>331</v>
      </c>
      <c r="H43" s="40">
        <f>480+330</f>
        <v>810</v>
      </c>
      <c r="I43" s="11" t="s">
        <v>266</v>
      </c>
      <c r="J43" s="11" t="s">
        <v>112</v>
      </c>
      <c r="K43" s="1">
        <v>480</v>
      </c>
      <c r="L43" s="11" t="s">
        <v>266</v>
      </c>
      <c r="M43" s="11" t="s">
        <v>112</v>
      </c>
      <c r="N43" s="1">
        <v>480</v>
      </c>
      <c r="O43" s="11" t="s">
        <v>266</v>
      </c>
      <c r="P43" s="11" t="s">
        <v>112</v>
      </c>
      <c r="Q43" s="1">
        <v>480</v>
      </c>
      <c r="R43" s="11" t="s">
        <v>266</v>
      </c>
      <c r="S43" s="11" t="s">
        <v>112</v>
      </c>
      <c r="T43" s="1">
        <v>480</v>
      </c>
      <c r="U43" s="2">
        <f t="shared" si="1"/>
        <v>2730</v>
      </c>
    </row>
    <row r="44" spans="1:21" ht="173.25">
      <c r="A44" s="55" t="s">
        <v>58</v>
      </c>
      <c r="B44" s="10" t="s">
        <v>197</v>
      </c>
      <c r="C44" s="439"/>
      <c r="D44" s="5" t="s">
        <v>85</v>
      </c>
      <c r="E44" s="5" t="s">
        <v>102</v>
      </c>
      <c r="F44" s="11" t="s">
        <v>131</v>
      </c>
      <c r="G44" s="11" t="s">
        <v>112</v>
      </c>
      <c r="H44" s="1">
        <v>30</v>
      </c>
      <c r="I44" s="11" t="s">
        <v>131</v>
      </c>
      <c r="J44" s="11" t="s">
        <v>112</v>
      </c>
      <c r="K44" s="1">
        <v>30</v>
      </c>
      <c r="L44" s="11" t="s">
        <v>131</v>
      </c>
      <c r="M44" s="11" t="s">
        <v>112</v>
      </c>
      <c r="N44" s="1">
        <v>30</v>
      </c>
      <c r="O44" s="11" t="s">
        <v>131</v>
      </c>
      <c r="P44" s="11" t="s">
        <v>112</v>
      </c>
      <c r="Q44" s="1">
        <v>30</v>
      </c>
      <c r="R44" s="11" t="s">
        <v>131</v>
      </c>
      <c r="S44" s="11" t="s">
        <v>112</v>
      </c>
      <c r="T44" s="1">
        <v>30</v>
      </c>
      <c r="U44" s="2">
        <f t="shared" si="1"/>
        <v>150</v>
      </c>
    </row>
    <row r="45" spans="1:21" ht="94.5">
      <c r="A45" s="16" t="s">
        <v>59</v>
      </c>
      <c r="B45" s="10" t="s">
        <v>198</v>
      </c>
      <c r="C45" s="440"/>
      <c r="D45" s="5" t="s">
        <v>85</v>
      </c>
      <c r="E45" s="5" t="s">
        <v>102</v>
      </c>
      <c r="F45" s="11">
        <v>1</v>
      </c>
      <c r="G45" s="11" t="s">
        <v>138</v>
      </c>
      <c r="H45" s="1">
        <v>50</v>
      </c>
      <c r="I45" s="11">
        <v>1</v>
      </c>
      <c r="J45" s="11" t="s">
        <v>138</v>
      </c>
      <c r="K45" s="1">
        <v>50</v>
      </c>
      <c r="L45" s="11">
        <v>1</v>
      </c>
      <c r="M45" s="11" t="s">
        <v>138</v>
      </c>
      <c r="N45" s="1">
        <v>50</v>
      </c>
      <c r="O45" s="11">
        <v>1</v>
      </c>
      <c r="P45" s="11" t="s">
        <v>138</v>
      </c>
      <c r="Q45" s="1">
        <v>50</v>
      </c>
      <c r="R45" s="11">
        <v>1</v>
      </c>
      <c r="S45" s="11" t="s">
        <v>138</v>
      </c>
      <c r="T45" s="1">
        <v>50</v>
      </c>
      <c r="U45" s="2">
        <f t="shared" si="1"/>
        <v>250</v>
      </c>
    </row>
    <row r="46" spans="1:21" ht="94.5">
      <c r="A46" s="16" t="s">
        <v>60</v>
      </c>
      <c r="B46" s="10" t="s">
        <v>61</v>
      </c>
      <c r="C46" s="107" t="s">
        <v>90</v>
      </c>
      <c r="D46" s="5" t="s">
        <v>85</v>
      </c>
      <c r="E46" s="5" t="s">
        <v>91</v>
      </c>
      <c r="F46" s="85" t="s">
        <v>395</v>
      </c>
      <c r="G46" s="85" t="s">
        <v>270</v>
      </c>
      <c r="H46" s="38">
        <f>96</f>
        <v>96</v>
      </c>
      <c r="I46" s="11" t="s">
        <v>121</v>
      </c>
      <c r="J46" s="11" t="s">
        <v>270</v>
      </c>
      <c r="K46" s="1">
        <v>96</v>
      </c>
      <c r="L46" s="11" t="s">
        <v>121</v>
      </c>
      <c r="M46" s="11" t="s">
        <v>270</v>
      </c>
      <c r="N46" s="1">
        <v>96</v>
      </c>
      <c r="O46" s="11" t="s">
        <v>121</v>
      </c>
      <c r="P46" s="11" t="s">
        <v>270</v>
      </c>
      <c r="Q46" s="1">
        <v>96</v>
      </c>
      <c r="R46" s="11" t="s">
        <v>121</v>
      </c>
      <c r="S46" s="11" t="s">
        <v>270</v>
      </c>
      <c r="T46" s="1">
        <v>96</v>
      </c>
      <c r="U46" s="2">
        <f t="shared" si="1"/>
        <v>480</v>
      </c>
    </row>
    <row r="47" spans="1:21" ht="141.75">
      <c r="A47" s="16" t="s">
        <v>62</v>
      </c>
      <c r="B47" s="10" t="s">
        <v>234</v>
      </c>
      <c r="C47" s="107" t="s">
        <v>90</v>
      </c>
      <c r="D47" s="5" t="s">
        <v>113</v>
      </c>
      <c r="E47" s="5" t="s">
        <v>102</v>
      </c>
      <c r="F47" s="85" t="s">
        <v>327</v>
      </c>
      <c r="G47" s="85" t="s">
        <v>298</v>
      </c>
      <c r="H47" s="38">
        <f>515*55</f>
        <v>28325</v>
      </c>
      <c r="I47" s="11" t="s">
        <v>299</v>
      </c>
      <c r="J47" s="11" t="s">
        <v>149</v>
      </c>
      <c r="K47" s="1">
        <v>1848</v>
      </c>
      <c r="L47" s="11" t="s">
        <v>299</v>
      </c>
      <c r="M47" s="11" t="s">
        <v>149</v>
      </c>
      <c r="N47" s="1">
        <v>1848</v>
      </c>
      <c r="O47" s="11" t="s">
        <v>275</v>
      </c>
      <c r="P47" s="11" t="s">
        <v>149</v>
      </c>
      <c r="Q47" s="1">
        <v>2321</v>
      </c>
      <c r="R47" s="11" t="s">
        <v>275</v>
      </c>
      <c r="S47" s="11" t="s">
        <v>149</v>
      </c>
      <c r="T47" s="1">
        <v>2321</v>
      </c>
      <c r="U47" s="2">
        <f t="shared" si="1"/>
        <v>36663</v>
      </c>
    </row>
    <row r="48" spans="1:21" ht="63">
      <c r="A48" s="12" t="s">
        <v>163</v>
      </c>
      <c r="B48" s="33" t="s">
        <v>122</v>
      </c>
      <c r="C48" s="109" t="s">
        <v>99</v>
      </c>
      <c r="D48" s="5" t="s">
        <v>85</v>
      </c>
      <c r="E48" s="5" t="s">
        <v>5</v>
      </c>
      <c r="F48" s="39" t="s">
        <v>382</v>
      </c>
      <c r="G48" s="189" t="s">
        <v>383</v>
      </c>
      <c r="H48" s="40">
        <f>387-2.2</f>
        <v>384.8</v>
      </c>
      <c r="I48" s="85" t="s">
        <v>300</v>
      </c>
      <c r="J48" s="87" t="s">
        <v>125</v>
      </c>
      <c r="K48" s="38">
        <v>387</v>
      </c>
      <c r="L48" s="14" t="s">
        <v>301</v>
      </c>
      <c r="M48" s="56" t="s">
        <v>151</v>
      </c>
      <c r="N48" s="38">
        <v>387</v>
      </c>
      <c r="O48" s="14" t="s">
        <v>150</v>
      </c>
      <c r="P48" s="56" t="s">
        <v>151</v>
      </c>
      <c r="Q48" s="38">
        <v>386</v>
      </c>
      <c r="R48" s="14" t="s">
        <v>150</v>
      </c>
      <c r="S48" s="56" t="s">
        <v>151</v>
      </c>
      <c r="T48" s="38">
        <v>386</v>
      </c>
      <c r="U48" s="2">
        <f t="shared" si="1"/>
        <v>1930.8</v>
      </c>
    </row>
    <row r="49" spans="1:21" s="9" customFormat="1" ht="16.5">
      <c r="A49" s="414" t="s">
        <v>114</v>
      </c>
      <c r="B49" s="415"/>
      <c r="C49" s="415"/>
      <c r="D49" s="415"/>
      <c r="E49" s="415"/>
      <c r="F49" s="41"/>
      <c r="G49" s="42"/>
      <c r="H49" s="43">
        <f>H50+H51</f>
        <v>36873.800000000003</v>
      </c>
      <c r="I49" s="44"/>
      <c r="J49" s="45"/>
      <c r="K49" s="43">
        <f>K50+K51</f>
        <v>10426</v>
      </c>
      <c r="L49" s="44"/>
      <c r="M49" s="45"/>
      <c r="N49" s="43">
        <f>N50+N51</f>
        <v>10426</v>
      </c>
      <c r="O49" s="43"/>
      <c r="P49" s="43"/>
      <c r="Q49" s="43">
        <f>Q50+Q51</f>
        <v>10898</v>
      </c>
      <c r="R49" s="43"/>
      <c r="S49" s="43"/>
      <c r="T49" s="43">
        <f>T50+T51</f>
        <v>10898</v>
      </c>
      <c r="U49" s="43">
        <f t="shared" si="1"/>
        <v>79521.8</v>
      </c>
    </row>
    <row r="50" spans="1:21" s="9" customFormat="1" ht="16.5">
      <c r="A50" s="441" t="s">
        <v>6</v>
      </c>
      <c r="B50" s="442"/>
      <c r="C50" s="108"/>
      <c r="D50" s="108"/>
      <c r="E50" s="108"/>
      <c r="F50" s="41"/>
      <c r="G50" s="42"/>
      <c r="H50" s="54">
        <f>H48</f>
        <v>384.8</v>
      </c>
      <c r="I50" s="52"/>
      <c r="J50" s="53"/>
      <c r="K50" s="54">
        <f>K48</f>
        <v>387</v>
      </c>
      <c r="L50" s="52"/>
      <c r="M50" s="53"/>
      <c r="N50" s="54">
        <f>N48</f>
        <v>387</v>
      </c>
      <c r="O50" s="54"/>
      <c r="P50" s="54"/>
      <c r="Q50" s="54">
        <f>Q48</f>
        <v>386</v>
      </c>
      <c r="R50" s="43"/>
      <c r="S50" s="43"/>
      <c r="T50" s="54">
        <f>T48</f>
        <v>386</v>
      </c>
      <c r="U50" s="54">
        <f t="shared" si="1"/>
        <v>1930.8</v>
      </c>
    </row>
    <row r="51" spans="1:21" ht="16.5">
      <c r="A51" s="411" t="s">
        <v>95</v>
      </c>
      <c r="B51" s="411"/>
      <c r="C51" s="411"/>
      <c r="D51" s="411"/>
      <c r="E51" s="411"/>
      <c r="F51" s="46"/>
      <c r="G51" s="47"/>
      <c r="H51" s="48">
        <f>H31+H36+H37+H38+H39+H40+H41+H42+H43+H44+H45+H46+H47</f>
        <v>36489</v>
      </c>
      <c r="I51" s="49"/>
      <c r="J51" s="49"/>
      <c r="K51" s="48">
        <f>K31+K36+K37+K38+K39+K40+K41+K42+K43+K44+K45+K46+K47</f>
        <v>10039</v>
      </c>
      <c r="L51" s="49"/>
      <c r="M51" s="49"/>
      <c r="N51" s="48">
        <f>N31+N36+N37+N38+N39+N40+N41+N42+N43+N44+N45+N46+N47</f>
        <v>10039</v>
      </c>
      <c r="O51" s="48"/>
      <c r="P51" s="48"/>
      <c r="Q51" s="48">
        <f>Q31+Q36+Q37+Q38+Q39+Q40+Q41+Q42+Q43+Q44+Q45+Q46+Q47</f>
        <v>10512</v>
      </c>
      <c r="R51" s="48"/>
      <c r="S51" s="48"/>
      <c r="T51" s="48">
        <f>T31+T36+T37+T38+T39+T40+T41+T42+T43+T44+T45+T46+T47</f>
        <v>10512</v>
      </c>
      <c r="U51" s="54">
        <f t="shared" si="1"/>
        <v>77591</v>
      </c>
    </row>
    <row r="52" spans="1:21" ht="18.75" customHeight="1">
      <c r="A52" s="50" t="s">
        <v>63</v>
      </c>
      <c r="B52" s="431" t="s">
        <v>226</v>
      </c>
      <c r="C52" s="431"/>
      <c r="D52" s="431"/>
      <c r="E52" s="431"/>
      <c r="F52" s="431"/>
      <c r="G52" s="431"/>
      <c r="H52" s="431"/>
      <c r="I52" s="431"/>
      <c r="J52" s="431"/>
      <c r="K52" s="431"/>
      <c r="L52" s="431"/>
      <c r="M52" s="431"/>
      <c r="N52" s="431"/>
      <c r="O52" s="431"/>
      <c r="P52" s="431"/>
      <c r="Q52" s="431"/>
      <c r="R52" s="431"/>
      <c r="S52" s="431"/>
      <c r="T52" s="431"/>
      <c r="U52" s="431"/>
    </row>
    <row r="53" spans="1:21" ht="127.5">
      <c r="A53" s="88" t="s">
        <v>64</v>
      </c>
      <c r="B53" s="89" t="s">
        <v>220</v>
      </c>
      <c r="C53" s="109" t="s">
        <v>192</v>
      </c>
      <c r="D53" s="111" t="s">
        <v>85</v>
      </c>
      <c r="E53" s="111" t="s">
        <v>91</v>
      </c>
      <c r="F53" s="190">
        <v>75</v>
      </c>
      <c r="G53" s="190" t="s">
        <v>332</v>
      </c>
      <c r="H53" s="191">
        <v>1248</v>
      </c>
      <c r="I53" s="190">
        <v>75</v>
      </c>
      <c r="J53" s="190" t="s">
        <v>332</v>
      </c>
      <c r="K53" s="191">
        <v>1248</v>
      </c>
      <c r="L53" s="190">
        <v>75</v>
      </c>
      <c r="M53" s="190" t="s">
        <v>332</v>
      </c>
      <c r="N53" s="191">
        <v>1248</v>
      </c>
      <c r="O53" s="190">
        <v>75</v>
      </c>
      <c r="P53" s="190" t="s">
        <v>332</v>
      </c>
      <c r="Q53" s="191">
        <v>1248</v>
      </c>
      <c r="R53" s="190">
        <v>75</v>
      </c>
      <c r="S53" s="190" t="s">
        <v>332</v>
      </c>
      <c r="T53" s="191">
        <v>1248</v>
      </c>
      <c r="U53" s="99">
        <f>H53+K53+N53+Q53+T53</f>
        <v>6240</v>
      </c>
    </row>
    <row r="54" spans="1:21" s="9" customFormat="1" ht="16.5">
      <c r="A54" s="414" t="s">
        <v>0</v>
      </c>
      <c r="B54" s="415"/>
      <c r="C54" s="415"/>
      <c r="D54" s="415"/>
      <c r="E54" s="415"/>
      <c r="F54" s="41"/>
      <c r="G54" s="42"/>
      <c r="H54" s="43">
        <f>H53</f>
        <v>1248</v>
      </c>
      <c r="I54" s="44"/>
      <c r="J54" s="45"/>
      <c r="K54" s="43">
        <f>K53</f>
        <v>1248</v>
      </c>
      <c r="L54" s="44"/>
      <c r="M54" s="45"/>
      <c r="N54" s="43">
        <f>N53</f>
        <v>1248</v>
      </c>
      <c r="O54" s="43"/>
      <c r="P54" s="43"/>
      <c r="Q54" s="43">
        <f>Q53</f>
        <v>1248</v>
      </c>
      <c r="R54" s="43"/>
      <c r="S54" s="43"/>
      <c r="T54" s="43">
        <f>T53</f>
        <v>1248</v>
      </c>
      <c r="U54" s="43">
        <f>H54+K54+N54+Q54+T54</f>
        <v>6240</v>
      </c>
    </row>
    <row r="55" spans="1:21" ht="16.5">
      <c r="A55" s="411" t="s">
        <v>95</v>
      </c>
      <c r="B55" s="411"/>
      <c r="C55" s="411"/>
      <c r="D55" s="411"/>
      <c r="E55" s="411"/>
      <c r="F55" s="46"/>
      <c r="G55" s="47"/>
      <c r="H55" s="48">
        <f>H54</f>
        <v>1248</v>
      </c>
      <c r="I55" s="49"/>
      <c r="J55" s="49"/>
      <c r="K55" s="48">
        <f>K54</f>
        <v>1248</v>
      </c>
      <c r="L55" s="49"/>
      <c r="M55" s="49"/>
      <c r="N55" s="48">
        <f>N54</f>
        <v>1248</v>
      </c>
      <c r="O55" s="48"/>
      <c r="P55" s="48"/>
      <c r="Q55" s="48">
        <f>Q54</f>
        <v>1248</v>
      </c>
      <c r="R55" s="48"/>
      <c r="S55" s="48"/>
      <c r="T55" s="48">
        <f>T53</f>
        <v>1248</v>
      </c>
      <c r="U55" s="54">
        <f>H55+K55+N55+Q55+T55</f>
        <v>6240</v>
      </c>
    </row>
    <row r="56" spans="1:21" ht="18.75">
      <c r="A56" s="57" t="s">
        <v>65</v>
      </c>
      <c r="B56" s="428" t="s">
        <v>227</v>
      </c>
      <c r="C56" s="429"/>
      <c r="D56" s="429"/>
      <c r="E56" s="429"/>
      <c r="F56" s="429"/>
      <c r="G56" s="429"/>
      <c r="H56" s="429"/>
      <c r="I56" s="429"/>
      <c r="J56" s="429"/>
      <c r="K56" s="429"/>
      <c r="L56" s="429"/>
      <c r="M56" s="429"/>
      <c r="N56" s="429"/>
      <c r="O56" s="429"/>
      <c r="P56" s="429"/>
      <c r="Q56" s="429"/>
      <c r="R56" s="429"/>
      <c r="S56" s="429"/>
      <c r="T56" s="429"/>
      <c r="U56" s="430"/>
    </row>
    <row r="57" spans="1:21" ht="102">
      <c r="A57" s="12" t="s">
        <v>66</v>
      </c>
      <c r="B57" s="10" t="s">
        <v>203</v>
      </c>
      <c r="C57" s="109" t="s">
        <v>90</v>
      </c>
      <c r="D57" s="5" t="s">
        <v>85</v>
      </c>
      <c r="E57" s="5" t="s">
        <v>1</v>
      </c>
      <c r="F57" s="85" t="s">
        <v>124</v>
      </c>
      <c r="G57" s="85" t="s">
        <v>123</v>
      </c>
      <c r="H57" s="38">
        <f>700</f>
        <v>700</v>
      </c>
      <c r="I57" s="11" t="s">
        <v>124</v>
      </c>
      <c r="J57" s="11" t="s">
        <v>123</v>
      </c>
      <c r="K57" s="1">
        <v>700</v>
      </c>
      <c r="L57" s="11" t="s">
        <v>124</v>
      </c>
      <c r="M57" s="11" t="s">
        <v>123</v>
      </c>
      <c r="N57" s="1">
        <v>700</v>
      </c>
      <c r="O57" s="11" t="s">
        <v>124</v>
      </c>
      <c r="P57" s="11" t="s">
        <v>123</v>
      </c>
      <c r="Q57" s="1">
        <v>700</v>
      </c>
      <c r="R57" s="11" t="s">
        <v>124</v>
      </c>
      <c r="S57" s="11" t="s">
        <v>123</v>
      </c>
      <c r="T57" s="1">
        <v>700</v>
      </c>
      <c r="U57" s="2">
        <f>H57+K57+N57+Q57+T57</f>
        <v>3500</v>
      </c>
    </row>
    <row r="58" spans="1:21" s="9" customFormat="1" ht="16.5">
      <c r="A58" s="414" t="s">
        <v>2</v>
      </c>
      <c r="B58" s="415"/>
      <c r="C58" s="415"/>
      <c r="D58" s="415"/>
      <c r="E58" s="415"/>
      <c r="F58" s="41"/>
      <c r="G58" s="42"/>
      <c r="H58" s="43">
        <f>SUM(H59:H59)</f>
        <v>700</v>
      </c>
      <c r="I58" s="44"/>
      <c r="J58" s="45"/>
      <c r="K58" s="43">
        <f>SUM(K59:K59)</f>
        <v>700</v>
      </c>
      <c r="L58" s="44"/>
      <c r="M58" s="45"/>
      <c r="N58" s="43">
        <f>SUM(N59:N59)</f>
        <v>700</v>
      </c>
      <c r="O58" s="43"/>
      <c r="P58" s="43"/>
      <c r="Q58" s="43">
        <f>SUM(Q59:Q59)</f>
        <v>700</v>
      </c>
      <c r="R58" s="43"/>
      <c r="S58" s="43"/>
      <c r="T58" s="43">
        <f>SUM(T59:T59)</f>
        <v>700</v>
      </c>
      <c r="U58" s="43">
        <f>H58+K58+N58+Q58+T58</f>
        <v>3500</v>
      </c>
    </row>
    <row r="59" spans="1:21" ht="16.5">
      <c r="A59" s="411" t="s">
        <v>95</v>
      </c>
      <c r="B59" s="411"/>
      <c r="C59" s="411"/>
      <c r="D59" s="411"/>
      <c r="E59" s="411"/>
      <c r="F59" s="46"/>
      <c r="G59" s="47"/>
      <c r="H59" s="48">
        <f>SUM(H57:H57)</f>
        <v>700</v>
      </c>
      <c r="I59" s="49"/>
      <c r="J59" s="49"/>
      <c r="K59" s="48">
        <f>SUM(K57:K57)</f>
        <v>700</v>
      </c>
      <c r="L59" s="49"/>
      <c r="M59" s="49"/>
      <c r="N59" s="48">
        <f>SUM(N57:N57)</f>
        <v>700</v>
      </c>
      <c r="O59" s="48"/>
      <c r="P59" s="48"/>
      <c r="Q59" s="48">
        <f>SUM(Q57:Q57)</f>
        <v>700</v>
      </c>
      <c r="R59" s="48"/>
      <c r="S59" s="48"/>
      <c r="T59" s="48">
        <f>SUM(T57:T57)</f>
        <v>700</v>
      </c>
      <c r="U59" s="54">
        <f>H59+K59+N59+Q59+T59</f>
        <v>3500</v>
      </c>
    </row>
    <row r="60" spans="1:21" ht="18.75" customHeight="1">
      <c r="A60" s="57" t="s">
        <v>67</v>
      </c>
      <c r="B60" s="431" t="s">
        <v>228</v>
      </c>
      <c r="C60" s="431"/>
      <c r="D60" s="431"/>
      <c r="E60" s="431"/>
      <c r="F60" s="431"/>
      <c r="G60" s="431"/>
      <c r="H60" s="431"/>
      <c r="I60" s="431"/>
      <c r="J60" s="431"/>
      <c r="K60" s="431"/>
      <c r="L60" s="431"/>
      <c r="M60" s="431"/>
      <c r="N60" s="431"/>
      <c r="O60" s="431"/>
      <c r="P60" s="431"/>
      <c r="Q60" s="431"/>
      <c r="R60" s="431"/>
      <c r="S60" s="431"/>
      <c r="T60" s="431"/>
      <c r="U60" s="431"/>
    </row>
    <row r="61" spans="1:21" ht="76.5">
      <c r="A61" s="12" t="s">
        <v>68</v>
      </c>
      <c r="B61" s="10" t="s">
        <v>204</v>
      </c>
      <c r="C61" s="5" t="s">
        <v>90</v>
      </c>
      <c r="D61" s="5" t="s">
        <v>85</v>
      </c>
      <c r="E61" s="5" t="s">
        <v>91</v>
      </c>
      <c r="F61" s="39" t="s">
        <v>333</v>
      </c>
      <c r="G61" s="39" t="s">
        <v>152</v>
      </c>
      <c r="H61" s="40">
        <f>1656-207</f>
        <v>1449</v>
      </c>
      <c r="I61" s="11" t="s">
        <v>120</v>
      </c>
      <c r="J61" s="11" t="s">
        <v>152</v>
      </c>
      <c r="K61" s="1">
        <v>1656</v>
      </c>
      <c r="L61" s="13" t="s">
        <v>153</v>
      </c>
      <c r="M61" s="11" t="s">
        <v>152</v>
      </c>
      <c r="N61" s="1">
        <v>1656</v>
      </c>
      <c r="O61" s="13" t="s">
        <v>153</v>
      </c>
      <c r="P61" s="11" t="s">
        <v>152</v>
      </c>
      <c r="Q61" s="1">
        <v>1656</v>
      </c>
      <c r="R61" s="13" t="s">
        <v>153</v>
      </c>
      <c r="S61" s="11" t="s">
        <v>152</v>
      </c>
      <c r="T61" s="1">
        <v>1656</v>
      </c>
      <c r="U61" s="2">
        <f>H61+K61+N61+Q61+T61</f>
        <v>8073</v>
      </c>
    </row>
    <row r="62" spans="1:21" ht="114.75">
      <c r="A62" s="12" t="s">
        <v>69</v>
      </c>
      <c r="B62" s="10" t="s">
        <v>235</v>
      </c>
      <c r="C62" s="5" t="s">
        <v>99</v>
      </c>
      <c r="D62" s="5" t="s">
        <v>85</v>
      </c>
      <c r="E62" s="5" t="s">
        <v>3</v>
      </c>
      <c r="F62" s="39" t="s">
        <v>397</v>
      </c>
      <c r="G62" s="39" t="s">
        <v>302</v>
      </c>
      <c r="H62" s="40">
        <f>86-31</f>
        <v>55</v>
      </c>
      <c r="I62" s="11" t="s">
        <v>116</v>
      </c>
      <c r="J62" s="11" t="s">
        <v>302</v>
      </c>
      <c r="K62" s="1">
        <v>86</v>
      </c>
      <c r="L62" s="11" t="s">
        <v>116</v>
      </c>
      <c r="M62" s="11" t="s">
        <v>302</v>
      </c>
      <c r="N62" s="1">
        <v>86</v>
      </c>
      <c r="O62" s="11" t="s">
        <v>116</v>
      </c>
      <c r="P62" s="11" t="s">
        <v>117</v>
      </c>
      <c r="Q62" s="1">
        <v>86</v>
      </c>
      <c r="R62" s="11" t="s">
        <v>116</v>
      </c>
      <c r="S62" s="11" t="s">
        <v>117</v>
      </c>
      <c r="T62" s="1">
        <v>86</v>
      </c>
      <c r="U62" s="2">
        <f>H62+K62+N62+Q62+T62</f>
        <v>399</v>
      </c>
    </row>
    <row r="63" spans="1:21" s="9" customFormat="1" ht="16.5">
      <c r="A63" s="414" t="s">
        <v>4</v>
      </c>
      <c r="B63" s="415"/>
      <c r="C63" s="415"/>
      <c r="D63" s="415"/>
      <c r="E63" s="415"/>
      <c r="F63" s="41"/>
      <c r="G63" s="42"/>
      <c r="H63" s="43">
        <f>SUM(H64:H65)</f>
        <v>1504</v>
      </c>
      <c r="I63" s="44"/>
      <c r="J63" s="45"/>
      <c r="K63" s="43">
        <f>SUM(K64:K65)</f>
        <v>1742</v>
      </c>
      <c r="L63" s="44"/>
      <c r="M63" s="45"/>
      <c r="N63" s="43">
        <f>SUM(N64:N65)</f>
        <v>1742</v>
      </c>
      <c r="O63" s="43"/>
      <c r="P63" s="43"/>
      <c r="Q63" s="43">
        <f>Q61+Q62</f>
        <v>1742</v>
      </c>
      <c r="R63" s="43"/>
      <c r="S63" s="43"/>
      <c r="T63" s="43">
        <f>SUM(T64:T65)</f>
        <v>1742</v>
      </c>
      <c r="U63" s="43">
        <f>H63+K63+N63+Q63+T63</f>
        <v>8472</v>
      </c>
    </row>
    <row r="64" spans="1:21" ht="16.5">
      <c r="A64" s="411" t="s">
        <v>95</v>
      </c>
      <c r="B64" s="411"/>
      <c r="C64" s="411"/>
      <c r="D64" s="411"/>
      <c r="E64" s="411"/>
      <c r="F64" s="46"/>
      <c r="G64" s="47"/>
      <c r="H64" s="48">
        <f>SUM(H61,)</f>
        <v>1449</v>
      </c>
      <c r="I64" s="49"/>
      <c r="J64" s="49"/>
      <c r="K64" s="48">
        <f>SUM(K61,)</f>
        <v>1656</v>
      </c>
      <c r="L64" s="49"/>
      <c r="M64" s="49"/>
      <c r="N64" s="48">
        <f>SUM(N61,)</f>
        <v>1656</v>
      </c>
      <c r="O64" s="48"/>
      <c r="P64" s="48"/>
      <c r="Q64" s="48">
        <f>SUM(Q61,)</f>
        <v>1656</v>
      </c>
      <c r="R64" s="48"/>
      <c r="S64" s="48"/>
      <c r="T64" s="48">
        <f>SUM(T61,)</f>
        <v>1656</v>
      </c>
      <c r="U64" s="54">
        <f>H64+K64+N64+Q64+T64</f>
        <v>8073</v>
      </c>
    </row>
    <row r="65" spans="1:23" ht="16.5">
      <c r="A65" s="411" t="s">
        <v>6</v>
      </c>
      <c r="B65" s="411"/>
      <c r="C65" s="411"/>
      <c r="D65" s="411"/>
      <c r="E65" s="411"/>
      <c r="F65" s="46"/>
      <c r="G65" s="47"/>
      <c r="H65" s="48">
        <f>H62</f>
        <v>55</v>
      </c>
      <c r="I65" s="49"/>
      <c r="J65" s="49"/>
      <c r="K65" s="48">
        <f>K62</f>
        <v>86</v>
      </c>
      <c r="L65" s="49"/>
      <c r="M65" s="49"/>
      <c r="N65" s="48">
        <f>N62</f>
        <v>86</v>
      </c>
      <c r="O65" s="48"/>
      <c r="P65" s="48"/>
      <c r="Q65" s="48">
        <f>Q62</f>
        <v>86</v>
      </c>
      <c r="R65" s="48"/>
      <c r="S65" s="48"/>
      <c r="T65" s="48">
        <f>T62</f>
        <v>86</v>
      </c>
      <c r="U65" s="54">
        <f>H65+K65+N65+Q65+T65</f>
        <v>399</v>
      </c>
    </row>
    <row r="66" spans="1:23" ht="18.75">
      <c r="A66" s="58" t="s">
        <v>181</v>
      </c>
      <c r="B66" s="401" t="s">
        <v>229</v>
      </c>
      <c r="C66" s="402"/>
      <c r="D66" s="402"/>
      <c r="E66" s="402"/>
      <c r="F66" s="402"/>
      <c r="G66" s="402"/>
      <c r="H66" s="402"/>
      <c r="I66" s="402"/>
      <c r="J66" s="402"/>
      <c r="K66" s="402"/>
      <c r="L66" s="402"/>
      <c r="M66" s="402"/>
      <c r="N66" s="402"/>
      <c r="O66" s="402"/>
      <c r="P66" s="402"/>
      <c r="Q66" s="402"/>
      <c r="R66" s="402"/>
      <c r="S66" s="402"/>
      <c r="T66" s="402"/>
      <c r="U66" s="402"/>
    </row>
    <row r="67" spans="1:23" ht="108" customHeight="1">
      <c r="A67" s="17" t="s">
        <v>182</v>
      </c>
      <c r="B67" s="59" t="s">
        <v>193</v>
      </c>
      <c r="C67" s="109" t="s">
        <v>8</v>
      </c>
      <c r="D67" s="107" t="s">
        <v>85</v>
      </c>
      <c r="E67" s="2" t="s">
        <v>91</v>
      </c>
      <c r="F67" s="39" t="s">
        <v>158</v>
      </c>
      <c r="G67" s="39" t="s">
        <v>334</v>
      </c>
      <c r="H67" s="121">
        <f>409+357</f>
        <v>766</v>
      </c>
      <c r="I67" s="39" t="s">
        <v>158</v>
      </c>
      <c r="J67" s="11" t="s">
        <v>217</v>
      </c>
      <c r="K67" s="3">
        <v>409</v>
      </c>
      <c r="L67" s="11" t="s">
        <v>158</v>
      </c>
      <c r="M67" s="11" t="s">
        <v>217</v>
      </c>
      <c r="N67" s="3">
        <v>409</v>
      </c>
      <c r="O67" s="11" t="s">
        <v>158</v>
      </c>
      <c r="P67" s="11" t="s">
        <v>217</v>
      </c>
      <c r="Q67" s="3">
        <v>510</v>
      </c>
      <c r="R67" s="11" t="s">
        <v>158</v>
      </c>
      <c r="S67" s="11" t="s">
        <v>217</v>
      </c>
      <c r="T67" s="3">
        <v>510</v>
      </c>
      <c r="U67" s="2">
        <f>H67+K67+N67+Q67+T67</f>
        <v>2604</v>
      </c>
      <c r="V67" s="7" t="s">
        <v>219</v>
      </c>
      <c r="W67" s="7" t="s">
        <v>218</v>
      </c>
    </row>
    <row r="68" spans="1:23" s="9" customFormat="1" ht="29.25" customHeight="1">
      <c r="A68" s="414" t="s">
        <v>7</v>
      </c>
      <c r="B68" s="415"/>
      <c r="C68" s="415"/>
      <c r="D68" s="415"/>
      <c r="E68" s="415"/>
      <c r="F68" s="41"/>
      <c r="G68" s="42"/>
      <c r="H68" s="43">
        <f>SUM(H69:H69)</f>
        <v>766</v>
      </c>
      <c r="I68" s="44"/>
      <c r="J68" s="45"/>
      <c r="K68" s="43">
        <f>SUM(K69:K69)</f>
        <v>409</v>
      </c>
      <c r="L68" s="44"/>
      <c r="M68" s="45"/>
      <c r="N68" s="43">
        <f>SUM(N69:N69)</f>
        <v>409</v>
      </c>
      <c r="O68" s="43"/>
      <c r="P68" s="43"/>
      <c r="Q68" s="43">
        <f>SUM(Q69:Q69)</f>
        <v>510</v>
      </c>
      <c r="R68" s="43"/>
      <c r="S68" s="43"/>
      <c r="T68" s="43">
        <f>SUM(T69:T69)</f>
        <v>510</v>
      </c>
      <c r="U68" s="43">
        <f>H68+K68+N68+Q68+T68</f>
        <v>2604</v>
      </c>
    </row>
    <row r="69" spans="1:23" ht="30" customHeight="1">
      <c r="A69" s="411" t="s">
        <v>95</v>
      </c>
      <c r="B69" s="411"/>
      <c r="C69" s="411"/>
      <c r="D69" s="411"/>
      <c r="E69" s="411"/>
      <c r="F69" s="46"/>
      <c r="G69" s="47"/>
      <c r="H69" s="48">
        <f>SUM(H66:H67)</f>
        <v>766</v>
      </c>
      <c r="I69" s="49"/>
      <c r="J69" s="49"/>
      <c r="K69" s="48">
        <f>SUM(K66:K67)</f>
        <v>409</v>
      </c>
      <c r="L69" s="49"/>
      <c r="M69" s="49"/>
      <c r="N69" s="48">
        <f>SUM(N66:N67)</f>
        <v>409</v>
      </c>
      <c r="O69" s="48"/>
      <c r="P69" s="48"/>
      <c r="Q69" s="48">
        <f>SUM(Q66:Q67)</f>
        <v>510</v>
      </c>
      <c r="R69" s="48"/>
      <c r="S69" s="48"/>
      <c r="T69" s="48">
        <f>SUM(T66:T67)</f>
        <v>510</v>
      </c>
      <c r="U69" s="54">
        <f>H69+K69+N69+Q69+T69</f>
        <v>2604</v>
      </c>
    </row>
    <row r="70" spans="1:23" ht="26.25" customHeight="1">
      <c r="A70" s="60" t="s">
        <v>166</v>
      </c>
      <c r="B70" s="401" t="s">
        <v>230</v>
      </c>
      <c r="C70" s="412"/>
      <c r="D70" s="412"/>
      <c r="E70" s="412"/>
      <c r="F70" s="412"/>
      <c r="G70" s="412"/>
      <c r="H70" s="412"/>
      <c r="I70" s="412"/>
      <c r="J70" s="412"/>
      <c r="K70" s="412"/>
      <c r="L70" s="412"/>
      <c r="M70" s="412"/>
      <c r="N70" s="412"/>
      <c r="O70" s="412"/>
      <c r="P70" s="412"/>
      <c r="Q70" s="412"/>
      <c r="R70" s="412"/>
      <c r="S70" s="412"/>
      <c r="T70" s="412"/>
      <c r="U70" s="413"/>
    </row>
    <row r="71" spans="1:23" ht="199.5" customHeight="1">
      <c r="A71" s="12" t="s">
        <v>183</v>
      </c>
      <c r="B71" s="61" t="s">
        <v>199</v>
      </c>
      <c r="C71" s="109" t="s">
        <v>191</v>
      </c>
      <c r="D71" s="109" t="s">
        <v>85</v>
      </c>
      <c r="E71" s="5" t="s">
        <v>91</v>
      </c>
      <c r="F71" s="11" t="s">
        <v>139</v>
      </c>
      <c r="G71" s="11" t="s">
        <v>141</v>
      </c>
      <c r="H71" s="1">
        <v>27786</v>
      </c>
      <c r="I71" s="11" t="s">
        <v>139</v>
      </c>
      <c r="J71" s="11" t="s">
        <v>141</v>
      </c>
      <c r="K71" s="1">
        <v>27786</v>
      </c>
      <c r="L71" s="11" t="s">
        <v>139</v>
      </c>
      <c r="M71" s="11" t="s">
        <v>141</v>
      </c>
      <c r="N71" s="1">
        <v>27786</v>
      </c>
      <c r="O71" s="11" t="s">
        <v>140</v>
      </c>
      <c r="P71" s="11" t="s">
        <v>142</v>
      </c>
      <c r="Q71" s="1">
        <v>40120</v>
      </c>
      <c r="R71" s="11" t="s">
        <v>140</v>
      </c>
      <c r="S71" s="11" t="s">
        <v>142</v>
      </c>
      <c r="T71" s="1">
        <v>40120</v>
      </c>
      <c r="U71" s="2">
        <f>H71+K71+N71+Q71+T71</f>
        <v>163598</v>
      </c>
    </row>
    <row r="72" spans="1:23" s="9" customFormat="1" ht="25.5" customHeight="1">
      <c r="A72" s="414" t="s">
        <v>170</v>
      </c>
      <c r="B72" s="415"/>
      <c r="C72" s="415"/>
      <c r="D72" s="415"/>
      <c r="E72" s="416"/>
      <c r="F72" s="62"/>
      <c r="G72" s="62"/>
      <c r="H72" s="63">
        <f>H73</f>
        <v>27786</v>
      </c>
      <c r="I72" s="62"/>
      <c r="J72" s="62"/>
      <c r="K72" s="63">
        <f>K73</f>
        <v>27786</v>
      </c>
      <c r="L72" s="41"/>
      <c r="M72" s="42"/>
      <c r="N72" s="63">
        <f>N73</f>
        <v>27786</v>
      </c>
      <c r="O72" s="63"/>
      <c r="P72" s="63"/>
      <c r="Q72" s="63">
        <f>Q73</f>
        <v>40120</v>
      </c>
      <c r="R72" s="63"/>
      <c r="S72" s="63"/>
      <c r="T72" s="63">
        <f>T73</f>
        <v>40120</v>
      </c>
      <c r="U72" s="43">
        <f>H72+K72+N72+Q72+T72</f>
        <v>163598</v>
      </c>
    </row>
    <row r="73" spans="1:23" ht="25.5" customHeight="1">
      <c r="A73" s="411" t="s">
        <v>95</v>
      </c>
      <c r="B73" s="411"/>
      <c r="C73" s="411"/>
      <c r="D73" s="411"/>
      <c r="E73" s="411"/>
      <c r="F73" s="11"/>
      <c r="G73" s="11"/>
      <c r="H73" s="1">
        <f>H71</f>
        <v>27786</v>
      </c>
      <c r="I73" s="11"/>
      <c r="J73" s="11"/>
      <c r="K73" s="1">
        <f>K71</f>
        <v>27786</v>
      </c>
      <c r="L73" s="46"/>
      <c r="M73" s="47"/>
      <c r="N73" s="1">
        <f>N71</f>
        <v>27786</v>
      </c>
      <c r="O73" s="1"/>
      <c r="P73" s="1"/>
      <c r="Q73" s="1">
        <f>Q71</f>
        <v>40120</v>
      </c>
      <c r="R73" s="1"/>
      <c r="S73" s="1"/>
      <c r="T73" s="1">
        <f>T71</f>
        <v>40120</v>
      </c>
      <c r="U73" s="54">
        <f>H73+K73+N73+Q73+T73</f>
        <v>163598</v>
      </c>
    </row>
    <row r="74" spans="1:23" ht="25.5" customHeight="1">
      <c r="A74" s="60" t="s">
        <v>70</v>
      </c>
      <c r="B74" s="401" t="s">
        <v>231</v>
      </c>
      <c r="C74" s="412"/>
      <c r="D74" s="412"/>
      <c r="E74" s="412"/>
      <c r="F74" s="412"/>
      <c r="G74" s="412"/>
      <c r="H74" s="412"/>
      <c r="I74" s="412"/>
      <c r="J74" s="412"/>
      <c r="K74" s="412"/>
      <c r="L74" s="412"/>
      <c r="M74" s="412"/>
      <c r="N74" s="412"/>
      <c r="O74" s="412"/>
      <c r="P74" s="412"/>
      <c r="Q74" s="412"/>
      <c r="R74" s="412"/>
      <c r="S74" s="412"/>
      <c r="T74" s="412"/>
      <c r="U74" s="413"/>
    </row>
    <row r="75" spans="1:23" ht="63.75" customHeight="1">
      <c r="A75" s="16" t="s">
        <v>167</v>
      </c>
      <c r="B75" s="35" t="s">
        <v>162</v>
      </c>
      <c r="C75" s="109" t="s">
        <v>8</v>
      </c>
      <c r="D75" s="109" t="s">
        <v>85</v>
      </c>
      <c r="E75" s="109" t="s">
        <v>91</v>
      </c>
      <c r="F75" s="192" t="s">
        <v>398</v>
      </c>
      <c r="G75" s="193" t="s">
        <v>276</v>
      </c>
      <c r="H75" s="194">
        <f>6486</f>
        <v>6486</v>
      </c>
      <c r="I75" s="18" t="s">
        <v>277</v>
      </c>
      <c r="J75" s="19" t="s">
        <v>276</v>
      </c>
      <c r="K75" s="20">
        <v>6486</v>
      </c>
      <c r="L75" s="18" t="s">
        <v>277</v>
      </c>
      <c r="M75" s="19" t="s">
        <v>276</v>
      </c>
      <c r="N75" s="20">
        <v>6486</v>
      </c>
      <c r="O75" s="18" t="s">
        <v>277</v>
      </c>
      <c r="P75" s="19" t="s">
        <v>276</v>
      </c>
      <c r="Q75" s="20">
        <v>6486</v>
      </c>
      <c r="R75" s="18" t="s">
        <v>277</v>
      </c>
      <c r="S75" s="19" t="s">
        <v>276</v>
      </c>
      <c r="T75" s="20">
        <v>6486</v>
      </c>
      <c r="U75" s="2">
        <f>H75+K75+N75+Q75+T75</f>
        <v>32430</v>
      </c>
    </row>
    <row r="76" spans="1:23" ht="47.25">
      <c r="A76" s="64" t="s">
        <v>184</v>
      </c>
      <c r="B76" s="65" t="s">
        <v>77</v>
      </c>
      <c r="C76" s="5" t="s">
        <v>6</v>
      </c>
      <c r="D76" s="5" t="s">
        <v>85</v>
      </c>
      <c r="E76" s="23" t="s">
        <v>154</v>
      </c>
      <c r="F76" s="1" t="s">
        <v>126</v>
      </c>
      <c r="G76" s="2" t="s">
        <v>33</v>
      </c>
      <c r="H76" s="121">
        <f>77-2.4</f>
        <v>74.599999999999994</v>
      </c>
      <c r="I76" s="1" t="s">
        <v>126</v>
      </c>
      <c r="J76" s="2" t="s">
        <v>33</v>
      </c>
      <c r="K76" s="3">
        <v>77</v>
      </c>
      <c r="L76" s="1" t="s">
        <v>126</v>
      </c>
      <c r="M76" s="2" t="s">
        <v>33</v>
      </c>
      <c r="N76" s="3">
        <v>77</v>
      </c>
      <c r="O76" s="1" t="s">
        <v>126</v>
      </c>
      <c r="P76" s="2" t="s">
        <v>33</v>
      </c>
      <c r="Q76" s="3">
        <v>77</v>
      </c>
      <c r="R76" s="1" t="s">
        <v>126</v>
      </c>
      <c r="S76" s="2" t="s">
        <v>33</v>
      </c>
      <c r="T76" s="3">
        <v>77</v>
      </c>
      <c r="U76" s="2">
        <f>H76+K76+N76+Q76+T76</f>
        <v>382.6</v>
      </c>
    </row>
    <row r="77" spans="1:23" s="9" customFormat="1" ht="18.75" customHeight="1">
      <c r="A77" s="414" t="s">
        <v>9</v>
      </c>
      <c r="B77" s="415"/>
      <c r="C77" s="415"/>
      <c r="D77" s="415"/>
      <c r="E77" s="416"/>
      <c r="F77" s="62"/>
      <c r="G77" s="62"/>
      <c r="H77" s="63">
        <f>H78+H79</f>
        <v>6560.6</v>
      </c>
      <c r="I77" s="62"/>
      <c r="J77" s="62"/>
      <c r="K77" s="63">
        <f>K78+K79</f>
        <v>6563</v>
      </c>
      <c r="L77" s="41"/>
      <c r="M77" s="42"/>
      <c r="N77" s="63">
        <f>N78+N79</f>
        <v>6563</v>
      </c>
      <c r="O77" s="63"/>
      <c r="P77" s="63"/>
      <c r="Q77" s="63">
        <f>Q78+Q79</f>
        <v>6563</v>
      </c>
      <c r="R77" s="63"/>
      <c r="S77" s="63"/>
      <c r="T77" s="63">
        <f>T78+T79</f>
        <v>6563</v>
      </c>
      <c r="U77" s="43">
        <f>H77+K77+N77+Q77+T77</f>
        <v>32812.6</v>
      </c>
    </row>
    <row r="78" spans="1:23" ht="18.75" customHeight="1">
      <c r="A78" s="411" t="s">
        <v>6</v>
      </c>
      <c r="B78" s="411"/>
      <c r="C78" s="411"/>
      <c r="D78" s="411"/>
      <c r="E78" s="411"/>
      <c r="F78" s="11"/>
      <c r="G78" s="11"/>
      <c r="H78" s="1">
        <f>H76</f>
        <v>74.599999999999994</v>
      </c>
      <c r="I78" s="11"/>
      <c r="J78" s="11"/>
      <c r="K78" s="1">
        <f>K76</f>
        <v>77</v>
      </c>
      <c r="L78" s="46"/>
      <c r="M78" s="47"/>
      <c r="N78" s="1">
        <f>N76</f>
        <v>77</v>
      </c>
      <c r="O78" s="1"/>
      <c r="P78" s="1"/>
      <c r="Q78" s="1">
        <f>Q76</f>
        <v>77</v>
      </c>
      <c r="R78" s="1"/>
      <c r="S78" s="1"/>
      <c r="T78" s="1">
        <f>T76</f>
        <v>77</v>
      </c>
      <c r="U78" s="54">
        <f>H78+K78+N78+Q78+T78</f>
        <v>382.6</v>
      </c>
    </row>
    <row r="79" spans="1:23" ht="16.5">
      <c r="A79" s="411" t="s">
        <v>95</v>
      </c>
      <c r="B79" s="411"/>
      <c r="C79" s="411"/>
      <c r="D79" s="411"/>
      <c r="E79" s="411"/>
      <c r="F79" s="46"/>
      <c r="G79" s="47"/>
      <c r="H79" s="1">
        <f>H75</f>
        <v>6486</v>
      </c>
      <c r="I79" s="11"/>
      <c r="J79" s="11"/>
      <c r="K79" s="1">
        <f>K75</f>
        <v>6486</v>
      </c>
      <c r="L79" s="46"/>
      <c r="M79" s="47"/>
      <c r="N79" s="1">
        <f>N75</f>
        <v>6486</v>
      </c>
      <c r="O79" s="1"/>
      <c r="P79" s="1"/>
      <c r="Q79" s="1">
        <f>Q75</f>
        <v>6486</v>
      </c>
      <c r="R79" s="1"/>
      <c r="S79" s="1"/>
      <c r="T79" s="1">
        <f>T75</f>
        <v>6486</v>
      </c>
      <c r="U79" s="54">
        <f>H79+K79+N79+Q79+T79</f>
        <v>32430</v>
      </c>
    </row>
    <row r="80" spans="1:23" ht="57.75" customHeight="1">
      <c r="A80" s="66" t="s">
        <v>71</v>
      </c>
      <c r="B80" s="425" t="s">
        <v>325</v>
      </c>
      <c r="C80" s="426"/>
      <c r="D80" s="426"/>
      <c r="E80" s="426"/>
      <c r="F80" s="426"/>
      <c r="G80" s="426"/>
      <c r="H80" s="426"/>
      <c r="I80" s="426"/>
      <c r="J80" s="426"/>
      <c r="K80" s="426"/>
      <c r="L80" s="426"/>
      <c r="M80" s="426"/>
      <c r="N80" s="426"/>
      <c r="O80" s="426"/>
      <c r="P80" s="426"/>
      <c r="Q80" s="426"/>
      <c r="R80" s="426"/>
      <c r="S80" s="426"/>
      <c r="T80" s="426"/>
      <c r="U80" s="427"/>
    </row>
    <row r="81" spans="1:21" ht="110.25">
      <c r="A81" s="67" t="s">
        <v>72</v>
      </c>
      <c r="B81" s="61" t="s">
        <v>216</v>
      </c>
      <c r="C81" s="5" t="s">
        <v>305</v>
      </c>
      <c r="D81" s="65" t="s">
        <v>85</v>
      </c>
      <c r="E81" s="120" t="s">
        <v>91</v>
      </c>
      <c r="F81" s="40" t="s">
        <v>399</v>
      </c>
      <c r="G81" s="120" t="s">
        <v>118</v>
      </c>
      <c r="H81" s="121">
        <f>6183-123</f>
        <v>6060</v>
      </c>
      <c r="I81" s="1" t="s">
        <v>250</v>
      </c>
      <c r="J81" s="2" t="s">
        <v>118</v>
      </c>
      <c r="K81" s="3">
        <v>6213</v>
      </c>
      <c r="L81" s="1" t="s">
        <v>250</v>
      </c>
      <c r="M81" s="2" t="s">
        <v>118</v>
      </c>
      <c r="N81" s="3">
        <v>6213</v>
      </c>
      <c r="O81" s="1" t="s">
        <v>251</v>
      </c>
      <c r="P81" s="2" t="s">
        <v>118</v>
      </c>
      <c r="Q81" s="3">
        <v>6150</v>
      </c>
      <c r="R81" s="1" t="s">
        <v>251</v>
      </c>
      <c r="S81" s="2" t="s">
        <v>118</v>
      </c>
      <c r="T81" s="3">
        <v>6150</v>
      </c>
      <c r="U81" s="2">
        <v>30909</v>
      </c>
    </row>
    <row r="82" spans="1:21" ht="110.25">
      <c r="A82" s="67" t="s">
        <v>168</v>
      </c>
      <c r="B82" s="61" t="s">
        <v>207</v>
      </c>
      <c r="C82" s="110" t="s">
        <v>205</v>
      </c>
      <c r="D82" s="65" t="s">
        <v>85</v>
      </c>
      <c r="E82" s="2" t="s">
        <v>173</v>
      </c>
      <c r="F82" s="99" t="s">
        <v>278</v>
      </c>
      <c r="G82" s="99" t="s">
        <v>10</v>
      </c>
      <c r="H82" s="99">
        <f>785</f>
        <v>785</v>
      </c>
      <c r="I82" s="2" t="s">
        <v>278</v>
      </c>
      <c r="J82" s="2" t="s">
        <v>10</v>
      </c>
      <c r="K82" s="2">
        <v>785</v>
      </c>
      <c r="L82" s="2" t="s">
        <v>278</v>
      </c>
      <c r="M82" s="2" t="s">
        <v>10</v>
      </c>
      <c r="N82" s="2">
        <v>785</v>
      </c>
      <c r="O82" s="2" t="s">
        <v>282</v>
      </c>
      <c r="P82" s="2" t="s">
        <v>10</v>
      </c>
      <c r="Q82" s="2">
        <v>940</v>
      </c>
      <c r="R82" s="2" t="s">
        <v>287</v>
      </c>
      <c r="S82" s="2" t="s">
        <v>10</v>
      </c>
      <c r="T82" s="2">
        <v>950</v>
      </c>
      <c r="U82" s="2">
        <v>4245</v>
      </c>
    </row>
    <row r="83" spans="1:21" ht="47.25">
      <c r="A83" s="67" t="s">
        <v>185</v>
      </c>
      <c r="B83" s="61" t="s">
        <v>208</v>
      </c>
      <c r="C83" s="110"/>
      <c r="D83" s="65" t="s">
        <v>85</v>
      </c>
      <c r="E83" s="2" t="s">
        <v>173</v>
      </c>
      <c r="F83" s="99" t="s">
        <v>400</v>
      </c>
      <c r="G83" s="99" t="s">
        <v>12</v>
      </c>
      <c r="H83" s="99">
        <f>110</f>
        <v>110</v>
      </c>
      <c r="I83" s="2" t="s">
        <v>279</v>
      </c>
      <c r="J83" s="2" t="s">
        <v>12</v>
      </c>
      <c r="K83" s="2">
        <v>110</v>
      </c>
      <c r="L83" s="2" t="s">
        <v>279</v>
      </c>
      <c r="M83" s="2" t="s">
        <v>12</v>
      </c>
      <c r="N83" s="2">
        <v>110</v>
      </c>
      <c r="O83" s="2" t="s">
        <v>283</v>
      </c>
      <c r="P83" s="2" t="s">
        <v>12</v>
      </c>
      <c r="Q83" s="2">
        <v>140</v>
      </c>
      <c r="R83" s="2" t="s">
        <v>283</v>
      </c>
      <c r="S83" s="2" t="s">
        <v>12</v>
      </c>
      <c r="T83" s="2">
        <v>140</v>
      </c>
      <c r="U83" s="2">
        <v>610</v>
      </c>
    </row>
    <row r="84" spans="1:21" ht="78.75">
      <c r="A84" s="67" t="s">
        <v>212</v>
      </c>
      <c r="B84" s="61" t="s">
        <v>209</v>
      </c>
      <c r="C84" s="110"/>
      <c r="D84" s="65" t="s">
        <v>85</v>
      </c>
      <c r="E84" s="2" t="s">
        <v>173</v>
      </c>
      <c r="F84" s="99" t="s">
        <v>280</v>
      </c>
      <c r="G84" s="99" t="s">
        <v>13</v>
      </c>
      <c r="H84" s="99">
        <f>53</f>
        <v>53</v>
      </c>
      <c r="I84" s="2" t="s">
        <v>280</v>
      </c>
      <c r="J84" s="2" t="s">
        <v>13</v>
      </c>
      <c r="K84" s="2">
        <v>53</v>
      </c>
      <c r="L84" s="2" t="s">
        <v>280</v>
      </c>
      <c r="M84" s="2" t="s">
        <v>13</v>
      </c>
      <c r="N84" s="2">
        <v>53</v>
      </c>
      <c r="O84" s="2" t="s">
        <v>284</v>
      </c>
      <c r="P84" s="2" t="s">
        <v>13</v>
      </c>
      <c r="Q84" s="2">
        <v>50</v>
      </c>
      <c r="R84" s="2" t="s">
        <v>284</v>
      </c>
      <c r="S84" s="2" t="s">
        <v>13</v>
      </c>
      <c r="T84" s="2">
        <v>50</v>
      </c>
      <c r="U84" s="2">
        <v>259</v>
      </c>
    </row>
    <row r="85" spans="1:21" ht="78.75">
      <c r="A85" s="67" t="s">
        <v>213</v>
      </c>
      <c r="B85" s="61" t="s">
        <v>210</v>
      </c>
      <c r="C85" s="110"/>
      <c r="D85" s="65" t="s">
        <v>85</v>
      </c>
      <c r="E85" s="2" t="s">
        <v>173</v>
      </c>
      <c r="F85" s="99" t="s">
        <v>281</v>
      </c>
      <c r="G85" s="99" t="s">
        <v>12</v>
      </c>
      <c r="H85" s="99">
        <f>112</f>
        <v>112</v>
      </c>
      <c r="I85" s="2" t="s">
        <v>281</v>
      </c>
      <c r="J85" s="2" t="s">
        <v>12</v>
      </c>
      <c r="K85" s="2">
        <v>112</v>
      </c>
      <c r="L85" s="2" t="s">
        <v>281</v>
      </c>
      <c r="M85" s="2" t="s">
        <v>12</v>
      </c>
      <c r="N85" s="2">
        <v>112</v>
      </c>
      <c r="O85" s="2" t="s">
        <v>285</v>
      </c>
      <c r="P85" s="2" t="s">
        <v>12</v>
      </c>
      <c r="Q85" s="2">
        <v>60</v>
      </c>
      <c r="R85" s="2" t="s">
        <v>285</v>
      </c>
      <c r="S85" s="2" t="s">
        <v>12</v>
      </c>
      <c r="T85" s="2">
        <v>60</v>
      </c>
      <c r="U85" s="2">
        <v>456</v>
      </c>
    </row>
    <row r="86" spans="1:21" ht="78.75">
      <c r="A86" s="67" t="s">
        <v>214</v>
      </c>
      <c r="B86" s="61" t="s">
        <v>211</v>
      </c>
      <c r="C86" s="111"/>
      <c r="D86" s="65" t="s">
        <v>85</v>
      </c>
      <c r="E86" s="2" t="s">
        <v>173</v>
      </c>
      <c r="F86" s="2" t="s">
        <v>324</v>
      </c>
      <c r="G86" s="23" t="s">
        <v>14</v>
      </c>
      <c r="H86" s="2">
        <v>120</v>
      </c>
      <c r="I86" s="2" t="s">
        <v>286</v>
      </c>
      <c r="J86" s="23" t="s">
        <v>14</v>
      </c>
      <c r="K86" s="2">
        <v>90</v>
      </c>
      <c r="L86" s="2" t="s">
        <v>286</v>
      </c>
      <c r="M86" s="23" t="s">
        <v>14</v>
      </c>
      <c r="N86" s="2">
        <v>90</v>
      </c>
      <c r="O86" s="2" t="s">
        <v>286</v>
      </c>
      <c r="P86" s="23" t="s">
        <v>14</v>
      </c>
      <c r="Q86" s="2">
        <v>90</v>
      </c>
      <c r="R86" s="2" t="s">
        <v>286</v>
      </c>
      <c r="S86" s="23" t="s">
        <v>14</v>
      </c>
      <c r="T86" s="2">
        <v>90</v>
      </c>
      <c r="U86" s="2">
        <v>480</v>
      </c>
    </row>
    <row r="87" spans="1:21" ht="94.5">
      <c r="A87" s="67" t="s">
        <v>215</v>
      </c>
      <c r="B87" s="61" t="s">
        <v>328</v>
      </c>
      <c r="C87" s="5" t="s">
        <v>6</v>
      </c>
      <c r="D87" s="65" t="s">
        <v>132</v>
      </c>
      <c r="E87" s="2" t="s">
        <v>91</v>
      </c>
      <c r="F87" s="1" t="s">
        <v>321</v>
      </c>
      <c r="G87" s="23" t="s">
        <v>320</v>
      </c>
      <c r="H87" s="3">
        <v>23068</v>
      </c>
      <c r="I87" s="1">
        <v>0</v>
      </c>
      <c r="J87" s="2">
        <v>0</v>
      </c>
      <c r="K87" s="3">
        <v>0</v>
      </c>
      <c r="L87" s="1">
        <v>0</v>
      </c>
      <c r="M87" s="2">
        <v>0</v>
      </c>
      <c r="N87" s="3">
        <v>0</v>
      </c>
      <c r="O87" s="1">
        <v>0</v>
      </c>
      <c r="P87" s="2">
        <v>0</v>
      </c>
      <c r="Q87" s="3">
        <v>0</v>
      </c>
      <c r="R87" s="1">
        <v>0</v>
      </c>
      <c r="S87" s="2">
        <v>0</v>
      </c>
      <c r="T87" s="3">
        <v>0</v>
      </c>
      <c r="U87" s="2">
        <v>23068</v>
      </c>
    </row>
    <row r="88" spans="1:21" ht="162.75" customHeight="1">
      <c r="A88" s="67" t="s">
        <v>304</v>
      </c>
      <c r="B88" s="61" t="s">
        <v>313</v>
      </c>
      <c r="C88" s="5" t="s">
        <v>326</v>
      </c>
      <c r="D88" s="65" t="s">
        <v>306</v>
      </c>
      <c r="E88" s="2" t="s">
        <v>173</v>
      </c>
      <c r="F88" s="1" t="s">
        <v>307</v>
      </c>
      <c r="G88" s="2" t="s">
        <v>308</v>
      </c>
      <c r="H88" s="3">
        <v>238</v>
      </c>
      <c r="I88" s="1">
        <v>0</v>
      </c>
      <c r="J88" s="2">
        <v>0</v>
      </c>
      <c r="K88" s="3">
        <v>0</v>
      </c>
      <c r="L88" s="1">
        <v>0</v>
      </c>
      <c r="M88" s="2">
        <v>0</v>
      </c>
      <c r="N88" s="3">
        <v>0</v>
      </c>
      <c r="O88" s="1">
        <v>0</v>
      </c>
      <c r="P88" s="2">
        <v>0</v>
      </c>
      <c r="Q88" s="3">
        <v>0</v>
      </c>
      <c r="R88" s="1">
        <v>0</v>
      </c>
      <c r="S88" s="2">
        <v>0</v>
      </c>
      <c r="T88" s="3">
        <v>0</v>
      </c>
      <c r="U88" s="2">
        <v>238</v>
      </c>
    </row>
    <row r="89" spans="1:21" s="9" customFormat="1" ht="16.5">
      <c r="A89" s="112" t="s">
        <v>186</v>
      </c>
      <c r="B89" s="113"/>
      <c r="C89" s="113"/>
      <c r="D89" s="113"/>
      <c r="E89" s="114"/>
      <c r="F89" s="116"/>
      <c r="G89" s="116"/>
      <c r="H89" s="125">
        <f>H91+H90</f>
        <v>30546</v>
      </c>
      <c r="I89" s="116"/>
      <c r="J89" s="116"/>
      <c r="K89" s="116">
        <v>7363</v>
      </c>
      <c r="L89" s="116"/>
      <c r="M89" s="116"/>
      <c r="N89" s="116">
        <v>7363</v>
      </c>
      <c r="O89" s="116"/>
      <c r="P89" s="116"/>
      <c r="Q89" s="116">
        <v>7430</v>
      </c>
      <c r="R89" s="116"/>
      <c r="S89" s="116"/>
      <c r="T89" s="116">
        <v>7440</v>
      </c>
      <c r="U89" s="43">
        <v>60265</v>
      </c>
    </row>
    <row r="90" spans="1:21" ht="16.5">
      <c r="A90" s="91" t="s">
        <v>95</v>
      </c>
      <c r="B90" s="92"/>
      <c r="C90" s="92"/>
      <c r="D90" s="92"/>
      <c r="E90" s="93"/>
      <c r="F90" s="3"/>
      <c r="G90" s="3"/>
      <c r="H90" s="121">
        <f>H81+H82+H83+H84+H85+H86</f>
        <v>7240</v>
      </c>
      <c r="I90" s="3"/>
      <c r="J90" s="3"/>
      <c r="K90" s="3">
        <v>7363</v>
      </c>
      <c r="L90" s="3"/>
      <c r="M90" s="3"/>
      <c r="N90" s="3">
        <v>7363</v>
      </c>
      <c r="O90" s="3"/>
      <c r="P90" s="3"/>
      <c r="Q90" s="3">
        <v>7430</v>
      </c>
      <c r="R90" s="3"/>
      <c r="S90" s="3"/>
      <c r="T90" s="3">
        <v>7440</v>
      </c>
      <c r="U90" s="54">
        <v>36959</v>
      </c>
    </row>
    <row r="91" spans="1:21" ht="16.5">
      <c r="A91" s="91" t="s">
        <v>6</v>
      </c>
      <c r="B91" s="68"/>
      <c r="C91" s="68"/>
      <c r="D91" s="68"/>
      <c r="E91" s="68"/>
      <c r="F91" s="3"/>
      <c r="G91" s="3"/>
      <c r="H91" s="121">
        <v>23306</v>
      </c>
      <c r="I91" s="3"/>
      <c r="J91" s="3"/>
      <c r="K91" s="3">
        <v>0</v>
      </c>
      <c r="L91" s="3"/>
      <c r="M91" s="3"/>
      <c r="N91" s="3">
        <v>0</v>
      </c>
      <c r="O91" s="3"/>
      <c r="P91" s="3"/>
      <c r="Q91" s="3">
        <v>0</v>
      </c>
      <c r="R91" s="3"/>
      <c r="S91" s="3"/>
      <c r="T91" s="3">
        <v>0</v>
      </c>
      <c r="U91" s="54">
        <v>23306</v>
      </c>
    </row>
    <row r="92" spans="1:21" ht="18.75" customHeight="1">
      <c r="A92" s="58" t="s">
        <v>73</v>
      </c>
      <c r="B92" s="401" t="s">
        <v>232</v>
      </c>
      <c r="C92" s="402"/>
      <c r="D92" s="402"/>
      <c r="E92" s="402"/>
      <c r="F92" s="402"/>
      <c r="G92" s="402"/>
      <c r="H92" s="402"/>
      <c r="I92" s="402"/>
      <c r="J92" s="402"/>
      <c r="K92" s="402"/>
      <c r="L92" s="402"/>
      <c r="M92" s="402"/>
      <c r="N92" s="402"/>
      <c r="O92" s="402"/>
      <c r="P92" s="402"/>
      <c r="Q92" s="402"/>
      <c r="R92" s="402"/>
      <c r="S92" s="402"/>
      <c r="T92" s="402"/>
      <c r="U92" s="402"/>
    </row>
    <row r="93" spans="1:21" ht="47.25">
      <c r="A93" s="17" t="s">
        <v>74</v>
      </c>
      <c r="B93" s="59" t="s">
        <v>16</v>
      </c>
      <c r="C93" s="417" t="s">
        <v>6</v>
      </c>
      <c r="D93" s="107" t="s">
        <v>85</v>
      </c>
      <c r="E93" s="2" t="s">
        <v>33</v>
      </c>
      <c r="F93" s="3" t="s">
        <v>33</v>
      </c>
      <c r="G93" s="3" t="s">
        <v>33</v>
      </c>
      <c r="H93" s="3">
        <f>SUM(H94:H95)</f>
        <v>61.599999999999994</v>
      </c>
      <c r="I93" s="3" t="s">
        <v>127</v>
      </c>
      <c r="J93" s="2" t="s">
        <v>33</v>
      </c>
      <c r="K93" s="3">
        <f>SUM(K94:K95)</f>
        <v>68</v>
      </c>
      <c r="L93" s="3" t="s">
        <v>127</v>
      </c>
      <c r="M93" s="2" t="s">
        <v>33</v>
      </c>
      <c r="N93" s="3">
        <f>SUM(N94:N95)</f>
        <v>68</v>
      </c>
      <c r="O93" s="3" t="s">
        <v>127</v>
      </c>
      <c r="P93" s="2" t="s">
        <v>33</v>
      </c>
      <c r="Q93" s="3">
        <f>SUM(Q94:Q95)</f>
        <v>68</v>
      </c>
      <c r="R93" s="3" t="s">
        <v>127</v>
      </c>
      <c r="S93" s="2" t="s">
        <v>33</v>
      </c>
      <c r="T93" s="3">
        <f>SUM(T94:T95)</f>
        <v>68</v>
      </c>
      <c r="U93" s="2">
        <f>H93+K93+N93+Q93+T93</f>
        <v>333.6</v>
      </c>
    </row>
    <row r="94" spans="1:21" ht="47.25">
      <c r="A94" s="69" t="s">
        <v>187</v>
      </c>
      <c r="B94" s="61" t="s">
        <v>17</v>
      </c>
      <c r="C94" s="418"/>
      <c r="D94" s="107" t="s">
        <v>85</v>
      </c>
      <c r="E94" s="2" t="s">
        <v>155</v>
      </c>
      <c r="F94" s="3" t="s">
        <v>126</v>
      </c>
      <c r="G94" s="1" t="s">
        <v>33</v>
      </c>
      <c r="H94" s="40">
        <f>39-3.6</f>
        <v>35.4</v>
      </c>
      <c r="I94" s="1" t="s">
        <v>126</v>
      </c>
      <c r="J94" s="2" t="s">
        <v>33</v>
      </c>
      <c r="K94" s="3">
        <v>39</v>
      </c>
      <c r="L94" s="1" t="s">
        <v>126</v>
      </c>
      <c r="M94" s="2" t="s">
        <v>33</v>
      </c>
      <c r="N94" s="3">
        <v>39</v>
      </c>
      <c r="O94" s="1" t="s">
        <v>126</v>
      </c>
      <c r="P94" s="2" t="s">
        <v>33</v>
      </c>
      <c r="Q94" s="3">
        <v>39</v>
      </c>
      <c r="R94" s="1" t="s">
        <v>126</v>
      </c>
      <c r="S94" s="2" t="s">
        <v>33</v>
      </c>
      <c r="T94" s="3">
        <v>39</v>
      </c>
      <c r="U94" s="2">
        <f>H94+K94+N94+Q94+T94</f>
        <v>191.4</v>
      </c>
    </row>
    <row r="95" spans="1:21" ht="47.25">
      <c r="A95" s="69" t="s">
        <v>188</v>
      </c>
      <c r="B95" s="61" t="s">
        <v>18</v>
      </c>
      <c r="C95" s="418"/>
      <c r="D95" s="107" t="s">
        <v>85</v>
      </c>
      <c r="E95" s="2" t="s">
        <v>154</v>
      </c>
      <c r="F95" s="3" t="s">
        <v>126</v>
      </c>
      <c r="G95" s="1" t="s">
        <v>33</v>
      </c>
      <c r="H95" s="40">
        <f>29-2.8</f>
        <v>26.2</v>
      </c>
      <c r="I95" s="1" t="s">
        <v>126</v>
      </c>
      <c r="J95" s="2" t="s">
        <v>33</v>
      </c>
      <c r="K95" s="3">
        <v>29</v>
      </c>
      <c r="L95" s="1" t="s">
        <v>126</v>
      </c>
      <c r="M95" s="2" t="s">
        <v>33</v>
      </c>
      <c r="N95" s="3">
        <v>29</v>
      </c>
      <c r="O95" s="1" t="s">
        <v>126</v>
      </c>
      <c r="P95" s="2" t="s">
        <v>33</v>
      </c>
      <c r="Q95" s="3">
        <v>29</v>
      </c>
      <c r="R95" s="1" t="s">
        <v>126</v>
      </c>
      <c r="S95" s="2" t="s">
        <v>33</v>
      </c>
      <c r="T95" s="3">
        <v>29</v>
      </c>
      <c r="U95" s="2">
        <f>H95+K95+N95+Q95+T95</f>
        <v>142.19999999999999</v>
      </c>
    </row>
    <row r="96" spans="1:21" s="9" customFormat="1" ht="16.5">
      <c r="A96" s="419" t="s">
        <v>169</v>
      </c>
      <c r="B96" s="420"/>
      <c r="C96" s="420"/>
      <c r="D96" s="420"/>
      <c r="E96" s="421"/>
      <c r="F96" s="116"/>
      <c r="G96" s="116"/>
      <c r="H96" s="116">
        <f>H93</f>
        <v>61.599999999999994</v>
      </c>
      <c r="I96" s="116"/>
      <c r="J96" s="116"/>
      <c r="K96" s="116">
        <f>K93</f>
        <v>68</v>
      </c>
      <c r="L96" s="116"/>
      <c r="M96" s="116"/>
      <c r="N96" s="116">
        <f>N93</f>
        <v>68</v>
      </c>
      <c r="O96" s="116"/>
      <c r="P96" s="116"/>
      <c r="Q96" s="116">
        <f>Q93</f>
        <v>68</v>
      </c>
      <c r="R96" s="116"/>
      <c r="S96" s="116"/>
      <c r="T96" s="116">
        <f>T93</f>
        <v>68</v>
      </c>
      <c r="U96" s="90">
        <f>H96+K96+N96+Q96+T96</f>
        <v>333.6</v>
      </c>
    </row>
    <row r="97" spans="1:22" ht="16.5">
      <c r="A97" s="91" t="s">
        <v>6</v>
      </c>
      <c r="B97" s="68"/>
      <c r="C97" s="115"/>
      <c r="D97" s="70"/>
      <c r="E97" s="71"/>
      <c r="F97" s="3"/>
      <c r="G97" s="1"/>
      <c r="H97" s="1">
        <f>H93</f>
        <v>61.599999999999994</v>
      </c>
      <c r="I97" s="1"/>
      <c r="J97" s="2"/>
      <c r="K97" s="3">
        <f>K93</f>
        <v>68</v>
      </c>
      <c r="L97" s="1"/>
      <c r="M97" s="2"/>
      <c r="N97" s="3">
        <f>N93</f>
        <v>68</v>
      </c>
      <c r="O97" s="1"/>
      <c r="P97" s="2"/>
      <c r="Q97" s="3">
        <f>Q93</f>
        <v>68</v>
      </c>
      <c r="R97" s="1"/>
      <c r="S97" s="2"/>
      <c r="T97" s="3">
        <f>T93</f>
        <v>68</v>
      </c>
      <c r="U97" s="2">
        <f>U93</f>
        <v>333.6</v>
      </c>
    </row>
    <row r="98" spans="1:22" ht="18.75" customHeight="1">
      <c r="A98" s="58" t="s">
        <v>75</v>
      </c>
      <c r="B98" s="401" t="s">
        <v>233</v>
      </c>
      <c r="C98" s="402"/>
      <c r="D98" s="402"/>
      <c r="E98" s="402"/>
      <c r="F98" s="402"/>
      <c r="G98" s="402"/>
      <c r="H98" s="402"/>
      <c r="I98" s="402"/>
      <c r="J98" s="402"/>
      <c r="K98" s="402"/>
      <c r="L98" s="402"/>
      <c r="M98" s="402"/>
      <c r="N98" s="402"/>
      <c r="O98" s="402"/>
      <c r="P98" s="402"/>
      <c r="Q98" s="402"/>
      <c r="R98" s="402"/>
      <c r="S98" s="402"/>
      <c r="T98" s="402"/>
      <c r="U98" s="402"/>
    </row>
    <row r="99" spans="1:22" ht="47.25" customHeight="1">
      <c r="A99" s="21" t="s">
        <v>76</v>
      </c>
      <c r="B99" s="72" t="s">
        <v>294</v>
      </c>
      <c r="C99" s="422" t="s">
        <v>205</v>
      </c>
      <c r="D99" s="5" t="s">
        <v>85</v>
      </c>
      <c r="E99" s="5" t="s">
        <v>173</v>
      </c>
      <c r="F99" s="5">
        <v>0</v>
      </c>
      <c r="G99" s="5">
        <v>0</v>
      </c>
      <c r="H99" s="4">
        <v>0</v>
      </c>
      <c r="I99" s="5">
        <v>0</v>
      </c>
      <c r="J99" s="5">
        <v>0</v>
      </c>
      <c r="K99" s="4">
        <v>0</v>
      </c>
      <c r="L99" s="5">
        <v>0</v>
      </c>
      <c r="M99" s="5">
        <v>0</v>
      </c>
      <c r="N99" s="4">
        <v>0</v>
      </c>
      <c r="O99" s="5" t="s">
        <v>174</v>
      </c>
      <c r="P99" s="5" t="s">
        <v>175</v>
      </c>
      <c r="Q99" s="4">
        <f>(100*20000)/1000</f>
        <v>2000</v>
      </c>
      <c r="R99" s="5" t="s">
        <v>174</v>
      </c>
      <c r="S99" s="5" t="s">
        <v>175</v>
      </c>
      <c r="T99" s="4">
        <f>(100*20000)/1000</f>
        <v>2000</v>
      </c>
      <c r="U99" s="4">
        <f>H99+K99+N99+Q99+T99</f>
        <v>4000</v>
      </c>
    </row>
    <row r="100" spans="1:22" ht="47.25">
      <c r="A100" s="73" t="s">
        <v>288</v>
      </c>
      <c r="B100" s="72" t="s">
        <v>293</v>
      </c>
      <c r="C100" s="423"/>
      <c r="D100" s="5" t="s">
        <v>85</v>
      </c>
      <c r="E100" s="5" t="s">
        <v>173</v>
      </c>
      <c r="F100" s="5">
        <v>0</v>
      </c>
      <c r="G100" s="5">
        <v>0</v>
      </c>
      <c r="H100" s="4">
        <v>0</v>
      </c>
      <c r="I100" s="5">
        <v>0</v>
      </c>
      <c r="J100" s="5">
        <v>0</v>
      </c>
      <c r="K100" s="4">
        <v>0</v>
      </c>
      <c r="L100" s="5">
        <v>0</v>
      </c>
      <c r="M100" s="5">
        <v>0</v>
      </c>
      <c r="N100" s="4">
        <v>0</v>
      </c>
      <c r="O100" s="5" t="s">
        <v>190</v>
      </c>
      <c r="P100" s="5" t="s">
        <v>194</v>
      </c>
      <c r="Q100" s="4">
        <f>(20*500000)/1000</f>
        <v>10000</v>
      </c>
      <c r="R100" s="5" t="s">
        <v>190</v>
      </c>
      <c r="S100" s="5" t="s">
        <v>194</v>
      </c>
      <c r="T100" s="4">
        <f>(20*500000)/1000</f>
        <v>10000</v>
      </c>
      <c r="U100" s="4">
        <f>H100+K100+N100+Q100+T100</f>
        <v>20000</v>
      </c>
    </row>
    <row r="101" spans="1:22" ht="63">
      <c r="A101" s="73" t="s">
        <v>189</v>
      </c>
      <c r="B101" s="61" t="s">
        <v>206</v>
      </c>
      <c r="C101" s="424"/>
      <c r="D101" s="5" t="s">
        <v>85</v>
      </c>
      <c r="E101" s="2" t="s">
        <v>156</v>
      </c>
      <c r="F101" s="195" t="s">
        <v>11</v>
      </c>
      <c r="G101" s="38" t="s">
        <v>157</v>
      </c>
      <c r="H101" s="38">
        <f>300</f>
        <v>300</v>
      </c>
      <c r="I101" s="1" t="s">
        <v>11</v>
      </c>
      <c r="J101" s="23" t="s">
        <v>157</v>
      </c>
      <c r="K101" s="3">
        <v>300</v>
      </c>
      <c r="L101" s="1" t="s">
        <v>11</v>
      </c>
      <c r="M101" s="23" t="s">
        <v>157</v>
      </c>
      <c r="N101" s="3">
        <v>300</v>
      </c>
      <c r="O101" s="1" t="s">
        <v>11</v>
      </c>
      <c r="P101" s="23" t="s">
        <v>157</v>
      </c>
      <c r="Q101" s="3">
        <v>300</v>
      </c>
      <c r="R101" s="1" t="s">
        <v>11</v>
      </c>
      <c r="S101" s="23" t="s">
        <v>157</v>
      </c>
      <c r="T101" s="3">
        <v>300</v>
      </c>
      <c r="U101" s="2">
        <f>H101+K101+N101+Q101+T101</f>
        <v>1500</v>
      </c>
    </row>
    <row r="102" spans="1:22" s="9" customFormat="1" ht="16.5">
      <c r="A102" s="419" t="s">
        <v>15</v>
      </c>
      <c r="B102" s="420"/>
      <c r="C102" s="420"/>
      <c r="D102" s="420"/>
      <c r="E102" s="421"/>
      <c r="F102" s="116"/>
      <c r="G102" s="116"/>
      <c r="H102" s="116">
        <f>SUM(H99:H101)</f>
        <v>300</v>
      </c>
      <c r="I102" s="116"/>
      <c r="J102" s="116"/>
      <c r="K102" s="116">
        <f>SUM(K99:K101)</f>
        <v>300</v>
      </c>
      <c r="L102" s="116"/>
      <c r="M102" s="116"/>
      <c r="N102" s="116">
        <f>SUM(N99:N101)</f>
        <v>300</v>
      </c>
      <c r="O102" s="116"/>
      <c r="P102" s="116"/>
      <c r="Q102" s="116">
        <f>SUM(Q99:Q101)</f>
        <v>12300</v>
      </c>
      <c r="R102" s="116"/>
      <c r="S102" s="116"/>
      <c r="T102" s="116">
        <f>SUM(T99:T101)</f>
        <v>12300</v>
      </c>
      <c r="U102" s="90">
        <f>H102+K102+N102+Q102+T102</f>
        <v>25500</v>
      </c>
    </row>
    <row r="103" spans="1:22" s="9" customFormat="1" ht="16.5">
      <c r="A103" s="91" t="s">
        <v>95</v>
      </c>
      <c r="B103" s="92"/>
      <c r="C103" s="74"/>
      <c r="D103" s="74"/>
      <c r="E103" s="74"/>
      <c r="F103" s="116"/>
      <c r="G103" s="116"/>
      <c r="H103" s="3">
        <f>H99+H100+H101</f>
        <v>300</v>
      </c>
      <c r="I103" s="116"/>
      <c r="J103" s="116"/>
      <c r="K103" s="3">
        <f>K99+K100+K101</f>
        <v>300</v>
      </c>
      <c r="L103" s="3"/>
      <c r="M103" s="3"/>
      <c r="N103" s="3">
        <f>N99+N100+N101</f>
        <v>300</v>
      </c>
      <c r="O103" s="3"/>
      <c r="P103" s="3"/>
      <c r="Q103" s="3">
        <f>Q99+Q100+Q101</f>
        <v>12300</v>
      </c>
      <c r="R103" s="3"/>
      <c r="S103" s="3"/>
      <c r="T103" s="3">
        <f>T99+T100+T101</f>
        <v>12300</v>
      </c>
      <c r="U103" s="2"/>
    </row>
    <row r="104" spans="1:22" s="9" customFormat="1" ht="18.75" customHeight="1">
      <c r="A104" s="91" t="s">
        <v>236</v>
      </c>
      <c r="B104" s="401" t="s">
        <v>392</v>
      </c>
      <c r="C104" s="402"/>
      <c r="D104" s="402"/>
      <c r="E104" s="402"/>
      <c r="F104" s="402"/>
      <c r="G104" s="402"/>
      <c r="H104" s="402"/>
      <c r="I104" s="402"/>
      <c r="J104" s="402"/>
      <c r="K104" s="402"/>
      <c r="L104" s="402"/>
      <c r="M104" s="402"/>
      <c r="N104" s="402"/>
      <c r="O104" s="402"/>
      <c r="P104" s="402"/>
      <c r="Q104" s="402"/>
      <c r="R104" s="402"/>
      <c r="S104" s="402"/>
      <c r="T104" s="402"/>
      <c r="U104" s="402"/>
    </row>
    <row r="105" spans="1:22" s="9" customFormat="1" ht="148.5">
      <c r="A105" s="21" t="s">
        <v>237</v>
      </c>
      <c r="B105" s="75" t="s">
        <v>262</v>
      </c>
      <c r="C105" s="76" t="s">
        <v>239</v>
      </c>
      <c r="D105" s="5" t="s">
        <v>85</v>
      </c>
      <c r="E105" s="5" t="s">
        <v>91</v>
      </c>
      <c r="F105" s="11">
        <v>0</v>
      </c>
      <c r="G105" s="11">
        <v>0</v>
      </c>
      <c r="H105" s="22">
        <v>0</v>
      </c>
      <c r="I105" s="11">
        <v>0</v>
      </c>
      <c r="J105" s="11">
        <v>0</v>
      </c>
      <c r="K105" s="22">
        <v>0</v>
      </c>
      <c r="L105" s="11">
        <v>0</v>
      </c>
      <c r="M105" s="11">
        <v>0</v>
      </c>
      <c r="N105" s="22">
        <v>0</v>
      </c>
      <c r="O105" s="11" t="s">
        <v>243</v>
      </c>
      <c r="P105" s="11" t="s">
        <v>267</v>
      </c>
      <c r="Q105" s="22">
        <v>2488</v>
      </c>
      <c r="R105" s="11" t="s">
        <v>243</v>
      </c>
      <c r="S105" s="11" t="s">
        <v>267</v>
      </c>
      <c r="T105" s="22">
        <v>2488</v>
      </c>
      <c r="U105" s="23">
        <f>H105+K105+N105+Q105+T105</f>
        <v>4976</v>
      </c>
      <c r="V105" s="24"/>
    </row>
    <row r="106" spans="1:22" s="9" customFormat="1" ht="165">
      <c r="A106" s="21" t="s">
        <v>238</v>
      </c>
      <c r="B106" s="75" t="s">
        <v>263</v>
      </c>
      <c r="C106" s="6" t="s">
        <v>205</v>
      </c>
      <c r="D106" s="5" t="s">
        <v>85</v>
      </c>
      <c r="E106" s="5" t="s">
        <v>91</v>
      </c>
      <c r="F106" s="11" t="s">
        <v>303</v>
      </c>
      <c r="G106" s="11" t="s">
        <v>240</v>
      </c>
      <c r="H106" s="77">
        <v>500</v>
      </c>
      <c r="I106" s="11">
        <v>0</v>
      </c>
      <c r="J106" s="11">
        <v>0</v>
      </c>
      <c r="K106" s="77">
        <v>0</v>
      </c>
      <c r="L106" s="11">
        <v>0</v>
      </c>
      <c r="M106" s="11">
        <v>0</v>
      </c>
      <c r="N106" s="77">
        <v>0</v>
      </c>
      <c r="O106" s="11" t="s">
        <v>244</v>
      </c>
      <c r="P106" s="11" t="s">
        <v>240</v>
      </c>
      <c r="Q106" s="77">
        <f>(540*1000*12)/1000</f>
        <v>6480</v>
      </c>
      <c r="R106" s="11" t="s">
        <v>244</v>
      </c>
      <c r="S106" s="11" t="s">
        <v>240</v>
      </c>
      <c r="T106" s="77">
        <f>(540*1000*12)/1000</f>
        <v>6480</v>
      </c>
      <c r="U106" s="2">
        <f>H106+K106+N106+Q106+T106</f>
        <v>13460</v>
      </c>
    </row>
    <row r="107" spans="1:22" s="9" customFormat="1" ht="115.5">
      <c r="A107" s="21" t="s">
        <v>241</v>
      </c>
      <c r="B107" s="75" t="s">
        <v>246</v>
      </c>
      <c r="C107" s="6" t="s">
        <v>205</v>
      </c>
      <c r="D107" s="5" t="s">
        <v>85</v>
      </c>
      <c r="E107" s="5" t="s">
        <v>91</v>
      </c>
      <c r="F107" s="11" t="s">
        <v>242</v>
      </c>
      <c r="G107" s="11" t="s">
        <v>292</v>
      </c>
      <c r="H107" s="3">
        <v>2880</v>
      </c>
      <c r="I107" s="11">
        <v>0</v>
      </c>
      <c r="J107" s="11">
        <v>0</v>
      </c>
      <c r="K107" s="3">
        <v>0</v>
      </c>
      <c r="L107" s="11">
        <v>0</v>
      </c>
      <c r="M107" s="11">
        <v>0</v>
      </c>
      <c r="N107" s="3">
        <v>0</v>
      </c>
      <c r="O107" s="11" t="s">
        <v>242</v>
      </c>
      <c r="P107" s="11" t="s">
        <v>245</v>
      </c>
      <c r="Q107" s="3">
        <f>(8*60000*12)/1000</f>
        <v>5760</v>
      </c>
      <c r="R107" s="11" t="s">
        <v>242</v>
      </c>
      <c r="S107" s="11" t="s">
        <v>245</v>
      </c>
      <c r="T107" s="3">
        <f>(8*60000*12)/1000</f>
        <v>5760</v>
      </c>
      <c r="U107" s="2">
        <f>H107+K107+N107+Q107+T107</f>
        <v>14400</v>
      </c>
    </row>
    <row r="108" spans="1:22" s="9" customFormat="1" ht="16.5">
      <c r="A108" s="91" t="s">
        <v>95</v>
      </c>
      <c r="B108" s="92"/>
      <c r="C108" s="6"/>
      <c r="D108" s="5"/>
      <c r="E108" s="5"/>
      <c r="F108" s="11"/>
      <c r="G108" s="11"/>
      <c r="H108" s="3">
        <f>H105+H106+H107</f>
        <v>3380</v>
      </c>
      <c r="I108" s="11"/>
      <c r="J108" s="11"/>
      <c r="K108" s="3">
        <f>K105+K106+K107</f>
        <v>0</v>
      </c>
      <c r="L108" s="11"/>
      <c r="M108" s="11"/>
      <c r="N108" s="3">
        <f>N105+N106+N107</f>
        <v>0</v>
      </c>
      <c r="O108" s="11"/>
      <c r="P108" s="11"/>
      <c r="Q108" s="3">
        <f>SUM(Q105:Q107)</f>
        <v>14728</v>
      </c>
      <c r="R108" s="11"/>
      <c r="S108" s="11"/>
      <c r="T108" s="3">
        <f>T105+T106+T107</f>
        <v>14728</v>
      </c>
      <c r="U108" s="2">
        <f>U105+U106+U107</f>
        <v>32836</v>
      </c>
    </row>
    <row r="109" spans="1:22" s="9" customFormat="1" ht="18.75" customHeight="1">
      <c r="A109" s="91">
        <v>15</v>
      </c>
      <c r="B109" s="401" t="s">
        <v>248</v>
      </c>
      <c r="C109" s="402"/>
      <c r="D109" s="402"/>
      <c r="E109" s="402"/>
      <c r="F109" s="402"/>
      <c r="G109" s="402"/>
      <c r="H109" s="402"/>
      <c r="I109" s="402"/>
      <c r="J109" s="402"/>
      <c r="K109" s="402"/>
      <c r="L109" s="402"/>
      <c r="M109" s="402"/>
      <c r="N109" s="402"/>
      <c r="O109" s="402"/>
      <c r="P109" s="402"/>
      <c r="Q109" s="402"/>
      <c r="R109" s="402"/>
      <c r="S109" s="402"/>
      <c r="T109" s="402"/>
      <c r="U109" s="402"/>
    </row>
    <row r="110" spans="1:22" s="104" customFormat="1" ht="66">
      <c r="A110" s="101" t="s">
        <v>253</v>
      </c>
      <c r="B110" s="75" t="s">
        <v>249</v>
      </c>
      <c r="C110" s="75" t="s">
        <v>84</v>
      </c>
      <c r="D110" s="37" t="s">
        <v>85</v>
      </c>
      <c r="E110" s="37" t="s">
        <v>254</v>
      </c>
      <c r="F110" s="102">
        <v>0</v>
      </c>
      <c r="G110" s="102">
        <v>0</v>
      </c>
      <c r="H110" s="102">
        <v>0</v>
      </c>
      <c r="I110" s="102">
        <v>0</v>
      </c>
      <c r="J110" s="102">
        <v>0</v>
      </c>
      <c r="K110" s="102">
        <v>0</v>
      </c>
      <c r="L110" s="102">
        <v>0</v>
      </c>
      <c r="M110" s="102">
        <v>0</v>
      </c>
      <c r="N110" s="102">
        <v>0</v>
      </c>
      <c r="O110" s="102" t="s">
        <v>311</v>
      </c>
      <c r="P110" s="102" t="s">
        <v>252</v>
      </c>
      <c r="Q110" s="102">
        <v>3942</v>
      </c>
      <c r="R110" s="102" t="s">
        <v>311</v>
      </c>
      <c r="S110" s="102" t="s">
        <v>252</v>
      </c>
      <c r="T110" s="102">
        <v>3942</v>
      </c>
      <c r="U110" s="103">
        <f>H110+K110+N110+Q110+T110</f>
        <v>7884</v>
      </c>
    </row>
    <row r="111" spans="1:22" ht="20.25">
      <c r="A111" s="403" t="s">
        <v>19</v>
      </c>
      <c r="B111" s="404"/>
      <c r="C111" s="404"/>
      <c r="D111" s="404"/>
      <c r="E111" s="404"/>
      <c r="F111" s="405">
        <f>SUM(F112:H114)</f>
        <v>188072</v>
      </c>
      <c r="G111" s="406"/>
      <c r="H111" s="407"/>
      <c r="I111" s="408">
        <f>SUM(I112:K114)</f>
        <v>70176</v>
      </c>
      <c r="J111" s="409"/>
      <c r="K111" s="410"/>
      <c r="L111" s="408">
        <f>SUM(L112:N114)</f>
        <v>70176</v>
      </c>
      <c r="M111" s="409"/>
      <c r="N111" s="410"/>
      <c r="O111" s="408">
        <f>O112+O113+O114</f>
        <v>186664.3</v>
      </c>
      <c r="P111" s="409"/>
      <c r="Q111" s="410"/>
      <c r="R111" s="408">
        <f>R112+R113+R114</f>
        <v>186674.3</v>
      </c>
      <c r="S111" s="409"/>
      <c r="T111" s="410"/>
      <c r="U111" s="78">
        <f>SUM(U112:U114)</f>
        <v>701762.6</v>
      </c>
    </row>
    <row r="112" spans="1:22" ht="18.75">
      <c r="A112" s="400" t="s">
        <v>164</v>
      </c>
      <c r="B112" s="400"/>
      <c r="C112" s="400"/>
      <c r="D112" s="400"/>
      <c r="E112" s="400"/>
      <c r="F112" s="399">
        <f>H48+H65+H76+H87+H88+H97</f>
        <v>23882</v>
      </c>
      <c r="G112" s="399"/>
      <c r="H112" s="399"/>
      <c r="I112" s="399">
        <f>K50+K65+K78+K97</f>
        <v>618</v>
      </c>
      <c r="J112" s="399"/>
      <c r="K112" s="399"/>
      <c r="L112" s="399">
        <f>N50+N65+N78+N97</f>
        <v>618</v>
      </c>
      <c r="M112" s="399"/>
      <c r="N112" s="399"/>
      <c r="O112" s="399">
        <f>Q50+Q65+Q78+Q97</f>
        <v>617</v>
      </c>
      <c r="P112" s="399"/>
      <c r="Q112" s="399"/>
      <c r="R112" s="399">
        <f>T50+T65+T78+T97</f>
        <v>617</v>
      </c>
      <c r="S112" s="399"/>
      <c r="T112" s="399"/>
      <c r="U112" s="79">
        <f>F112+I112+L112+O112+R112</f>
        <v>26352</v>
      </c>
    </row>
    <row r="113" spans="1:21" ht="18.75">
      <c r="A113" s="400" t="s">
        <v>20</v>
      </c>
      <c r="B113" s="400"/>
      <c r="C113" s="400"/>
      <c r="D113" s="400"/>
      <c r="E113" s="400"/>
      <c r="F113" s="399">
        <f>H20+H24+H29+H51+H55+H59+H64+H69+H73+H79+H90+H103+H108</f>
        <v>99415</v>
      </c>
      <c r="G113" s="399"/>
      <c r="H113" s="399"/>
      <c r="I113" s="399">
        <f>K20+K24+K29+K51+K55+K59+K64+K69+K73+K79+K90+K103+K108</f>
        <v>69558</v>
      </c>
      <c r="J113" s="399"/>
      <c r="K113" s="399"/>
      <c r="L113" s="399">
        <f>N20+N24+N29+N51+N55+N59+N64+N69+N73+N79+N90+N103+N108</f>
        <v>69558</v>
      </c>
      <c r="M113" s="399"/>
      <c r="N113" s="399"/>
      <c r="O113" s="399">
        <f>Q20+Q24+Q29+Q51+Q55+Q59+Q64+Q69+Q73+Q79+Q90+Q103+Q108</f>
        <v>113733.3</v>
      </c>
      <c r="P113" s="399"/>
      <c r="Q113" s="399"/>
      <c r="R113" s="399">
        <f>T20+T24+T29+T51+T55+T59+T64+T69+T73+T79+T90+T103+T108</f>
        <v>113743.3</v>
      </c>
      <c r="S113" s="399"/>
      <c r="T113" s="399"/>
      <c r="U113" s="79">
        <f>F113+I113+L113+O113+R113</f>
        <v>466007.6</v>
      </c>
    </row>
    <row r="114" spans="1:21" ht="18.75">
      <c r="A114" s="396" t="s">
        <v>21</v>
      </c>
      <c r="B114" s="397"/>
      <c r="C114" s="397"/>
      <c r="D114" s="397"/>
      <c r="E114" s="398"/>
      <c r="F114" s="399">
        <f>H19+H110</f>
        <v>64775</v>
      </c>
      <c r="G114" s="399"/>
      <c r="H114" s="399"/>
      <c r="I114" s="399">
        <f>K19+K110</f>
        <v>0</v>
      </c>
      <c r="J114" s="399"/>
      <c r="K114" s="399"/>
      <c r="L114" s="399">
        <f>N19+N110</f>
        <v>0</v>
      </c>
      <c r="M114" s="399"/>
      <c r="N114" s="399"/>
      <c r="O114" s="399">
        <f>Q19+Q110</f>
        <v>72314</v>
      </c>
      <c r="P114" s="399"/>
      <c r="Q114" s="399"/>
      <c r="R114" s="399">
        <f>T19+T110</f>
        <v>72314</v>
      </c>
      <c r="S114" s="399"/>
      <c r="T114" s="399"/>
      <c r="U114" s="79">
        <f>F114+O114+R114</f>
        <v>209403</v>
      </c>
    </row>
    <row r="115" spans="1:21" ht="16.5" customHeight="1">
      <c r="A115" s="394" t="s">
        <v>22</v>
      </c>
      <c r="B115" s="394"/>
      <c r="C115" s="394"/>
      <c r="D115" s="394"/>
      <c r="E115" s="394"/>
      <c r="F115" s="394"/>
      <c r="G115" s="394"/>
      <c r="H115" s="394"/>
      <c r="I115" s="394"/>
      <c r="J115" s="394"/>
      <c r="K115" s="394"/>
      <c r="L115" s="394"/>
      <c r="M115" s="394"/>
      <c r="N115" s="394"/>
      <c r="O115" s="394"/>
      <c r="P115" s="394"/>
      <c r="Q115" s="394"/>
      <c r="R115" s="394"/>
      <c r="S115" s="394"/>
      <c r="T115" s="394"/>
      <c r="U115" s="394"/>
    </row>
    <row r="116" spans="1:21" ht="16.5">
      <c r="A116" s="395" t="s">
        <v>23</v>
      </c>
      <c r="B116" s="395"/>
      <c r="C116" s="395"/>
      <c r="D116" s="395"/>
      <c r="E116" s="80"/>
      <c r="F116" s="81"/>
      <c r="G116" s="81"/>
      <c r="H116" s="81"/>
      <c r="I116" s="81"/>
      <c r="J116" s="81"/>
      <c r="K116" s="81"/>
      <c r="L116" s="81"/>
      <c r="M116" s="81"/>
      <c r="N116" s="81"/>
      <c r="O116" s="81"/>
      <c r="P116" s="81"/>
      <c r="Q116" s="81"/>
      <c r="R116" s="81"/>
      <c r="S116" s="81"/>
      <c r="T116" s="81"/>
      <c r="U116" s="81"/>
    </row>
    <row r="117" spans="1:21" ht="16.5" customHeight="1">
      <c r="A117" s="394" t="s">
        <v>24</v>
      </c>
      <c r="B117" s="394"/>
      <c r="C117" s="394"/>
      <c r="D117" s="394"/>
      <c r="E117" s="117"/>
      <c r="F117" s="117"/>
      <c r="G117" s="117"/>
      <c r="H117" s="117"/>
      <c r="I117" s="117"/>
      <c r="J117" s="117"/>
      <c r="K117" s="117"/>
      <c r="L117" s="117"/>
      <c r="M117" s="117"/>
      <c r="N117" s="117"/>
      <c r="O117" s="117"/>
      <c r="P117" s="117"/>
      <c r="Q117" s="117"/>
      <c r="R117" s="117"/>
      <c r="S117" s="117"/>
      <c r="T117" s="117"/>
      <c r="U117" s="82"/>
    </row>
    <row r="123" spans="1:21">
      <c r="D123" s="83"/>
    </row>
  </sheetData>
  <mergeCells count="93">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 ref="A29:E29"/>
    <mergeCell ref="C11:C12"/>
    <mergeCell ref="C13:C14"/>
    <mergeCell ref="A18:E18"/>
    <mergeCell ref="A19:E19"/>
    <mergeCell ref="A20:E20"/>
    <mergeCell ref="B21:U21"/>
    <mergeCell ref="A23:E23"/>
    <mergeCell ref="A24:E24"/>
    <mergeCell ref="B25:U25"/>
    <mergeCell ref="C26:C27"/>
    <mergeCell ref="A28:E28"/>
    <mergeCell ref="A55:E55"/>
    <mergeCell ref="B30:U30"/>
    <mergeCell ref="C31:C35"/>
    <mergeCell ref="D31:D35"/>
    <mergeCell ref="E31:E35"/>
    <mergeCell ref="C38:C39"/>
    <mergeCell ref="C41:C45"/>
    <mergeCell ref="A49:E49"/>
    <mergeCell ref="A50:B50"/>
    <mergeCell ref="A51:E51"/>
    <mergeCell ref="B52:U52"/>
    <mergeCell ref="A54:E54"/>
    <mergeCell ref="A72:E72"/>
    <mergeCell ref="B56:U56"/>
    <mergeCell ref="A58:E58"/>
    <mergeCell ref="A59:E59"/>
    <mergeCell ref="B60:U60"/>
    <mergeCell ref="A63:E63"/>
    <mergeCell ref="A64:E64"/>
    <mergeCell ref="A65:E65"/>
    <mergeCell ref="B66:U66"/>
    <mergeCell ref="A68:E68"/>
    <mergeCell ref="A69:E69"/>
    <mergeCell ref="B70:U70"/>
    <mergeCell ref="B104:U104"/>
    <mergeCell ref="A73:E73"/>
    <mergeCell ref="B74:U74"/>
    <mergeCell ref="A77:E77"/>
    <mergeCell ref="A78:E78"/>
    <mergeCell ref="A79:E79"/>
    <mergeCell ref="B92:U92"/>
    <mergeCell ref="C93:C95"/>
    <mergeCell ref="A96:E96"/>
    <mergeCell ref="B98:U98"/>
    <mergeCell ref="C99:C101"/>
    <mergeCell ref="A102:E102"/>
    <mergeCell ref="B80:U80"/>
    <mergeCell ref="B109:U109"/>
    <mergeCell ref="A111:E111"/>
    <mergeCell ref="F111:H111"/>
    <mergeCell ref="I111:K111"/>
    <mergeCell ref="L111:N111"/>
    <mergeCell ref="O111:Q111"/>
    <mergeCell ref="R111:T111"/>
    <mergeCell ref="R113:T113"/>
    <mergeCell ref="A112:E112"/>
    <mergeCell ref="F112:H112"/>
    <mergeCell ref="I112:K112"/>
    <mergeCell ref="L112:N112"/>
    <mergeCell ref="O112:Q112"/>
    <mergeCell ref="R112:T112"/>
    <mergeCell ref="A113:E113"/>
    <mergeCell ref="F113:H113"/>
    <mergeCell ref="I113:K113"/>
    <mergeCell ref="L113:N113"/>
    <mergeCell ref="O113:Q113"/>
    <mergeCell ref="A115:U115"/>
    <mergeCell ref="A116:D116"/>
    <mergeCell ref="A117:D117"/>
    <mergeCell ref="A114:E114"/>
    <mergeCell ref="F114:H114"/>
    <mergeCell ref="I114:K114"/>
    <mergeCell ref="L114:N114"/>
    <mergeCell ref="O114:Q114"/>
    <mergeCell ref="R114:T114"/>
  </mergeCells>
  <pageMargins left="0.39370078740157483" right="0.39370078740157483" top="0.39370078740157483" bottom="0.39370078740157483" header="0.31496062992125984" footer="0.31496062992125984"/>
  <pageSetup paperSize="9" scale="36" orientation="landscape" r:id="rId1"/>
  <colBreaks count="1" manualBreakCount="1">
    <brk id="21" max="122" man="1"/>
  </colBreaks>
</worksheet>
</file>

<file path=xl/worksheets/sheet3.xml><?xml version="1.0" encoding="utf-8"?>
<worksheet xmlns="http://schemas.openxmlformats.org/spreadsheetml/2006/main" xmlns:r="http://schemas.openxmlformats.org/officeDocument/2006/relationships">
  <dimension ref="A1:W100"/>
  <sheetViews>
    <sheetView view="pageBreakPreview" topLeftCell="A10" zoomScale="60" workbookViewId="0">
      <selection activeCell="I21" sqref="I21:T21"/>
    </sheetView>
  </sheetViews>
  <sheetFormatPr defaultRowHeight="15"/>
  <cols>
    <col min="1" max="1" width="6.28515625" style="7" customWidth="1"/>
    <col min="2" max="2" width="85.85546875" style="7" customWidth="1"/>
    <col min="3" max="3" width="26" style="7" customWidth="1"/>
    <col min="4" max="4" width="17.7109375" style="7" customWidth="1"/>
    <col min="5" max="5" width="19.85546875" style="7" customWidth="1"/>
    <col min="6" max="6" width="23.28515625" style="7" customWidth="1"/>
    <col min="7" max="7" width="20" style="7" customWidth="1"/>
    <col min="8" max="8" width="12.7109375" style="7" customWidth="1"/>
    <col min="9" max="9" width="20.85546875" style="7" customWidth="1"/>
    <col min="10" max="10" width="15.5703125" style="7" customWidth="1"/>
    <col min="11" max="11" width="12.28515625" style="7" customWidth="1"/>
    <col min="12" max="12" width="16.85546875" style="7" customWidth="1"/>
    <col min="13" max="13" width="19.28515625" style="7" customWidth="1"/>
    <col min="14" max="14" width="15.42578125" style="7" customWidth="1"/>
    <col min="15" max="15" width="17.42578125" style="7" customWidth="1"/>
    <col min="16" max="16" width="19.5703125" style="7" customWidth="1"/>
    <col min="17" max="17" width="14.5703125" style="7" customWidth="1"/>
    <col min="18" max="18" width="19.28515625" style="7" customWidth="1"/>
    <col min="19" max="19" width="18.42578125" style="7" customWidth="1"/>
    <col min="20" max="20" width="25.7109375" style="7" customWidth="1"/>
    <col min="21" max="21" width="18.140625" style="7" customWidth="1"/>
    <col min="22" max="22" width="8.7109375" style="7" customWidth="1"/>
    <col min="23" max="16384" width="9.140625" style="7"/>
  </cols>
  <sheetData>
    <row r="1" spans="1:21">
      <c r="R1" s="449" t="s">
        <v>323</v>
      </c>
      <c r="S1" s="450"/>
      <c r="T1" s="450"/>
      <c r="U1" s="450"/>
    </row>
    <row r="2" spans="1:21">
      <c r="R2" s="450"/>
      <c r="S2" s="450"/>
      <c r="T2" s="450"/>
      <c r="U2" s="450"/>
    </row>
    <row r="3" spans="1:21" ht="30" customHeight="1">
      <c r="A3" s="27"/>
      <c r="B3" s="27"/>
      <c r="C3" s="27"/>
      <c r="D3" s="27"/>
      <c r="E3" s="27"/>
      <c r="F3" s="27"/>
      <c r="G3" s="27"/>
      <c r="H3" s="27"/>
      <c r="I3" s="27"/>
      <c r="J3" s="27"/>
      <c r="K3" s="27"/>
      <c r="L3" s="27"/>
      <c r="M3" s="27"/>
      <c r="N3" s="27"/>
      <c r="O3" s="27"/>
      <c r="P3" s="27"/>
      <c r="Q3" s="27"/>
      <c r="R3" s="449" t="s">
        <v>322</v>
      </c>
      <c r="S3" s="451"/>
      <c r="T3" s="451"/>
      <c r="U3" s="451"/>
    </row>
    <row r="4" spans="1:21" ht="18.75">
      <c r="A4" s="452" t="s">
        <v>133</v>
      </c>
      <c r="B4" s="452"/>
      <c r="C4" s="452"/>
      <c r="D4" s="452"/>
      <c r="E4" s="452"/>
      <c r="F4" s="452"/>
      <c r="G4" s="452"/>
      <c r="H4" s="452"/>
      <c r="I4" s="452"/>
      <c r="J4" s="452"/>
      <c r="K4" s="452"/>
      <c r="L4" s="452"/>
      <c r="M4" s="452"/>
      <c r="N4" s="452"/>
      <c r="O4" s="452"/>
      <c r="P4" s="452"/>
      <c r="Q4" s="452"/>
      <c r="R4" s="452"/>
      <c r="S4" s="452"/>
      <c r="T4" s="452"/>
      <c r="U4" s="452"/>
    </row>
    <row r="5" spans="1:21" ht="18.75">
      <c r="A5" s="198"/>
      <c r="B5" s="198"/>
      <c r="C5" s="198"/>
      <c r="D5" s="198"/>
      <c r="E5" s="198"/>
      <c r="F5" s="198"/>
      <c r="G5" s="198"/>
      <c r="H5" s="198"/>
      <c r="I5" s="198"/>
      <c r="J5" s="198"/>
      <c r="K5" s="198"/>
      <c r="L5" s="198"/>
      <c r="M5" s="198"/>
      <c r="N5" s="198"/>
      <c r="O5" s="198"/>
      <c r="P5" s="198"/>
      <c r="Q5" s="198"/>
      <c r="R5" s="198"/>
      <c r="S5" s="198"/>
      <c r="T5" s="198"/>
      <c r="U5" s="198"/>
    </row>
    <row r="6" spans="1:21" s="8" customFormat="1">
      <c r="A6" s="453" t="s">
        <v>25</v>
      </c>
      <c r="B6" s="453" t="s">
        <v>177</v>
      </c>
      <c r="C6" s="453" t="s">
        <v>178</v>
      </c>
      <c r="D6" s="453" t="s">
        <v>78</v>
      </c>
      <c r="E6" s="453" t="s">
        <v>79</v>
      </c>
      <c r="F6" s="455" t="s">
        <v>134</v>
      </c>
      <c r="G6" s="455"/>
      <c r="H6" s="455"/>
      <c r="I6" s="455" t="s">
        <v>135</v>
      </c>
      <c r="J6" s="455"/>
      <c r="K6" s="455"/>
      <c r="L6" s="455" t="s">
        <v>136</v>
      </c>
      <c r="M6" s="455"/>
      <c r="N6" s="455"/>
      <c r="O6" s="455" t="s">
        <v>171</v>
      </c>
      <c r="P6" s="455"/>
      <c r="Q6" s="455"/>
      <c r="R6" s="455" t="s">
        <v>172</v>
      </c>
      <c r="S6" s="455"/>
      <c r="T6" s="455"/>
      <c r="U6" s="453" t="s">
        <v>80</v>
      </c>
    </row>
    <row r="7" spans="1:21" s="8" customFormat="1" ht="60">
      <c r="A7" s="454"/>
      <c r="B7" s="454"/>
      <c r="C7" s="454"/>
      <c r="D7" s="454"/>
      <c r="E7" s="454"/>
      <c r="F7" s="28" t="s">
        <v>81</v>
      </c>
      <c r="G7" s="28" t="s">
        <v>176</v>
      </c>
      <c r="H7" s="28" t="s">
        <v>83</v>
      </c>
      <c r="I7" s="28" t="s">
        <v>81</v>
      </c>
      <c r="J7" s="28" t="s">
        <v>82</v>
      </c>
      <c r="K7" s="28" t="s">
        <v>83</v>
      </c>
      <c r="L7" s="28" t="s">
        <v>81</v>
      </c>
      <c r="M7" s="28" t="s">
        <v>82</v>
      </c>
      <c r="N7" s="28" t="s">
        <v>83</v>
      </c>
      <c r="O7" s="28" t="s">
        <v>81</v>
      </c>
      <c r="P7" s="28" t="s">
        <v>82</v>
      </c>
      <c r="Q7" s="28" t="s">
        <v>83</v>
      </c>
      <c r="R7" s="28" t="s">
        <v>81</v>
      </c>
      <c r="S7" s="28" t="s">
        <v>82</v>
      </c>
      <c r="T7" s="28" t="s">
        <v>83</v>
      </c>
      <c r="U7" s="454"/>
    </row>
    <row r="8" spans="1:21" s="8" customFormat="1" ht="15.75">
      <c r="A8" s="202">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row>
    <row r="9" spans="1:21" s="8" customFormat="1" ht="18.75">
      <c r="A9" s="456" t="s">
        <v>26</v>
      </c>
      <c r="B9" s="457"/>
      <c r="C9" s="457"/>
      <c r="D9" s="457"/>
      <c r="E9" s="457"/>
      <c r="F9" s="457"/>
      <c r="G9" s="457"/>
      <c r="H9" s="457"/>
      <c r="I9" s="457"/>
      <c r="J9" s="457"/>
      <c r="K9" s="457"/>
      <c r="L9" s="457"/>
      <c r="M9" s="457"/>
      <c r="N9" s="457"/>
      <c r="O9" s="457"/>
      <c r="P9" s="457"/>
      <c r="Q9" s="457"/>
      <c r="R9" s="457"/>
      <c r="S9" s="457"/>
      <c r="T9" s="457"/>
      <c r="U9" s="458"/>
    </row>
    <row r="10" spans="1:21" ht="18.75">
      <c r="A10" s="30" t="s">
        <v>27</v>
      </c>
      <c r="B10" s="448" t="s">
        <v>457</v>
      </c>
      <c r="C10" s="412"/>
      <c r="D10" s="412"/>
      <c r="E10" s="412"/>
      <c r="F10" s="412"/>
      <c r="G10" s="412"/>
      <c r="H10" s="412"/>
      <c r="I10" s="412"/>
      <c r="J10" s="412"/>
      <c r="K10" s="412"/>
      <c r="L10" s="412"/>
      <c r="M10" s="412"/>
      <c r="N10" s="412"/>
      <c r="O10" s="412"/>
      <c r="P10" s="412"/>
      <c r="Q10" s="412"/>
      <c r="R10" s="412"/>
      <c r="S10" s="412"/>
      <c r="T10" s="412"/>
      <c r="U10" s="413"/>
    </row>
    <row r="11" spans="1:21" ht="94.5">
      <c r="A11" s="25" t="s">
        <v>28</v>
      </c>
      <c r="B11" s="31" t="s">
        <v>29</v>
      </c>
      <c r="C11" s="433" t="s">
        <v>84</v>
      </c>
      <c r="D11" s="205" t="s">
        <v>85</v>
      </c>
      <c r="E11" s="32" t="s">
        <v>86</v>
      </c>
      <c r="F11" s="39" t="s">
        <v>461</v>
      </c>
      <c r="G11" s="26" t="s">
        <v>402</v>
      </c>
      <c r="H11" s="40">
        <f>43350-15000</f>
        <v>28350</v>
      </c>
      <c r="I11" s="11" t="s">
        <v>33</v>
      </c>
      <c r="J11" s="26" t="s">
        <v>33</v>
      </c>
      <c r="K11" s="1">
        <v>0</v>
      </c>
      <c r="L11" s="11" t="s">
        <v>33</v>
      </c>
      <c r="M11" s="26" t="s">
        <v>33</v>
      </c>
      <c r="N11" s="1">
        <v>0</v>
      </c>
      <c r="O11" s="11" t="s">
        <v>273</v>
      </c>
      <c r="P11" s="26" t="s">
        <v>87</v>
      </c>
      <c r="Q11" s="1">
        <v>46425</v>
      </c>
      <c r="R11" s="11" t="s">
        <v>273</v>
      </c>
      <c r="S11" s="26" t="s">
        <v>87</v>
      </c>
      <c r="T11" s="1">
        <v>46425</v>
      </c>
      <c r="U11" s="2">
        <f>H11+K11+N11+Q11+T11</f>
        <v>121200</v>
      </c>
    </row>
    <row r="12" spans="1:21" ht="94.5">
      <c r="A12" s="12" t="s">
        <v>30</v>
      </c>
      <c r="B12" s="33" t="s">
        <v>460</v>
      </c>
      <c r="C12" s="440"/>
      <c r="D12" s="5" t="s">
        <v>88</v>
      </c>
      <c r="E12" s="32" t="s">
        <v>89</v>
      </c>
      <c r="F12" s="39" t="s">
        <v>462</v>
      </c>
      <c r="G12" s="26" t="s">
        <v>402</v>
      </c>
      <c r="H12" s="40">
        <f>17350-5387-2544-2060</f>
        <v>7359</v>
      </c>
      <c r="I12" s="11" t="s">
        <v>33</v>
      </c>
      <c r="J12" s="26" t="s">
        <v>33</v>
      </c>
      <c r="K12" s="1">
        <v>0</v>
      </c>
      <c r="L12" s="11" t="s">
        <v>33</v>
      </c>
      <c r="M12" s="26" t="s">
        <v>33</v>
      </c>
      <c r="N12" s="1">
        <v>0</v>
      </c>
      <c r="O12" s="11" t="s">
        <v>274</v>
      </c>
      <c r="P12" s="26" t="s">
        <v>87</v>
      </c>
      <c r="Q12" s="1">
        <v>19038</v>
      </c>
      <c r="R12" s="11" t="s">
        <v>274</v>
      </c>
      <c r="S12" s="26" t="s">
        <v>87</v>
      </c>
      <c r="T12" s="1">
        <v>19038</v>
      </c>
      <c r="U12" s="2">
        <f>H12+K12+N12+Q12+T12</f>
        <v>45435</v>
      </c>
    </row>
    <row r="13" spans="1:21" ht="115.5" customHeight="1">
      <c r="A13" s="12" t="s">
        <v>31</v>
      </c>
      <c r="B13" s="33" t="s">
        <v>414</v>
      </c>
      <c r="C13" s="210" t="s">
        <v>90</v>
      </c>
      <c r="D13" s="36" t="s">
        <v>85</v>
      </c>
      <c r="E13" s="37" t="s">
        <v>316</v>
      </c>
      <c r="F13" s="85" t="s">
        <v>329</v>
      </c>
      <c r="G13" s="85" t="s">
        <v>267</v>
      </c>
      <c r="H13" s="38">
        <f>8260</f>
        <v>8260</v>
      </c>
      <c r="I13" s="85" t="s">
        <v>329</v>
      </c>
      <c r="J13" s="85" t="s">
        <v>267</v>
      </c>
      <c r="K13" s="38">
        <v>8260</v>
      </c>
      <c r="L13" s="85" t="s">
        <v>329</v>
      </c>
      <c r="M13" s="85" t="s">
        <v>267</v>
      </c>
      <c r="N13" s="38">
        <v>8260</v>
      </c>
      <c r="O13" s="11" t="s">
        <v>272</v>
      </c>
      <c r="P13" s="11" t="s">
        <v>267</v>
      </c>
      <c r="Q13" s="1">
        <v>12655.3</v>
      </c>
      <c r="R13" s="11" t="s">
        <v>272</v>
      </c>
      <c r="S13" s="11" t="s">
        <v>267</v>
      </c>
      <c r="T13" s="1">
        <v>12655.3</v>
      </c>
      <c r="U13" s="2">
        <f>H13+K13+N13+Q13+T13</f>
        <v>50090.600000000006</v>
      </c>
    </row>
    <row r="14" spans="1:21" ht="78.75">
      <c r="A14" s="12" t="s">
        <v>32</v>
      </c>
      <c r="B14" s="35" t="s">
        <v>472</v>
      </c>
      <c r="C14" s="210" t="s">
        <v>84</v>
      </c>
      <c r="D14" s="34" t="s">
        <v>88</v>
      </c>
      <c r="E14" s="5" t="s">
        <v>92</v>
      </c>
      <c r="F14" s="39" t="s">
        <v>463</v>
      </c>
      <c r="G14" s="11" t="s">
        <v>314</v>
      </c>
      <c r="H14" s="40">
        <f>4075-2825.3-663.33</f>
        <v>586.36999999999978</v>
      </c>
      <c r="I14" s="11" t="s">
        <v>33</v>
      </c>
      <c r="J14" s="11" t="s">
        <v>33</v>
      </c>
      <c r="K14" s="1">
        <v>0</v>
      </c>
      <c r="L14" s="11" t="s">
        <v>33</v>
      </c>
      <c r="M14" s="11" t="s">
        <v>33</v>
      </c>
      <c r="N14" s="1">
        <v>0</v>
      </c>
      <c r="O14" s="11" t="s">
        <v>93</v>
      </c>
      <c r="P14" s="11" t="s">
        <v>115</v>
      </c>
      <c r="Q14" s="1">
        <v>2909</v>
      </c>
      <c r="R14" s="11" t="s">
        <v>93</v>
      </c>
      <c r="S14" s="11" t="s">
        <v>115</v>
      </c>
      <c r="T14" s="1">
        <v>2909</v>
      </c>
      <c r="U14" s="2">
        <f>H14+K14+N14+Q14+T14</f>
        <v>6404.37</v>
      </c>
    </row>
    <row r="15" spans="1:21" ht="89.25">
      <c r="A15" s="12" t="s">
        <v>165</v>
      </c>
      <c r="B15" s="10" t="s">
        <v>290</v>
      </c>
      <c r="C15" s="202" t="s">
        <v>90</v>
      </c>
      <c r="D15" s="5" t="s">
        <v>85</v>
      </c>
      <c r="E15" s="37" t="s">
        <v>100</v>
      </c>
      <c r="F15" s="85" t="s">
        <v>318</v>
      </c>
      <c r="G15" s="85" t="s">
        <v>309</v>
      </c>
      <c r="H15" s="38">
        <f>1192</f>
        <v>1192</v>
      </c>
      <c r="I15" s="84" t="s">
        <v>318</v>
      </c>
      <c r="J15" s="11" t="s">
        <v>309</v>
      </c>
      <c r="K15" s="1">
        <v>1192</v>
      </c>
      <c r="L15" s="84" t="s">
        <v>318</v>
      </c>
      <c r="M15" s="11" t="s">
        <v>309</v>
      </c>
      <c r="N15" s="1">
        <v>1192</v>
      </c>
      <c r="O15" s="13" t="s">
        <v>128</v>
      </c>
      <c r="P15" s="11" t="s">
        <v>129</v>
      </c>
      <c r="Q15" s="1">
        <v>1290</v>
      </c>
      <c r="R15" s="13" t="s">
        <v>128</v>
      </c>
      <c r="S15" s="11" t="s">
        <v>129</v>
      </c>
      <c r="T15" s="1">
        <v>1290</v>
      </c>
      <c r="U15" s="2">
        <f>H15+K15+N15+Q15+T15</f>
        <v>6156</v>
      </c>
    </row>
    <row r="16" spans="1:21" s="100" customFormat="1" ht="63">
      <c r="A16" s="96" t="s">
        <v>247</v>
      </c>
      <c r="B16" s="61" t="s">
        <v>216</v>
      </c>
      <c r="C16" s="98" t="s">
        <v>90</v>
      </c>
      <c r="D16" s="65" t="s">
        <v>85</v>
      </c>
      <c r="E16" s="99" t="s">
        <v>91</v>
      </c>
      <c r="F16" s="38" t="s">
        <v>399</v>
      </c>
      <c r="G16" s="99" t="s">
        <v>118</v>
      </c>
      <c r="H16" s="195">
        <f>6183-123</f>
        <v>6060</v>
      </c>
      <c r="I16" s="1" t="s">
        <v>250</v>
      </c>
      <c r="J16" s="2" t="s">
        <v>118</v>
      </c>
      <c r="K16" s="3">
        <v>6213</v>
      </c>
      <c r="L16" s="1" t="s">
        <v>250</v>
      </c>
      <c r="M16" s="2" t="s">
        <v>118</v>
      </c>
      <c r="N16" s="3">
        <v>6213</v>
      </c>
      <c r="O16" s="1" t="s">
        <v>251</v>
      </c>
      <c r="P16" s="2" t="s">
        <v>118</v>
      </c>
      <c r="Q16" s="3">
        <v>6150</v>
      </c>
      <c r="R16" s="1" t="s">
        <v>251</v>
      </c>
      <c r="S16" s="2" t="s">
        <v>118</v>
      </c>
      <c r="T16" s="3">
        <v>6150</v>
      </c>
      <c r="U16" s="2">
        <v>30909</v>
      </c>
    </row>
    <row r="17" spans="1:21" s="100" customFormat="1" ht="81.75" customHeight="1">
      <c r="A17" s="96" t="s">
        <v>257</v>
      </c>
      <c r="B17" s="61" t="s">
        <v>207</v>
      </c>
      <c r="C17" s="98" t="s">
        <v>90</v>
      </c>
      <c r="D17" s="65" t="s">
        <v>85</v>
      </c>
      <c r="E17" s="2" t="s">
        <v>173</v>
      </c>
      <c r="F17" s="99" t="s">
        <v>278</v>
      </c>
      <c r="G17" s="99" t="s">
        <v>10</v>
      </c>
      <c r="H17" s="99">
        <f>785</f>
        <v>785</v>
      </c>
      <c r="I17" s="2" t="s">
        <v>278</v>
      </c>
      <c r="J17" s="2" t="s">
        <v>10</v>
      </c>
      <c r="K17" s="2">
        <v>785</v>
      </c>
      <c r="L17" s="2" t="s">
        <v>278</v>
      </c>
      <c r="M17" s="2" t="s">
        <v>10</v>
      </c>
      <c r="N17" s="2">
        <v>785</v>
      </c>
      <c r="O17" s="2" t="s">
        <v>282</v>
      </c>
      <c r="P17" s="2" t="s">
        <v>10</v>
      </c>
      <c r="Q17" s="2">
        <v>940</v>
      </c>
      <c r="R17" s="2" t="s">
        <v>287</v>
      </c>
      <c r="S17" s="2" t="s">
        <v>10</v>
      </c>
      <c r="T17" s="2">
        <v>950</v>
      </c>
      <c r="U17" s="2">
        <v>4245</v>
      </c>
    </row>
    <row r="18" spans="1:21" s="100" customFormat="1" ht="63">
      <c r="A18" s="96" t="s">
        <v>416</v>
      </c>
      <c r="B18" s="61" t="s">
        <v>208</v>
      </c>
      <c r="C18" s="98" t="s">
        <v>90</v>
      </c>
      <c r="D18" s="65" t="s">
        <v>85</v>
      </c>
      <c r="E18" s="2" t="s">
        <v>173</v>
      </c>
      <c r="F18" s="99" t="s">
        <v>400</v>
      </c>
      <c r="G18" s="99" t="s">
        <v>12</v>
      </c>
      <c r="H18" s="99">
        <f>110</f>
        <v>110</v>
      </c>
      <c r="I18" s="2" t="s">
        <v>279</v>
      </c>
      <c r="J18" s="2" t="s">
        <v>12</v>
      </c>
      <c r="K18" s="2">
        <v>110</v>
      </c>
      <c r="L18" s="2" t="s">
        <v>279</v>
      </c>
      <c r="M18" s="2" t="s">
        <v>12</v>
      </c>
      <c r="N18" s="2">
        <v>110</v>
      </c>
      <c r="O18" s="2" t="s">
        <v>283</v>
      </c>
      <c r="P18" s="2" t="s">
        <v>12</v>
      </c>
      <c r="Q18" s="2">
        <v>140</v>
      </c>
      <c r="R18" s="2" t="s">
        <v>283</v>
      </c>
      <c r="S18" s="2" t="s">
        <v>12</v>
      </c>
      <c r="T18" s="2">
        <v>140</v>
      </c>
      <c r="U18" s="2">
        <v>610</v>
      </c>
    </row>
    <row r="19" spans="1:21" s="100" customFormat="1" ht="63">
      <c r="A19" s="96" t="s">
        <v>417</v>
      </c>
      <c r="B19" s="61" t="s">
        <v>209</v>
      </c>
      <c r="C19" s="98" t="s">
        <v>90</v>
      </c>
      <c r="D19" s="65" t="s">
        <v>85</v>
      </c>
      <c r="E19" s="2" t="s">
        <v>173</v>
      </c>
      <c r="F19" s="99" t="s">
        <v>280</v>
      </c>
      <c r="G19" s="99" t="s">
        <v>13</v>
      </c>
      <c r="H19" s="99">
        <f>53</f>
        <v>53</v>
      </c>
      <c r="I19" s="2" t="s">
        <v>280</v>
      </c>
      <c r="J19" s="2" t="s">
        <v>13</v>
      </c>
      <c r="K19" s="2">
        <v>53</v>
      </c>
      <c r="L19" s="2" t="s">
        <v>280</v>
      </c>
      <c r="M19" s="2" t="s">
        <v>13</v>
      </c>
      <c r="N19" s="2">
        <v>53</v>
      </c>
      <c r="O19" s="2" t="s">
        <v>284</v>
      </c>
      <c r="P19" s="2" t="s">
        <v>13</v>
      </c>
      <c r="Q19" s="2">
        <v>50</v>
      </c>
      <c r="R19" s="2" t="s">
        <v>284</v>
      </c>
      <c r="S19" s="2" t="s">
        <v>13</v>
      </c>
      <c r="T19" s="2">
        <v>50</v>
      </c>
      <c r="U19" s="2">
        <v>259</v>
      </c>
    </row>
    <row r="20" spans="1:21" s="100" customFormat="1" ht="63">
      <c r="A20" s="96" t="s">
        <v>418</v>
      </c>
      <c r="B20" s="61" t="s">
        <v>210</v>
      </c>
      <c r="C20" s="98" t="s">
        <v>90</v>
      </c>
      <c r="D20" s="65" t="s">
        <v>85</v>
      </c>
      <c r="E20" s="2" t="s">
        <v>173</v>
      </c>
      <c r="F20" s="120" t="s">
        <v>412</v>
      </c>
      <c r="G20" s="120" t="s">
        <v>12</v>
      </c>
      <c r="H20" s="120">
        <f>112+18</f>
        <v>130</v>
      </c>
      <c r="I20" s="2" t="s">
        <v>281</v>
      </c>
      <c r="J20" s="2" t="s">
        <v>12</v>
      </c>
      <c r="K20" s="2">
        <v>112</v>
      </c>
      <c r="L20" s="2" t="s">
        <v>281</v>
      </c>
      <c r="M20" s="2" t="s">
        <v>12</v>
      </c>
      <c r="N20" s="2">
        <v>112</v>
      </c>
      <c r="O20" s="2" t="s">
        <v>285</v>
      </c>
      <c r="P20" s="2" t="s">
        <v>12</v>
      </c>
      <c r="Q20" s="2">
        <v>60</v>
      </c>
      <c r="R20" s="2" t="s">
        <v>285</v>
      </c>
      <c r="S20" s="2" t="s">
        <v>12</v>
      </c>
      <c r="T20" s="2">
        <v>60</v>
      </c>
      <c r="U20" s="2">
        <v>456</v>
      </c>
    </row>
    <row r="21" spans="1:21" s="100" customFormat="1" ht="63">
      <c r="A21" s="96" t="s">
        <v>419</v>
      </c>
      <c r="B21" s="61" t="s">
        <v>211</v>
      </c>
      <c r="C21" s="98" t="s">
        <v>90</v>
      </c>
      <c r="D21" s="65" t="s">
        <v>85</v>
      </c>
      <c r="E21" s="2" t="s">
        <v>173</v>
      </c>
      <c r="F21" s="2" t="s">
        <v>324</v>
      </c>
      <c r="G21" s="23" t="s">
        <v>14</v>
      </c>
      <c r="H21" s="2">
        <v>120</v>
      </c>
      <c r="I21" s="2" t="s">
        <v>286</v>
      </c>
      <c r="J21" s="23" t="s">
        <v>14</v>
      </c>
      <c r="K21" s="2">
        <v>90</v>
      </c>
      <c r="L21" s="2" t="s">
        <v>286</v>
      </c>
      <c r="M21" s="23" t="s">
        <v>14</v>
      </c>
      <c r="N21" s="2">
        <v>90</v>
      </c>
      <c r="O21" s="2" t="s">
        <v>286</v>
      </c>
      <c r="P21" s="23" t="s">
        <v>14</v>
      </c>
      <c r="Q21" s="2">
        <v>90</v>
      </c>
      <c r="R21" s="2" t="s">
        <v>286</v>
      </c>
      <c r="S21" s="23" t="s">
        <v>14</v>
      </c>
      <c r="T21" s="2">
        <v>90</v>
      </c>
      <c r="U21" s="2">
        <v>480</v>
      </c>
    </row>
    <row r="22" spans="1:21" s="100" customFormat="1" ht="63">
      <c r="A22" s="96" t="s">
        <v>420</v>
      </c>
      <c r="B22" s="61" t="s">
        <v>328</v>
      </c>
      <c r="C22" s="98" t="s">
        <v>6</v>
      </c>
      <c r="D22" s="65" t="s">
        <v>132</v>
      </c>
      <c r="E22" s="2" t="s">
        <v>91</v>
      </c>
      <c r="F22" s="1" t="s">
        <v>321</v>
      </c>
      <c r="G22" s="23" t="s">
        <v>320</v>
      </c>
      <c r="H22" s="3">
        <v>23068</v>
      </c>
      <c r="I22" s="1">
        <v>0</v>
      </c>
      <c r="J22" s="2">
        <v>0</v>
      </c>
      <c r="K22" s="3">
        <v>0</v>
      </c>
      <c r="L22" s="1">
        <v>0</v>
      </c>
      <c r="M22" s="2">
        <v>0</v>
      </c>
      <c r="N22" s="3">
        <v>0</v>
      </c>
      <c r="O22" s="1">
        <v>0</v>
      </c>
      <c r="P22" s="2">
        <v>0</v>
      </c>
      <c r="Q22" s="3">
        <v>0</v>
      </c>
      <c r="R22" s="1">
        <v>0</v>
      </c>
      <c r="S22" s="2">
        <v>0</v>
      </c>
      <c r="T22" s="3">
        <v>0</v>
      </c>
      <c r="U22" s="2">
        <v>23068</v>
      </c>
    </row>
    <row r="23" spans="1:21" s="100" customFormat="1" ht="47.25">
      <c r="A23" s="96" t="s">
        <v>421</v>
      </c>
      <c r="B23" s="61" t="s">
        <v>313</v>
      </c>
      <c r="C23" s="98" t="s">
        <v>6</v>
      </c>
      <c r="D23" s="65" t="s">
        <v>306</v>
      </c>
      <c r="E23" s="2" t="s">
        <v>173</v>
      </c>
      <c r="F23" s="1" t="s">
        <v>307</v>
      </c>
      <c r="G23" s="2" t="s">
        <v>308</v>
      </c>
      <c r="H23" s="3">
        <v>238</v>
      </c>
      <c r="I23" s="1">
        <v>0</v>
      </c>
      <c r="J23" s="2">
        <v>0</v>
      </c>
      <c r="K23" s="3">
        <v>0</v>
      </c>
      <c r="L23" s="1">
        <v>0</v>
      </c>
      <c r="M23" s="2">
        <v>0</v>
      </c>
      <c r="N23" s="3">
        <v>0</v>
      </c>
      <c r="O23" s="1">
        <v>0</v>
      </c>
      <c r="P23" s="2">
        <v>0</v>
      </c>
      <c r="Q23" s="3">
        <v>0</v>
      </c>
      <c r="R23" s="1">
        <v>0</v>
      </c>
      <c r="S23" s="2">
        <v>0</v>
      </c>
      <c r="T23" s="3">
        <v>0</v>
      </c>
      <c r="U23" s="2">
        <v>238</v>
      </c>
    </row>
    <row r="24" spans="1:21" s="100" customFormat="1" ht="75.75" customHeight="1">
      <c r="A24" s="96" t="s">
        <v>422</v>
      </c>
      <c r="B24" s="61" t="s">
        <v>415</v>
      </c>
      <c r="C24" s="98" t="s">
        <v>90</v>
      </c>
      <c r="D24" s="5" t="s">
        <v>85</v>
      </c>
      <c r="E24" s="2" t="s">
        <v>156</v>
      </c>
      <c r="F24" s="121" t="s">
        <v>413</v>
      </c>
      <c r="G24" s="40" t="s">
        <v>157</v>
      </c>
      <c r="H24" s="40">
        <f>300-180</f>
        <v>120</v>
      </c>
      <c r="I24" s="1" t="s">
        <v>11</v>
      </c>
      <c r="J24" s="23" t="s">
        <v>157</v>
      </c>
      <c r="K24" s="3">
        <v>300</v>
      </c>
      <c r="L24" s="1" t="s">
        <v>11</v>
      </c>
      <c r="M24" s="23" t="s">
        <v>157</v>
      </c>
      <c r="N24" s="3">
        <v>300</v>
      </c>
      <c r="O24" s="1" t="s">
        <v>11</v>
      </c>
      <c r="P24" s="23" t="s">
        <v>157</v>
      </c>
      <c r="Q24" s="3">
        <v>300</v>
      </c>
      <c r="R24" s="1" t="s">
        <v>11</v>
      </c>
      <c r="S24" s="23" t="s">
        <v>157</v>
      </c>
      <c r="T24" s="3">
        <v>300</v>
      </c>
      <c r="U24" s="2">
        <f>H24+K24+N24+Q24+T24</f>
        <v>1320</v>
      </c>
    </row>
    <row r="25" spans="1:21" s="9" customFormat="1" ht="31.5" customHeight="1">
      <c r="A25" s="414" t="s">
        <v>94</v>
      </c>
      <c r="B25" s="415"/>
      <c r="C25" s="447"/>
      <c r="D25" s="415"/>
      <c r="E25" s="415"/>
      <c r="F25" s="41"/>
      <c r="G25" s="42"/>
      <c r="H25" s="43">
        <f>SUM(H11:H24)</f>
        <v>76431.37</v>
      </c>
      <c r="I25" s="44"/>
      <c r="J25" s="45"/>
      <c r="K25" s="43">
        <f>K26+K27</f>
        <v>17115</v>
      </c>
      <c r="L25" s="44"/>
      <c r="M25" s="45"/>
      <c r="N25" s="43">
        <f>N26+N27</f>
        <v>17115</v>
      </c>
      <c r="O25" s="43"/>
      <c r="P25" s="43"/>
      <c r="Q25" s="43">
        <f>Q26+Q27</f>
        <v>90047.3</v>
      </c>
      <c r="R25" s="43"/>
      <c r="S25" s="43"/>
      <c r="T25" s="43">
        <f>T26+T27</f>
        <v>90057.3</v>
      </c>
      <c r="U25" s="43">
        <f>SUM(H25:T25)</f>
        <v>290765.96999999997</v>
      </c>
    </row>
    <row r="26" spans="1:21" ht="30" customHeight="1">
      <c r="A26" s="411" t="s">
        <v>84</v>
      </c>
      <c r="B26" s="411"/>
      <c r="C26" s="411"/>
      <c r="D26" s="411"/>
      <c r="E26" s="411"/>
      <c r="F26" s="46"/>
      <c r="G26" s="47"/>
      <c r="H26" s="48">
        <f>H11+H12+H14</f>
        <v>36295.370000000003</v>
      </c>
      <c r="I26" s="49"/>
      <c r="J26" s="49"/>
      <c r="K26" s="48">
        <f>K11+K12+K14</f>
        <v>0</v>
      </c>
      <c r="L26" s="49"/>
      <c r="M26" s="49"/>
      <c r="N26" s="48">
        <f>N11+N12+N14</f>
        <v>0</v>
      </c>
      <c r="O26" s="48"/>
      <c r="P26" s="48"/>
      <c r="Q26" s="48">
        <f>Q11+Q12+Q14</f>
        <v>68372</v>
      </c>
      <c r="R26" s="48"/>
      <c r="S26" s="48"/>
      <c r="T26" s="48">
        <f>T11+T12+T14</f>
        <v>68372</v>
      </c>
      <c r="U26" s="48">
        <f>SUM(H26:T26)</f>
        <v>173039.37</v>
      </c>
    </row>
    <row r="27" spans="1:21" ht="26.25" customHeight="1">
      <c r="A27" s="411" t="s">
        <v>95</v>
      </c>
      <c r="B27" s="411"/>
      <c r="C27" s="411"/>
      <c r="D27" s="411"/>
      <c r="E27" s="411"/>
      <c r="F27" s="46"/>
      <c r="G27" s="47"/>
      <c r="H27" s="48">
        <f>H13+H15+H16+H17+H18+H19+H20+H21+H24</f>
        <v>16830</v>
      </c>
      <c r="I27" s="49"/>
      <c r="J27" s="49"/>
      <c r="K27" s="48">
        <f>K13+K15+K16+K17+K18+K19+K20+K21+K24</f>
        <v>17115</v>
      </c>
      <c r="L27" s="49"/>
      <c r="M27" s="49"/>
      <c r="N27" s="48">
        <f>N13+N15+N16+N17+N18+N19+N20+N21+N24</f>
        <v>17115</v>
      </c>
      <c r="O27" s="48"/>
      <c r="P27" s="48"/>
      <c r="Q27" s="48">
        <f>Q13+Q15+Q16+Q17+Q18+Q19+Q20+Q21+Q24</f>
        <v>21675.3</v>
      </c>
      <c r="R27" s="48"/>
      <c r="S27" s="48"/>
      <c r="T27" s="48">
        <f>T13+T15+T16+T17+T18+T19+T20+T21+T24</f>
        <v>21685.3</v>
      </c>
      <c r="U27" s="48">
        <f>H27+K27+N27+Q27</f>
        <v>72735.3</v>
      </c>
    </row>
    <row r="28" spans="1:21" ht="26.25" customHeight="1">
      <c r="A28" s="204" t="s">
        <v>6</v>
      </c>
      <c r="B28" s="199"/>
      <c r="C28" s="200"/>
      <c r="D28" s="200"/>
      <c r="E28" s="200"/>
      <c r="F28" s="46"/>
      <c r="G28" s="47"/>
      <c r="H28" s="48">
        <f>H22+H23</f>
        <v>23306</v>
      </c>
      <c r="I28" s="49"/>
      <c r="J28" s="49"/>
      <c r="K28" s="48">
        <f>K22+K23</f>
        <v>0</v>
      </c>
      <c r="L28" s="49"/>
      <c r="M28" s="49"/>
      <c r="N28" s="48">
        <f>N22+N23</f>
        <v>0</v>
      </c>
      <c r="O28" s="48"/>
      <c r="P28" s="48"/>
      <c r="Q28" s="48">
        <f>Q22+Q23</f>
        <v>0</v>
      </c>
      <c r="R28" s="48"/>
      <c r="S28" s="48"/>
      <c r="T28" s="48">
        <f>T22+T23</f>
        <v>0</v>
      </c>
      <c r="U28" s="48">
        <f>H28+K28+N28+Q28</f>
        <v>23306</v>
      </c>
    </row>
    <row r="29" spans="1:21" ht="18.75">
      <c r="A29" s="50" t="s">
        <v>34</v>
      </c>
      <c r="B29" s="448" t="s">
        <v>223</v>
      </c>
      <c r="C29" s="412"/>
      <c r="D29" s="412"/>
      <c r="E29" s="412"/>
      <c r="F29" s="412"/>
      <c r="G29" s="412"/>
      <c r="H29" s="412"/>
      <c r="I29" s="412"/>
      <c r="J29" s="412"/>
      <c r="K29" s="412"/>
      <c r="L29" s="412"/>
      <c r="M29" s="412"/>
      <c r="N29" s="412"/>
      <c r="O29" s="412"/>
      <c r="P29" s="412"/>
      <c r="Q29" s="412"/>
      <c r="R29" s="412"/>
      <c r="S29" s="412"/>
      <c r="T29" s="412"/>
      <c r="U29" s="413"/>
    </row>
    <row r="30" spans="1:21" ht="94.5">
      <c r="A30" s="12" t="s">
        <v>35</v>
      </c>
      <c r="B30" s="51" t="s">
        <v>291</v>
      </c>
      <c r="C30" s="5"/>
      <c r="D30" s="5" t="s">
        <v>85</v>
      </c>
      <c r="E30" s="34" t="s">
        <v>96</v>
      </c>
      <c r="F30" s="39" t="s">
        <v>407</v>
      </c>
      <c r="G30" s="39" t="s">
        <v>404</v>
      </c>
      <c r="H30" s="40">
        <f>2664-772</f>
        <v>1892</v>
      </c>
      <c r="I30" s="13" t="s">
        <v>143</v>
      </c>
      <c r="J30" s="11" t="s">
        <v>144</v>
      </c>
      <c r="K30" s="1">
        <f>((190*600*9)+(195*840*10))/1000</f>
        <v>2664</v>
      </c>
      <c r="L30" s="14" t="s">
        <v>143</v>
      </c>
      <c r="M30" s="11" t="s">
        <v>144</v>
      </c>
      <c r="N30" s="1">
        <f>((190*600*9)+(195*840*10))/1000</f>
        <v>2664</v>
      </c>
      <c r="O30" s="14" t="s">
        <v>143</v>
      </c>
      <c r="P30" s="11" t="s">
        <v>144</v>
      </c>
      <c r="Q30" s="1">
        <f>((190*600*9)+(195*840*10))/1000</f>
        <v>2664</v>
      </c>
      <c r="R30" s="14" t="s">
        <v>143</v>
      </c>
      <c r="S30" s="11" t="s">
        <v>144</v>
      </c>
      <c r="T30" s="1">
        <f>((190*600*9)+(195*840*10))/1000</f>
        <v>2664</v>
      </c>
      <c r="U30" s="2">
        <f>H30+K30+N30+Q30+T30</f>
        <v>12548</v>
      </c>
    </row>
    <row r="31" spans="1:21" ht="16.5">
      <c r="A31" s="414" t="s">
        <v>97</v>
      </c>
      <c r="B31" s="415"/>
      <c r="C31" s="415"/>
      <c r="D31" s="415"/>
      <c r="E31" s="415"/>
      <c r="F31" s="46"/>
      <c r="G31" s="47"/>
      <c r="H31" s="43">
        <f>SUM(H32:H32)</f>
        <v>1892</v>
      </c>
      <c r="I31" s="52"/>
      <c r="J31" s="53"/>
      <c r="K31" s="43">
        <f>SUM(K32:K32)</f>
        <v>2664</v>
      </c>
      <c r="L31" s="52"/>
      <c r="M31" s="53"/>
      <c r="N31" s="43">
        <f>SUM(N32:N32)</f>
        <v>2664</v>
      </c>
      <c r="O31" s="54"/>
      <c r="P31" s="54"/>
      <c r="Q31" s="43">
        <f>SUM(Q32:Q32)</f>
        <v>2664</v>
      </c>
      <c r="R31" s="54"/>
      <c r="S31" s="54"/>
      <c r="T31" s="43">
        <f>SUM(T32:T32)</f>
        <v>2664</v>
      </c>
      <c r="U31" s="43">
        <f>H31+K31+N31+Q31+T31</f>
        <v>12548</v>
      </c>
    </row>
    <row r="32" spans="1:21" ht="16.5">
      <c r="A32" s="411" t="s">
        <v>95</v>
      </c>
      <c r="B32" s="411"/>
      <c r="C32" s="411"/>
      <c r="D32" s="411"/>
      <c r="E32" s="411"/>
      <c r="F32" s="46"/>
      <c r="G32" s="47"/>
      <c r="H32" s="48">
        <f>SUM(,H30,)</f>
        <v>1892</v>
      </c>
      <c r="I32" s="49"/>
      <c r="J32" s="49"/>
      <c r="K32" s="48">
        <f>SUM(,K30,)</f>
        <v>2664</v>
      </c>
      <c r="L32" s="49"/>
      <c r="M32" s="49"/>
      <c r="N32" s="48">
        <f>SUM(,N30,)</f>
        <v>2664</v>
      </c>
      <c r="O32" s="48"/>
      <c r="P32" s="48"/>
      <c r="Q32" s="48">
        <f>SUM(,Q30,)</f>
        <v>2664</v>
      </c>
      <c r="R32" s="48"/>
      <c r="S32" s="48"/>
      <c r="T32" s="48">
        <f>SUM(,T30,)</f>
        <v>2664</v>
      </c>
      <c r="U32" s="54">
        <f>H32+K32+N32+Q32+T32</f>
        <v>12548</v>
      </c>
    </row>
    <row r="33" spans="1:21" ht="18.75">
      <c r="A33" s="50" t="s">
        <v>36</v>
      </c>
      <c r="B33" s="432" t="s">
        <v>423</v>
      </c>
      <c r="C33" s="432"/>
      <c r="D33" s="432"/>
      <c r="E33" s="432"/>
      <c r="F33" s="432"/>
      <c r="G33" s="432"/>
      <c r="H33" s="432"/>
      <c r="I33" s="432"/>
      <c r="J33" s="432"/>
      <c r="K33" s="432"/>
      <c r="L33" s="432"/>
      <c r="M33" s="432"/>
      <c r="N33" s="432"/>
      <c r="O33" s="432"/>
      <c r="P33" s="432"/>
      <c r="Q33" s="432"/>
      <c r="R33" s="432"/>
      <c r="S33" s="432"/>
      <c r="T33" s="432"/>
      <c r="U33" s="432"/>
    </row>
    <row r="34" spans="1:21" ht="15.75">
      <c r="A34" s="12" t="s">
        <v>37</v>
      </c>
      <c r="B34" s="51" t="s">
        <v>40</v>
      </c>
      <c r="C34" s="433" t="s">
        <v>90</v>
      </c>
      <c r="D34" s="417" t="s">
        <v>85</v>
      </c>
      <c r="E34" s="417" t="s">
        <v>102</v>
      </c>
      <c r="F34" s="85" t="s">
        <v>396</v>
      </c>
      <c r="G34" s="85" t="s">
        <v>33</v>
      </c>
      <c r="H34" s="38">
        <f>SUM(H35:H38)</f>
        <v>2949</v>
      </c>
      <c r="I34" s="85" t="s">
        <v>310</v>
      </c>
      <c r="J34" s="85" t="s">
        <v>33</v>
      </c>
      <c r="K34" s="38">
        <f>K35+K36+K37+K38</f>
        <v>3306</v>
      </c>
      <c r="L34" s="85" t="s">
        <v>310</v>
      </c>
      <c r="M34" s="85" t="s">
        <v>33</v>
      </c>
      <c r="N34" s="38">
        <f>SUM(N35:N38)</f>
        <v>3306</v>
      </c>
      <c r="O34" s="85" t="s">
        <v>310</v>
      </c>
      <c r="P34" s="85" t="s">
        <v>33</v>
      </c>
      <c r="Q34" s="38">
        <f>SUM(Q35:Q38)</f>
        <v>3306</v>
      </c>
      <c r="R34" s="85" t="s">
        <v>310</v>
      </c>
      <c r="S34" s="85" t="s">
        <v>33</v>
      </c>
      <c r="T34" s="38">
        <f>SUM(T35:T38)</f>
        <v>3306</v>
      </c>
      <c r="U34" s="2">
        <f t="shared" ref="U34:U54" si="0">H34+K34+N34+Q34+T34</f>
        <v>16173</v>
      </c>
    </row>
    <row r="35" spans="1:21" ht="47.25">
      <c r="A35" s="15" t="s">
        <v>424</v>
      </c>
      <c r="B35" s="10" t="s">
        <v>295</v>
      </c>
      <c r="C35" s="434"/>
      <c r="D35" s="436"/>
      <c r="E35" s="436"/>
      <c r="F35" s="85" t="s">
        <v>389</v>
      </c>
      <c r="G35" s="85" t="s">
        <v>390</v>
      </c>
      <c r="H35" s="38">
        <f>124</f>
        <v>124</v>
      </c>
      <c r="I35" s="11" t="s">
        <v>268</v>
      </c>
      <c r="J35" s="11" t="s">
        <v>130</v>
      </c>
      <c r="K35" s="1">
        <v>124</v>
      </c>
      <c r="L35" s="11" t="s">
        <v>268</v>
      </c>
      <c r="M35" s="11" t="s">
        <v>103</v>
      </c>
      <c r="N35" s="1">
        <v>124</v>
      </c>
      <c r="O35" s="11" t="s">
        <v>268</v>
      </c>
      <c r="P35" s="11" t="s">
        <v>103</v>
      </c>
      <c r="Q35" s="1">
        <v>124</v>
      </c>
      <c r="R35" s="11" t="s">
        <v>268</v>
      </c>
      <c r="S35" s="11" t="s">
        <v>103</v>
      </c>
      <c r="T35" s="1">
        <v>124</v>
      </c>
      <c r="U35" s="2">
        <f t="shared" si="0"/>
        <v>620</v>
      </c>
    </row>
    <row r="36" spans="1:21" ht="165.75">
      <c r="A36" s="15" t="s">
        <v>425</v>
      </c>
      <c r="B36" s="10" t="s">
        <v>43</v>
      </c>
      <c r="C36" s="434"/>
      <c r="D36" s="436"/>
      <c r="E36" s="436"/>
      <c r="F36" s="85" t="s">
        <v>391</v>
      </c>
      <c r="G36" s="85" t="s">
        <v>265</v>
      </c>
      <c r="H36" s="38">
        <f>2147-357</f>
        <v>1790</v>
      </c>
      <c r="I36" s="11" t="s">
        <v>269</v>
      </c>
      <c r="J36" s="11" t="s">
        <v>265</v>
      </c>
      <c r="K36" s="1">
        <v>2147</v>
      </c>
      <c r="L36" s="11" t="s">
        <v>269</v>
      </c>
      <c r="M36" s="11" t="s">
        <v>265</v>
      </c>
      <c r="N36" s="1">
        <v>2147</v>
      </c>
      <c r="O36" s="11" t="s">
        <v>269</v>
      </c>
      <c r="P36" s="11" t="s">
        <v>265</v>
      </c>
      <c r="Q36" s="1">
        <v>2147</v>
      </c>
      <c r="R36" s="11" t="s">
        <v>269</v>
      </c>
      <c r="S36" s="11" t="s">
        <v>265</v>
      </c>
      <c r="T36" s="1">
        <v>2147</v>
      </c>
      <c r="U36" s="2">
        <f>H36+K36+N36+Q36+T36</f>
        <v>10378</v>
      </c>
    </row>
    <row r="37" spans="1:21" ht="31.5">
      <c r="A37" s="15" t="s">
        <v>426</v>
      </c>
      <c r="B37" s="10" t="s">
        <v>45</v>
      </c>
      <c r="C37" s="434"/>
      <c r="D37" s="436"/>
      <c r="E37" s="436"/>
      <c r="F37" s="11" t="s">
        <v>145</v>
      </c>
      <c r="G37" s="85" t="s">
        <v>393</v>
      </c>
      <c r="H37" s="38">
        <f>921</f>
        <v>921</v>
      </c>
      <c r="I37" s="11" t="s">
        <v>145</v>
      </c>
      <c r="J37" s="11" t="s">
        <v>119</v>
      </c>
      <c r="K37" s="1">
        <v>921</v>
      </c>
      <c r="L37" s="11" t="s">
        <v>145</v>
      </c>
      <c r="M37" s="11" t="s">
        <v>119</v>
      </c>
      <c r="N37" s="1">
        <v>921</v>
      </c>
      <c r="O37" s="11" t="s">
        <v>145</v>
      </c>
      <c r="P37" s="11" t="s">
        <v>119</v>
      </c>
      <c r="Q37" s="1">
        <v>921</v>
      </c>
      <c r="R37" s="11" t="s">
        <v>145</v>
      </c>
      <c r="S37" s="11" t="s">
        <v>119</v>
      </c>
      <c r="T37" s="1">
        <v>921</v>
      </c>
      <c r="U37" s="2">
        <f t="shared" si="0"/>
        <v>4605</v>
      </c>
    </row>
    <row r="38" spans="1:21" ht="31.5">
      <c r="A38" s="15" t="s">
        <v>427</v>
      </c>
      <c r="B38" s="10" t="s">
        <v>47</v>
      </c>
      <c r="C38" s="435"/>
      <c r="D38" s="437"/>
      <c r="E38" s="437"/>
      <c r="F38" s="85" t="s">
        <v>179</v>
      </c>
      <c r="G38" s="85" t="s">
        <v>394</v>
      </c>
      <c r="H38" s="38">
        <f>114</f>
        <v>114</v>
      </c>
      <c r="I38" s="11" t="s">
        <v>179</v>
      </c>
      <c r="J38" s="11" t="s">
        <v>180</v>
      </c>
      <c r="K38" s="1">
        <v>114</v>
      </c>
      <c r="L38" s="11" t="s">
        <v>179</v>
      </c>
      <c r="M38" s="11" t="s">
        <v>180</v>
      </c>
      <c r="N38" s="1">
        <v>114</v>
      </c>
      <c r="O38" s="11" t="s">
        <v>179</v>
      </c>
      <c r="P38" s="11" t="s">
        <v>180</v>
      </c>
      <c r="Q38" s="1">
        <v>114</v>
      </c>
      <c r="R38" s="11" t="s">
        <v>179</v>
      </c>
      <c r="S38" s="11" t="s">
        <v>180</v>
      </c>
      <c r="T38" s="1">
        <v>114</v>
      </c>
      <c r="U38" s="2">
        <f t="shared" si="0"/>
        <v>570</v>
      </c>
    </row>
    <row r="39" spans="1:21" ht="141.75">
      <c r="A39" s="12" t="s">
        <v>312</v>
      </c>
      <c r="B39" s="10" t="s">
        <v>49</v>
      </c>
      <c r="C39" s="201" t="s">
        <v>90</v>
      </c>
      <c r="D39" s="5" t="s">
        <v>85</v>
      </c>
      <c r="E39" s="5" t="s">
        <v>91</v>
      </c>
      <c r="F39" s="11" t="s">
        <v>104</v>
      </c>
      <c r="G39" s="11" t="s">
        <v>105</v>
      </c>
      <c r="H39" s="1">
        <v>9</v>
      </c>
      <c r="I39" s="11" t="s">
        <v>104</v>
      </c>
      <c r="J39" s="11" t="s">
        <v>105</v>
      </c>
      <c r="K39" s="1">
        <v>9</v>
      </c>
      <c r="L39" s="11" t="s">
        <v>104</v>
      </c>
      <c r="M39" s="11" t="s">
        <v>105</v>
      </c>
      <c r="N39" s="1">
        <v>9</v>
      </c>
      <c r="O39" s="11" t="s">
        <v>104</v>
      </c>
      <c r="P39" s="11" t="s">
        <v>105</v>
      </c>
      <c r="Q39" s="1">
        <v>9</v>
      </c>
      <c r="R39" s="11" t="s">
        <v>104</v>
      </c>
      <c r="S39" s="11" t="s">
        <v>105</v>
      </c>
      <c r="T39" s="1">
        <v>9</v>
      </c>
      <c r="U39" s="2">
        <f t="shared" si="0"/>
        <v>45</v>
      </c>
    </row>
    <row r="40" spans="1:21" ht="63">
      <c r="A40" s="12" t="s">
        <v>428</v>
      </c>
      <c r="B40" s="10" t="s">
        <v>51</v>
      </c>
      <c r="C40" s="202" t="s">
        <v>90</v>
      </c>
      <c r="D40" s="5" t="s">
        <v>85</v>
      </c>
      <c r="E40" s="5" t="s">
        <v>91</v>
      </c>
      <c r="F40" s="85" t="s">
        <v>147</v>
      </c>
      <c r="G40" s="85" t="s">
        <v>381</v>
      </c>
      <c r="H40" s="38">
        <f>426</f>
        <v>426</v>
      </c>
      <c r="I40" s="11" t="s">
        <v>147</v>
      </c>
      <c r="J40" s="11" t="s">
        <v>148</v>
      </c>
      <c r="K40" s="1">
        <v>426</v>
      </c>
      <c r="L40" s="11" t="s">
        <v>147</v>
      </c>
      <c r="M40" s="11" t="s">
        <v>148</v>
      </c>
      <c r="N40" s="1">
        <v>426</v>
      </c>
      <c r="O40" s="11" t="s">
        <v>147</v>
      </c>
      <c r="P40" s="11" t="s">
        <v>148</v>
      </c>
      <c r="Q40" s="1">
        <v>426</v>
      </c>
      <c r="R40" s="11" t="s">
        <v>147</v>
      </c>
      <c r="S40" s="11" t="s">
        <v>148</v>
      </c>
      <c r="T40" s="1">
        <v>426</v>
      </c>
      <c r="U40" s="2">
        <f t="shared" si="0"/>
        <v>2130</v>
      </c>
    </row>
    <row r="41" spans="1:21" ht="54">
      <c r="A41" s="12" t="s">
        <v>429</v>
      </c>
      <c r="B41" s="10" t="s">
        <v>201</v>
      </c>
      <c r="C41" s="438" t="s">
        <v>191</v>
      </c>
      <c r="D41" s="5" t="s">
        <v>85</v>
      </c>
      <c r="E41" s="5" t="s">
        <v>106</v>
      </c>
      <c r="F41" s="11" t="s">
        <v>317</v>
      </c>
      <c r="G41" s="11" t="s">
        <v>107</v>
      </c>
      <c r="H41" s="1">
        <v>3304</v>
      </c>
      <c r="I41" s="11" t="s">
        <v>317</v>
      </c>
      <c r="J41" s="11" t="s">
        <v>107</v>
      </c>
      <c r="K41" s="1">
        <v>3304</v>
      </c>
      <c r="L41" s="11" t="s">
        <v>317</v>
      </c>
      <c r="M41" s="11" t="s">
        <v>107</v>
      </c>
      <c r="N41" s="1">
        <v>3304</v>
      </c>
      <c r="O41" s="11" t="s">
        <v>317</v>
      </c>
      <c r="P41" s="11" t="s">
        <v>107</v>
      </c>
      <c r="Q41" s="1">
        <v>3304</v>
      </c>
      <c r="R41" s="11" t="s">
        <v>317</v>
      </c>
      <c r="S41" s="11" t="s">
        <v>107</v>
      </c>
      <c r="T41" s="1">
        <v>3304</v>
      </c>
      <c r="U41" s="2">
        <f t="shared" si="0"/>
        <v>16520</v>
      </c>
    </row>
    <row r="42" spans="1:21" ht="78.75">
      <c r="A42" s="12" t="s">
        <v>430</v>
      </c>
      <c r="B42" s="10" t="s">
        <v>296</v>
      </c>
      <c r="C42" s="438"/>
      <c r="D42" s="5" t="s">
        <v>85</v>
      </c>
      <c r="E42" s="5" t="s">
        <v>108</v>
      </c>
      <c r="F42" s="11" t="s">
        <v>137</v>
      </c>
      <c r="G42" s="11" t="s">
        <v>109</v>
      </c>
      <c r="H42" s="1">
        <v>378</v>
      </c>
      <c r="I42" s="11" t="s">
        <v>137</v>
      </c>
      <c r="J42" s="11" t="s">
        <v>109</v>
      </c>
      <c r="K42" s="1">
        <v>378</v>
      </c>
      <c r="L42" s="11" t="s">
        <v>137</v>
      </c>
      <c r="M42" s="11" t="s">
        <v>109</v>
      </c>
      <c r="N42" s="1">
        <v>378</v>
      </c>
      <c r="O42" s="11" t="s">
        <v>137</v>
      </c>
      <c r="P42" s="11" t="s">
        <v>109</v>
      </c>
      <c r="Q42" s="1">
        <v>378</v>
      </c>
      <c r="R42" s="11" t="s">
        <v>137</v>
      </c>
      <c r="S42" s="11" t="s">
        <v>109</v>
      </c>
      <c r="T42" s="1">
        <v>378</v>
      </c>
      <c r="U42" s="2">
        <f t="shared" si="0"/>
        <v>1890</v>
      </c>
    </row>
    <row r="43" spans="1:21" ht="78.75">
      <c r="A43" s="12" t="s">
        <v>431</v>
      </c>
      <c r="B43" s="10" t="s">
        <v>297</v>
      </c>
      <c r="C43" s="202" t="s">
        <v>90</v>
      </c>
      <c r="D43" s="5" t="s">
        <v>85</v>
      </c>
      <c r="E43" s="5" t="s">
        <v>91</v>
      </c>
      <c r="F43" s="11" t="s">
        <v>146</v>
      </c>
      <c r="G43" s="11" t="s">
        <v>110</v>
      </c>
      <c r="H43" s="1">
        <v>12</v>
      </c>
      <c r="I43" s="11" t="s">
        <v>146</v>
      </c>
      <c r="J43" s="11" t="s">
        <v>110</v>
      </c>
      <c r="K43" s="1">
        <v>12</v>
      </c>
      <c r="L43" s="11" t="s">
        <v>146</v>
      </c>
      <c r="M43" s="11" t="s">
        <v>110</v>
      </c>
      <c r="N43" s="1">
        <v>12</v>
      </c>
      <c r="O43" s="11" t="s">
        <v>146</v>
      </c>
      <c r="P43" s="11" t="s">
        <v>110</v>
      </c>
      <c r="Q43" s="1">
        <v>12</v>
      </c>
      <c r="R43" s="11" t="s">
        <v>146</v>
      </c>
      <c r="S43" s="11" t="s">
        <v>110</v>
      </c>
      <c r="T43" s="1">
        <v>12</v>
      </c>
      <c r="U43" s="2">
        <f t="shared" si="0"/>
        <v>60</v>
      </c>
    </row>
    <row r="44" spans="1:21" ht="91.5" customHeight="1">
      <c r="A44" s="12" t="s">
        <v>432</v>
      </c>
      <c r="B44" s="10" t="s">
        <v>465</v>
      </c>
      <c r="C44" s="433" t="s">
        <v>191</v>
      </c>
      <c r="D44" s="5" t="s">
        <v>85</v>
      </c>
      <c r="E44" s="5" t="s">
        <v>102</v>
      </c>
      <c r="F44" s="11" t="s">
        <v>104</v>
      </c>
      <c r="G44" s="11" t="s">
        <v>111</v>
      </c>
      <c r="H44" s="1">
        <v>50</v>
      </c>
      <c r="I44" s="11" t="s">
        <v>104</v>
      </c>
      <c r="J44" s="11" t="s">
        <v>111</v>
      </c>
      <c r="K44" s="1">
        <v>50</v>
      </c>
      <c r="L44" s="11" t="s">
        <v>104</v>
      </c>
      <c r="M44" s="11" t="s">
        <v>111</v>
      </c>
      <c r="N44" s="1">
        <v>50</v>
      </c>
      <c r="O44" s="11" t="s">
        <v>104</v>
      </c>
      <c r="P44" s="11" t="s">
        <v>111</v>
      </c>
      <c r="Q44" s="1">
        <v>50</v>
      </c>
      <c r="R44" s="11" t="s">
        <v>104</v>
      </c>
      <c r="S44" s="11" t="s">
        <v>111</v>
      </c>
      <c r="T44" s="1">
        <v>50</v>
      </c>
      <c r="U44" s="2">
        <f t="shared" si="0"/>
        <v>250</v>
      </c>
    </row>
    <row r="45" spans="1:21" ht="63">
      <c r="A45" s="12" t="s">
        <v>433</v>
      </c>
      <c r="B45" s="10" t="s">
        <v>195</v>
      </c>
      <c r="C45" s="439"/>
      <c r="D45" s="5" t="s">
        <v>85</v>
      </c>
      <c r="E45" s="5" t="s">
        <v>102</v>
      </c>
      <c r="F45" s="11" t="s">
        <v>104</v>
      </c>
      <c r="G45" s="11" t="s">
        <v>138</v>
      </c>
      <c r="H45" s="1">
        <v>50</v>
      </c>
      <c r="I45" s="11" t="s">
        <v>104</v>
      </c>
      <c r="J45" s="11" t="s">
        <v>138</v>
      </c>
      <c r="K45" s="1">
        <v>50</v>
      </c>
      <c r="L45" s="11" t="s">
        <v>104</v>
      </c>
      <c r="M45" s="11" t="s">
        <v>138</v>
      </c>
      <c r="N45" s="1">
        <v>50</v>
      </c>
      <c r="O45" s="11" t="s">
        <v>104</v>
      </c>
      <c r="P45" s="11" t="s">
        <v>138</v>
      </c>
      <c r="Q45" s="1">
        <v>50</v>
      </c>
      <c r="R45" s="11" t="s">
        <v>104</v>
      </c>
      <c r="S45" s="11" t="s">
        <v>138</v>
      </c>
      <c r="T45" s="1">
        <v>50</v>
      </c>
      <c r="U45" s="2">
        <f t="shared" si="0"/>
        <v>250</v>
      </c>
    </row>
    <row r="46" spans="1:21" ht="94.5">
      <c r="A46" s="12" t="s">
        <v>434</v>
      </c>
      <c r="B46" s="10" t="s">
        <v>196</v>
      </c>
      <c r="C46" s="439"/>
      <c r="D46" s="5" t="s">
        <v>85</v>
      </c>
      <c r="E46" s="5" t="s">
        <v>91</v>
      </c>
      <c r="F46" s="85" t="s">
        <v>408</v>
      </c>
      <c r="G46" s="85" t="s">
        <v>409</v>
      </c>
      <c r="H46" s="38">
        <f>480+330</f>
        <v>810</v>
      </c>
      <c r="I46" s="11" t="s">
        <v>266</v>
      </c>
      <c r="J46" s="11" t="s">
        <v>112</v>
      </c>
      <c r="K46" s="1">
        <v>480</v>
      </c>
      <c r="L46" s="11" t="s">
        <v>266</v>
      </c>
      <c r="M46" s="11" t="s">
        <v>112</v>
      </c>
      <c r="N46" s="1">
        <v>480</v>
      </c>
      <c r="O46" s="11" t="s">
        <v>266</v>
      </c>
      <c r="P46" s="11" t="s">
        <v>112</v>
      </c>
      <c r="Q46" s="1">
        <v>480</v>
      </c>
      <c r="R46" s="11" t="s">
        <v>266</v>
      </c>
      <c r="S46" s="11" t="s">
        <v>112</v>
      </c>
      <c r="T46" s="1">
        <v>480</v>
      </c>
      <c r="U46" s="2">
        <f t="shared" si="0"/>
        <v>2730</v>
      </c>
    </row>
    <row r="47" spans="1:21" ht="110.25">
      <c r="A47" s="55" t="s">
        <v>435</v>
      </c>
      <c r="B47" s="10" t="s">
        <v>197</v>
      </c>
      <c r="C47" s="439"/>
      <c r="D47" s="5" t="s">
        <v>85</v>
      </c>
      <c r="E47" s="5" t="s">
        <v>102</v>
      </c>
      <c r="F47" s="11" t="s">
        <v>131</v>
      </c>
      <c r="G47" s="11" t="s">
        <v>112</v>
      </c>
      <c r="H47" s="1">
        <v>30</v>
      </c>
      <c r="I47" s="11" t="s">
        <v>131</v>
      </c>
      <c r="J47" s="11" t="s">
        <v>112</v>
      </c>
      <c r="K47" s="1">
        <v>30</v>
      </c>
      <c r="L47" s="11" t="s">
        <v>131</v>
      </c>
      <c r="M47" s="11" t="s">
        <v>112</v>
      </c>
      <c r="N47" s="1">
        <v>30</v>
      </c>
      <c r="O47" s="11" t="s">
        <v>131</v>
      </c>
      <c r="P47" s="11" t="s">
        <v>112</v>
      </c>
      <c r="Q47" s="1">
        <v>30</v>
      </c>
      <c r="R47" s="11" t="s">
        <v>131</v>
      </c>
      <c r="S47" s="11" t="s">
        <v>112</v>
      </c>
      <c r="T47" s="1">
        <v>30</v>
      </c>
      <c r="U47" s="2">
        <f t="shared" si="0"/>
        <v>150</v>
      </c>
    </row>
    <row r="48" spans="1:21" ht="63">
      <c r="A48" s="16" t="s">
        <v>436</v>
      </c>
      <c r="B48" s="10" t="s">
        <v>198</v>
      </c>
      <c r="C48" s="440"/>
      <c r="D48" s="5" t="s">
        <v>85</v>
      </c>
      <c r="E48" s="5" t="s">
        <v>102</v>
      </c>
      <c r="F48" s="11">
        <v>1</v>
      </c>
      <c r="G48" s="11" t="s">
        <v>138</v>
      </c>
      <c r="H48" s="1">
        <v>50</v>
      </c>
      <c r="I48" s="11">
        <v>1</v>
      </c>
      <c r="J48" s="11" t="s">
        <v>138</v>
      </c>
      <c r="K48" s="1">
        <v>50</v>
      </c>
      <c r="L48" s="11">
        <v>1</v>
      </c>
      <c r="M48" s="11" t="s">
        <v>138</v>
      </c>
      <c r="N48" s="1">
        <v>50</v>
      </c>
      <c r="O48" s="11">
        <v>1</v>
      </c>
      <c r="P48" s="11" t="s">
        <v>138</v>
      </c>
      <c r="Q48" s="1">
        <v>50</v>
      </c>
      <c r="R48" s="11">
        <v>1</v>
      </c>
      <c r="S48" s="11" t="s">
        <v>138</v>
      </c>
      <c r="T48" s="1">
        <v>50</v>
      </c>
      <c r="U48" s="2">
        <f t="shared" si="0"/>
        <v>250</v>
      </c>
    </row>
    <row r="49" spans="1:21" ht="63">
      <c r="A49" s="16" t="s">
        <v>437</v>
      </c>
      <c r="B49" s="10" t="s">
        <v>61</v>
      </c>
      <c r="C49" s="202" t="s">
        <v>90</v>
      </c>
      <c r="D49" s="5" t="s">
        <v>85</v>
      </c>
      <c r="E49" s="5" t="s">
        <v>91</v>
      </c>
      <c r="F49" s="85" t="s">
        <v>395</v>
      </c>
      <c r="G49" s="85" t="s">
        <v>270</v>
      </c>
      <c r="H49" s="38">
        <f>96</f>
        <v>96</v>
      </c>
      <c r="I49" s="11" t="s">
        <v>121</v>
      </c>
      <c r="J49" s="11" t="s">
        <v>270</v>
      </c>
      <c r="K49" s="1">
        <v>96</v>
      </c>
      <c r="L49" s="11" t="s">
        <v>121</v>
      </c>
      <c r="M49" s="11" t="s">
        <v>270</v>
      </c>
      <c r="N49" s="1">
        <v>96</v>
      </c>
      <c r="O49" s="11" t="s">
        <v>121</v>
      </c>
      <c r="P49" s="11" t="s">
        <v>270</v>
      </c>
      <c r="Q49" s="1">
        <v>96</v>
      </c>
      <c r="R49" s="11" t="s">
        <v>121</v>
      </c>
      <c r="S49" s="11" t="s">
        <v>270</v>
      </c>
      <c r="T49" s="1">
        <v>96</v>
      </c>
      <c r="U49" s="2">
        <f t="shared" si="0"/>
        <v>480</v>
      </c>
    </row>
    <row r="50" spans="1:21" ht="94.5">
      <c r="A50" s="16" t="s">
        <v>438</v>
      </c>
      <c r="B50" s="10" t="s">
        <v>234</v>
      </c>
      <c r="C50" s="202" t="s">
        <v>90</v>
      </c>
      <c r="D50" s="5" t="s">
        <v>113</v>
      </c>
      <c r="E50" s="5" t="s">
        <v>102</v>
      </c>
      <c r="F50" s="85" t="s">
        <v>327</v>
      </c>
      <c r="G50" s="85" t="s">
        <v>298</v>
      </c>
      <c r="H50" s="38">
        <f>515*55</f>
        <v>28325</v>
      </c>
      <c r="I50" s="11" t="s">
        <v>299</v>
      </c>
      <c r="J50" s="11" t="s">
        <v>149</v>
      </c>
      <c r="K50" s="1">
        <v>1848</v>
      </c>
      <c r="L50" s="11" t="s">
        <v>299</v>
      </c>
      <c r="M50" s="11" t="s">
        <v>149</v>
      </c>
      <c r="N50" s="1">
        <v>1848</v>
      </c>
      <c r="O50" s="11" t="s">
        <v>275</v>
      </c>
      <c r="P50" s="11" t="s">
        <v>149</v>
      </c>
      <c r="Q50" s="1">
        <v>2321</v>
      </c>
      <c r="R50" s="11" t="s">
        <v>275</v>
      </c>
      <c r="S50" s="11" t="s">
        <v>149</v>
      </c>
      <c r="T50" s="1">
        <v>2321</v>
      </c>
      <c r="U50" s="2">
        <f t="shared" si="0"/>
        <v>36663</v>
      </c>
    </row>
    <row r="51" spans="1:21" ht="47.25">
      <c r="A51" s="12" t="s">
        <v>439</v>
      </c>
      <c r="B51" s="33" t="s">
        <v>122</v>
      </c>
      <c r="C51" s="205" t="s">
        <v>99</v>
      </c>
      <c r="D51" s="5" t="s">
        <v>85</v>
      </c>
      <c r="E51" s="5" t="s">
        <v>5</v>
      </c>
      <c r="F51" s="85" t="s">
        <v>410</v>
      </c>
      <c r="G51" s="196" t="s">
        <v>383</v>
      </c>
      <c r="H51" s="38">
        <f>387-2.2</f>
        <v>384.8</v>
      </c>
      <c r="I51" s="85" t="s">
        <v>300</v>
      </c>
      <c r="J51" s="87" t="s">
        <v>125</v>
      </c>
      <c r="K51" s="38">
        <v>387</v>
      </c>
      <c r="L51" s="14" t="s">
        <v>301</v>
      </c>
      <c r="M51" s="56" t="s">
        <v>151</v>
      </c>
      <c r="N51" s="38">
        <v>387</v>
      </c>
      <c r="O51" s="14" t="s">
        <v>150</v>
      </c>
      <c r="P51" s="56" t="s">
        <v>151</v>
      </c>
      <c r="Q51" s="38">
        <v>386</v>
      </c>
      <c r="R51" s="14" t="s">
        <v>150</v>
      </c>
      <c r="S51" s="56" t="s">
        <v>151</v>
      </c>
      <c r="T51" s="38">
        <v>386</v>
      </c>
      <c r="U51" s="2">
        <f t="shared" si="0"/>
        <v>1930.8</v>
      </c>
    </row>
    <row r="52" spans="1:21" ht="114.75">
      <c r="A52" s="12" t="s">
        <v>440</v>
      </c>
      <c r="B52" s="89" t="s">
        <v>220</v>
      </c>
      <c r="C52" s="205" t="s">
        <v>192</v>
      </c>
      <c r="D52" s="206" t="s">
        <v>85</v>
      </c>
      <c r="E52" s="206" t="s">
        <v>91</v>
      </c>
      <c r="F52" s="190">
        <v>75</v>
      </c>
      <c r="G52" s="190" t="s">
        <v>464</v>
      </c>
      <c r="H52" s="191">
        <v>1248</v>
      </c>
      <c r="I52" s="190">
        <v>75</v>
      </c>
      <c r="J52" s="190" t="s">
        <v>464</v>
      </c>
      <c r="K52" s="191">
        <v>1248</v>
      </c>
      <c r="L52" s="190">
        <v>75</v>
      </c>
      <c r="M52" s="190" t="s">
        <v>464</v>
      </c>
      <c r="N52" s="191">
        <v>1248</v>
      </c>
      <c r="O52" s="190">
        <v>75</v>
      </c>
      <c r="P52" s="190" t="s">
        <v>464</v>
      </c>
      <c r="Q52" s="191">
        <v>1248</v>
      </c>
      <c r="R52" s="190">
        <v>75</v>
      </c>
      <c r="S52" s="190" t="s">
        <v>464</v>
      </c>
      <c r="T52" s="191">
        <v>1248</v>
      </c>
      <c r="U52" s="99">
        <f>H52+K52+N52+Q52+T52</f>
        <v>6240</v>
      </c>
    </row>
    <row r="53" spans="1:21" s="9" customFormat="1" ht="16.5">
      <c r="A53" s="414" t="s">
        <v>101</v>
      </c>
      <c r="B53" s="415"/>
      <c r="C53" s="415"/>
      <c r="D53" s="415"/>
      <c r="E53" s="415"/>
      <c r="F53" s="41"/>
      <c r="G53" s="42"/>
      <c r="H53" s="43">
        <f>H54+H55</f>
        <v>38121.800000000003</v>
      </c>
      <c r="I53" s="44"/>
      <c r="J53" s="45"/>
      <c r="K53" s="43">
        <f>K54+K55</f>
        <v>11674</v>
      </c>
      <c r="L53" s="44"/>
      <c r="M53" s="45"/>
      <c r="N53" s="43">
        <f>N54+N55</f>
        <v>11674</v>
      </c>
      <c r="O53" s="43"/>
      <c r="P53" s="43"/>
      <c r="Q53" s="43">
        <f>Q54+Q55</f>
        <v>12146</v>
      </c>
      <c r="R53" s="43"/>
      <c r="S53" s="43"/>
      <c r="T53" s="43">
        <f>T54+T55</f>
        <v>12146</v>
      </c>
      <c r="U53" s="43">
        <f t="shared" si="0"/>
        <v>85761.8</v>
      </c>
    </row>
    <row r="54" spans="1:21" s="9" customFormat="1" ht="16.5">
      <c r="A54" s="441" t="s">
        <v>6</v>
      </c>
      <c r="B54" s="442"/>
      <c r="C54" s="203"/>
      <c r="D54" s="203"/>
      <c r="E54" s="203"/>
      <c r="F54" s="41"/>
      <c r="G54" s="42"/>
      <c r="H54" s="54">
        <f>H51</f>
        <v>384.8</v>
      </c>
      <c r="I54" s="52"/>
      <c r="J54" s="53"/>
      <c r="K54" s="54">
        <f>K51</f>
        <v>387</v>
      </c>
      <c r="L54" s="52"/>
      <c r="M54" s="53"/>
      <c r="N54" s="54">
        <f>N51</f>
        <v>387</v>
      </c>
      <c r="O54" s="54"/>
      <c r="P54" s="54"/>
      <c r="Q54" s="54">
        <f>Q51</f>
        <v>386</v>
      </c>
      <c r="R54" s="43"/>
      <c r="S54" s="43"/>
      <c r="T54" s="54">
        <f>T51</f>
        <v>386</v>
      </c>
      <c r="U54" s="54">
        <f t="shared" si="0"/>
        <v>1930.8</v>
      </c>
    </row>
    <row r="55" spans="1:21" ht="16.5">
      <c r="A55" s="411" t="s">
        <v>95</v>
      </c>
      <c r="B55" s="411"/>
      <c r="C55" s="411"/>
      <c r="D55" s="411"/>
      <c r="E55" s="411"/>
      <c r="F55" s="46"/>
      <c r="G55" s="47"/>
      <c r="H55" s="48">
        <f>H34+H39+H40+H41+H42+H43+H44+H45+H46+H47+H48+H49+H50+H52</f>
        <v>37737</v>
      </c>
      <c r="I55" s="49"/>
      <c r="J55" s="49"/>
      <c r="K55" s="48">
        <f>K34+K39+K40+K41+K42+K43+K44+K45+K46+K47+K48+K49+K50+K52</f>
        <v>11287</v>
      </c>
      <c r="L55" s="49"/>
      <c r="M55" s="49"/>
      <c r="N55" s="48">
        <f>N34+N39+N40+N41+N42+N43+N44+N45+N46+N47+N48+N49+N50+N52</f>
        <v>11287</v>
      </c>
      <c r="O55" s="48"/>
      <c r="P55" s="48"/>
      <c r="Q55" s="48">
        <f>Q34+Q39+Q40+Q41+Q42+Q43+Q44+Q45+Q46+Q47+Q48+Q49+Q50+Q52</f>
        <v>11760</v>
      </c>
      <c r="R55" s="48"/>
      <c r="S55" s="48"/>
      <c r="T55" s="48">
        <f>T34+T39+T40+T41+T42+T43+T44+T45+T46+T47+T48+T49+T50+T52</f>
        <v>11760</v>
      </c>
      <c r="U55" s="54">
        <f>SUM(H55:T55)</f>
        <v>83831</v>
      </c>
    </row>
    <row r="56" spans="1:21" ht="18.75">
      <c r="A56" s="57" t="s">
        <v>38</v>
      </c>
      <c r="B56" s="428" t="s">
        <v>441</v>
      </c>
      <c r="C56" s="429"/>
      <c r="D56" s="429"/>
      <c r="E56" s="429"/>
      <c r="F56" s="429"/>
      <c r="G56" s="429"/>
      <c r="H56" s="429"/>
      <c r="I56" s="429"/>
      <c r="J56" s="429"/>
      <c r="K56" s="429"/>
      <c r="L56" s="429"/>
      <c r="M56" s="429"/>
      <c r="N56" s="429"/>
      <c r="O56" s="429"/>
      <c r="P56" s="429"/>
      <c r="Q56" s="429"/>
      <c r="R56" s="429"/>
      <c r="S56" s="429"/>
      <c r="T56" s="429"/>
      <c r="U56" s="430"/>
    </row>
    <row r="57" spans="1:21" ht="89.25">
      <c r="A57" s="12" t="s">
        <v>39</v>
      </c>
      <c r="B57" s="10" t="s">
        <v>203</v>
      </c>
      <c r="C57" s="205" t="s">
        <v>90</v>
      </c>
      <c r="D57" s="5" t="s">
        <v>85</v>
      </c>
      <c r="E57" s="5" t="s">
        <v>1</v>
      </c>
      <c r="F57" s="85" t="s">
        <v>124</v>
      </c>
      <c r="G57" s="85" t="s">
        <v>123</v>
      </c>
      <c r="H57" s="38">
        <f>700</f>
        <v>700</v>
      </c>
      <c r="I57" s="11" t="s">
        <v>124</v>
      </c>
      <c r="J57" s="11" t="s">
        <v>123</v>
      </c>
      <c r="K57" s="1">
        <v>700</v>
      </c>
      <c r="L57" s="11" t="s">
        <v>124</v>
      </c>
      <c r="M57" s="11" t="s">
        <v>123</v>
      </c>
      <c r="N57" s="1">
        <v>700</v>
      </c>
      <c r="O57" s="11" t="s">
        <v>124</v>
      </c>
      <c r="P57" s="11" t="s">
        <v>123</v>
      </c>
      <c r="Q57" s="1">
        <v>700</v>
      </c>
      <c r="R57" s="11" t="s">
        <v>124</v>
      </c>
      <c r="S57" s="11" t="s">
        <v>123</v>
      </c>
      <c r="T57" s="1">
        <v>700</v>
      </c>
      <c r="U57" s="2">
        <f>H57+K57+N57+Q57+T57</f>
        <v>3500</v>
      </c>
    </row>
    <row r="58" spans="1:21" s="9" customFormat="1" ht="16.5">
      <c r="A58" s="414" t="s">
        <v>114</v>
      </c>
      <c r="B58" s="415"/>
      <c r="C58" s="415"/>
      <c r="D58" s="415"/>
      <c r="E58" s="415"/>
      <c r="F58" s="41"/>
      <c r="G58" s="42"/>
      <c r="H58" s="43">
        <f>SUM(H59:H59)</f>
        <v>700</v>
      </c>
      <c r="I58" s="44"/>
      <c r="J58" s="45"/>
      <c r="K58" s="43">
        <f>SUM(K59:K59)</f>
        <v>700</v>
      </c>
      <c r="L58" s="44"/>
      <c r="M58" s="45"/>
      <c r="N58" s="43">
        <f>SUM(N59:N59)</f>
        <v>700</v>
      </c>
      <c r="O58" s="43"/>
      <c r="P58" s="43"/>
      <c r="Q58" s="43">
        <f>SUM(Q59:Q59)</f>
        <v>700</v>
      </c>
      <c r="R58" s="43"/>
      <c r="S58" s="43"/>
      <c r="T58" s="43">
        <f>SUM(T59:T59)</f>
        <v>700</v>
      </c>
      <c r="U58" s="43">
        <f>H58+K58+N58+Q58+T58</f>
        <v>3500</v>
      </c>
    </row>
    <row r="59" spans="1:21" ht="16.5">
      <c r="A59" s="411" t="s">
        <v>95</v>
      </c>
      <c r="B59" s="411"/>
      <c r="C59" s="411"/>
      <c r="D59" s="411"/>
      <c r="E59" s="411"/>
      <c r="F59" s="46"/>
      <c r="G59" s="47"/>
      <c r="H59" s="48">
        <f>SUM(H57:H57)</f>
        <v>700</v>
      </c>
      <c r="I59" s="49"/>
      <c r="J59" s="49"/>
      <c r="K59" s="48">
        <f>SUM(K57:K57)</f>
        <v>700</v>
      </c>
      <c r="L59" s="49"/>
      <c r="M59" s="49"/>
      <c r="N59" s="48">
        <f>SUM(N57:N57)</f>
        <v>700</v>
      </c>
      <c r="O59" s="48"/>
      <c r="P59" s="48"/>
      <c r="Q59" s="48">
        <f>SUM(Q57:Q57)</f>
        <v>700</v>
      </c>
      <c r="R59" s="48"/>
      <c r="S59" s="48"/>
      <c r="T59" s="48">
        <f>SUM(T57:T57)</f>
        <v>700</v>
      </c>
      <c r="U59" s="54">
        <f>H59+K59+N59+Q59+T59</f>
        <v>3500</v>
      </c>
    </row>
    <row r="60" spans="1:21" ht="18.75">
      <c r="A60" s="57" t="s">
        <v>63</v>
      </c>
      <c r="B60" s="431" t="s">
        <v>442</v>
      </c>
      <c r="C60" s="431"/>
      <c r="D60" s="431"/>
      <c r="E60" s="431"/>
      <c r="F60" s="431"/>
      <c r="G60" s="431"/>
      <c r="H60" s="431"/>
      <c r="I60" s="431"/>
      <c r="J60" s="431"/>
      <c r="K60" s="431"/>
      <c r="L60" s="431"/>
      <c r="M60" s="431"/>
      <c r="N60" s="431"/>
      <c r="O60" s="431"/>
      <c r="P60" s="431"/>
      <c r="Q60" s="431"/>
      <c r="R60" s="431"/>
      <c r="S60" s="431"/>
      <c r="T60" s="431"/>
      <c r="U60" s="431"/>
    </row>
    <row r="61" spans="1:21" ht="76.5">
      <c r="A61" s="12" t="s">
        <v>64</v>
      </c>
      <c r="B61" s="10" t="s">
        <v>204</v>
      </c>
      <c r="C61" s="5" t="s">
        <v>90</v>
      </c>
      <c r="D61" s="5" t="s">
        <v>85</v>
      </c>
      <c r="E61" s="5" t="s">
        <v>91</v>
      </c>
      <c r="F61" s="85" t="s">
        <v>405</v>
      </c>
      <c r="G61" s="85" t="s">
        <v>152</v>
      </c>
      <c r="H61" s="38">
        <f>1656-207</f>
        <v>1449</v>
      </c>
      <c r="I61" s="11" t="s">
        <v>120</v>
      </c>
      <c r="J61" s="11" t="s">
        <v>152</v>
      </c>
      <c r="K61" s="1">
        <v>1656</v>
      </c>
      <c r="L61" s="13" t="s">
        <v>153</v>
      </c>
      <c r="M61" s="11" t="s">
        <v>152</v>
      </c>
      <c r="N61" s="1">
        <v>1656</v>
      </c>
      <c r="O61" s="13" t="s">
        <v>153</v>
      </c>
      <c r="P61" s="11" t="s">
        <v>152</v>
      </c>
      <c r="Q61" s="1">
        <v>1656</v>
      </c>
      <c r="R61" s="13" t="s">
        <v>153</v>
      </c>
      <c r="S61" s="11" t="s">
        <v>152</v>
      </c>
      <c r="T61" s="1">
        <v>1656</v>
      </c>
      <c r="U61" s="2">
        <f>H61+K61+N61+Q61+T61</f>
        <v>8073</v>
      </c>
    </row>
    <row r="62" spans="1:21" ht="114.75">
      <c r="A62" s="12" t="s">
        <v>443</v>
      </c>
      <c r="B62" s="10" t="s">
        <v>471</v>
      </c>
      <c r="C62" s="5" t="s">
        <v>99</v>
      </c>
      <c r="D62" s="5" t="s">
        <v>85</v>
      </c>
      <c r="E62" s="5" t="s">
        <v>3</v>
      </c>
      <c r="F62" s="85" t="s">
        <v>397</v>
      </c>
      <c r="G62" s="85" t="s">
        <v>302</v>
      </c>
      <c r="H62" s="38">
        <f>86-31</f>
        <v>55</v>
      </c>
      <c r="I62" s="11" t="s">
        <v>116</v>
      </c>
      <c r="J62" s="11" t="s">
        <v>302</v>
      </c>
      <c r="K62" s="1">
        <v>86</v>
      </c>
      <c r="L62" s="11" t="s">
        <v>116</v>
      </c>
      <c r="M62" s="11" t="s">
        <v>302</v>
      </c>
      <c r="N62" s="1">
        <v>86</v>
      </c>
      <c r="O62" s="11" t="s">
        <v>116</v>
      </c>
      <c r="P62" s="11" t="s">
        <v>117</v>
      </c>
      <c r="Q62" s="1">
        <v>86</v>
      </c>
      <c r="R62" s="11" t="s">
        <v>116</v>
      </c>
      <c r="S62" s="11" t="s">
        <v>117</v>
      </c>
      <c r="T62" s="1">
        <v>86</v>
      </c>
      <c r="U62" s="2">
        <f>H62+K62+N62+Q62+T62</f>
        <v>399</v>
      </c>
    </row>
    <row r="63" spans="1:21" s="9" customFormat="1" ht="16.5">
      <c r="A63" s="414" t="s">
        <v>0</v>
      </c>
      <c r="B63" s="415"/>
      <c r="C63" s="415"/>
      <c r="D63" s="415"/>
      <c r="E63" s="415"/>
      <c r="F63" s="41"/>
      <c r="G63" s="42"/>
      <c r="H63" s="43">
        <f>SUM(H64:H65)</f>
        <v>1504</v>
      </c>
      <c r="I63" s="44"/>
      <c r="J63" s="45"/>
      <c r="K63" s="43">
        <f>SUM(K64:K65)</f>
        <v>1742</v>
      </c>
      <c r="L63" s="44"/>
      <c r="M63" s="45"/>
      <c r="N63" s="43">
        <f>SUM(N64:N65)</f>
        <v>1742</v>
      </c>
      <c r="O63" s="43"/>
      <c r="P63" s="43"/>
      <c r="Q63" s="43">
        <f>Q61+Q62</f>
        <v>1742</v>
      </c>
      <c r="R63" s="43"/>
      <c r="S63" s="43"/>
      <c r="T63" s="43">
        <f>SUM(T64:T65)</f>
        <v>1742</v>
      </c>
      <c r="U63" s="43">
        <f>H63+K63+N63+Q63+T63</f>
        <v>8472</v>
      </c>
    </row>
    <row r="64" spans="1:21" ht="16.5">
      <c r="A64" s="411" t="s">
        <v>95</v>
      </c>
      <c r="B64" s="411"/>
      <c r="C64" s="411"/>
      <c r="D64" s="411"/>
      <c r="E64" s="411"/>
      <c r="F64" s="46"/>
      <c r="G64" s="47"/>
      <c r="H64" s="48">
        <f>SUM(H61,)</f>
        <v>1449</v>
      </c>
      <c r="I64" s="49"/>
      <c r="J64" s="49"/>
      <c r="K64" s="48">
        <f>SUM(K61,)</f>
        <v>1656</v>
      </c>
      <c r="L64" s="49"/>
      <c r="M64" s="49"/>
      <c r="N64" s="48">
        <f>SUM(N61,)</f>
        <v>1656</v>
      </c>
      <c r="O64" s="48"/>
      <c r="P64" s="48"/>
      <c r="Q64" s="48">
        <f>SUM(Q61,)</f>
        <v>1656</v>
      </c>
      <c r="R64" s="48"/>
      <c r="S64" s="48"/>
      <c r="T64" s="48">
        <f>SUM(T61,)</f>
        <v>1656</v>
      </c>
      <c r="U64" s="54">
        <f>H64+K64+N64+Q64+T64</f>
        <v>8073</v>
      </c>
    </row>
    <row r="65" spans="1:23" ht="16.5">
      <c r="A65" s="411" t="s">
        <v>6</v>
      </c>
      <c r="B65" s="411"/>
      <c r="C65" s="411"/>
      <c r="D65" s="411"/>
      <c r="E65" s="411"/>
      <c r="F65" s="46"/>
      <c r="G65" s="47"/>
      <c r="H65" s="48">
        <f>H62</f>
        <v>55</v>
      </c>
      <c r="I65" s="49"/>
      <c r="J65" s="49"/>
      <c r="K65" s="48">
        <f>K62</f>
        <v>86</v>
      </c>
      <c r="L65" s="49"/>
      <c r="M65" s="49"/>
      <c r="N65" s="48">
        <f>N62</f>
        <v>86</v>
      </c>
      <c r="O65" s="48"/>
      <c r="P65" s="48"/>
      <c r="Q65" s="48">
        <f>Q62</f>
        <v>86</v>
      </c>
      <c r="R65" s="48"/>
      <c r="S65" s="48"/>
      <c r="T65" s="48">
        <f>T62</f>
        <v>86</v>
      </c>
      <c r="U65" s="54">
        <f>H65+K65+N65+Q65+T65</f>
        <v>399</v>
      </c>
    </row>
    <row r="66" spans="1:23" ht="18.75">
      <c r="A66" s="58" t="s">
        <v>444</v>
      </c>
      <c r="B66" s="401" t="s">
        <v>445</v>
      </c>
      <c r="C66" s="402"/>
      <c r="D66" s="402"/>
      <c r="E66" s="402"/>
      <c r="F66" s="402"/>
      <c r="G66" s="402"/>
      <c r="H66" s="402"/>
      <c r="I66" s="402"/>
      <c r="J66" s="402"/>
      <c r="K66" s="402"/>
      <c r="L66" s="402"/>
      <c r="M66" s="402"/>
      <c r="N66" s="402"/>
      <c r="O66" s="402"/>
      <c r="P66" s="402"/>
      <c r="Q66" s="402"/>
      <c r="R66" s="402"/>
      <c r="S66" s="402"/>
      <c r="T66" s="402"/>
      <c r="U66" s="402"/>
    </row>
    <row r="67" spans="1:23" ht="108" customHeight="1">
      <c r="A67" s="17" t="s">
        <v>446</v>
      </c>
      <c r="B67" s="59" t="s">
        <v>193</v>
      </c>
      <c r="C67" s="205" t="s">
        <v>8</v>
      </c>
      <c r="D67" s="202" t="s">
        <v>85</v>
      </c>
      <c r="E67" s="2" t="s">
        <v>91</v>
      </c>
      <c r="F67" s="85" t="s">
        <v>158</v>
      </c>
      <c r="G67" s="85" t="s">
        <v>466</v>
      </c>
      <c r="H67" s="195">
        <f>409+357</f>
        <v>766</v>
      </c>
      <c r="I67" s="85" t="s">
        <v>158</v>
      </c>
      <c r="J67" s="11" t="s">
        <v>466</v>
      </c>
      <c r="K67" s="3">
        <v>409</v>
      </c>
      <c r="L67" s="11" t="s">
        <v>158</v>
      </c>
      <c r="M67" s="11" t="s">
        <v>468</v>
      </c>
      <c r="N67" s="3">
        <v>409</v>
      </c>
      <c r="O67" s="11" t="s">
        <v>158</v>
      </c>
      <c r="P67" s="11" t="s">
        <v>466</v>
      </c>
      <c r="Q67" s="3">
        <v>510</v>
      </c>
      <c r="R67" s="11" t="s">
        <v>158</v>
      </c>
      <c r="S67" s="11" t="s">
        <v>466</v>
      </c>
      <c r="T67" s="3">
        <v>510</v>
      </c>
      <c r="U67" s="2">
        <f>H67+K67+N67+Q67+T67</f>
        <v>2604</v>
      </c>
      <c r="V67" s="7" t="s">
        <v>219</v>
      </c>
      <c r="W67" s="7" t="s">
        <v>218</v>
      </c>
    </row>
    <row r="68" spans="1:23" s="9" customFormat="1" ht="29.25" customHeight="1">
      <c r="A68" s="414" t="s">
        <v>2</v>
      </c>
      <c r="B68" s="415"/>
      <c r="C68" s="415"/>
      <c r="D68" s="415"/>
      <c r="E68" s="415"/>
      <c r="F68" s="41"/>
      <c r="G68" s="42"/>
      <c r="H68" s="43">
        <f>SUM(H69:H69)</f>
        <v>766</v>
      </c>
      <c r="I68" s="44"/>
      <c r="J68" s="45"/>
      <c r="K68" s="43">
        <f>SUM(K69:K69)</f>
        <v>409</v>
      </c>
      <c r="L68" s="44"/>
      <c r="M68" s="45"/>
      <c r="N68" s="43">
        <f>SUM(N69:N69)</f>
        <v>409</v>
      </c>
      <c r="O68" s="43"/>
      <c r="P68" s="43"/>
      <c r="Q68" s="43">
        <f>SUM(Q69:Q69)</f>
        <v>510</v>
      </c>
      <c r="R68" s="43"/>
      <c r="S68" s="43"/>
      <c r="T68" s="43">
        <f>SUM(T69:T69)</f>
        <v>510</v>
      </c>
      <c r="U68" s="43">
        <f>H68+K68+N68+Q68+T68</f>
        <v>2604</v>
      </c>
    </row>
    <row r="69" spans="1:23" ht="30" customHeight="1">
      <c r="A69" s="411" t="s">
        <v>95</v>
      </c>
      <c r="B69" s="411"/>
      <c r="C69" s="411"/>
      <c r="D69" s="411"/>
      <c r="E69" s="411"/>
      <c r="F69" s="46"/>
      <c r="G69" s="47"/>
      <c r="H69" s="48">
        <f>SUM(H66:H67)</f>
        <v>766</v>
      </c>
      <c r="I69" s="49"/>
      <c r="J69" s="49"/>
      <c r="K69" s="48">
        <f>SUM(K66:K67)</f>
        <v>409</v>
      </c>
      <c r="L69" s="49"/>
      <c r="M69" s="49"/>
      <c r="N69" s="48">
        <f>SUM(N66:N67)</f>
        <v>409</v>
      </c>
      <c r="O69" s="48"/>
      <c r="P69" s="48"/>
      <c r="Q69" s="48">
        <f>SUM(Q66:Q67)</f>
        <v>510</v>
      </c>
      <c r="R69" s="48"/>
      <c r="S69" s="48"/>
      <c r="T69" s="48">
        <f>SUM(T66:T67)</f>
        <v>510</v>
      </c>
      <c r="U69" s="54">
        <f>H69+K69+N69+Q69+T69</f>
        <v>2604</v>
      </c>
    </row>
    <row r="70" spans="1:23" ht="26.25" customHeight="1">
      <c r="A70" s="60" t="s">
        <v>447</v>
      </c>
      <c r="B70" s="401" t="s">
        <v>448</v>
      </c>
      <c r="C70" s="412"/>
      <c r="D70" s="412"/>
      <c r="E70" s="412"/>
      <c r="F70" s="412"/>
      <c r="G70" s="412"/>
      <c r="H70" s="412"/>
      <c r="I70" s="412"/>
      <c r="J70" s="412"/>
      <c r="K70" s="412"/>
      <c r="L70" s="412"/>
      <c r="M70" s="412"/>
      <c r="N70" s="412"/>
      <c r="O70" s="412"/>
      <c r="P70" s="412"/>
      <c r="Q70" s="412"/>
      <c r="R70" s="412"/>
      <c r="S70" s="412"/>
      <c r="T70" s="412"/>
      <c r="U70" s="413"/>
    </row>
    <row r="71" spans="1:23" ht="199.5" customHeight="1">
      <c r="A71" s="12" t="s">
        <v>68</v>
      </c>
      <c r="B71" s="61" t="s">
        <v>199</v>
      </c>
      <c r="C71" s="205" t="s">
        <v>191</v>
      </c>
      <c r="D71" s="205" t="s">
        <v>85</v>
      </c>
      <c r="E71" s="5" t="s">
        <v>91</v>
      </c>
      <c r="F71" s="39" t="s">
        <v>469</v>
      </c>
      <c r="G71" s="39" t="s">
        <v>470</v>
      </c>
      <c r="H71" s="40">
        <f>27786-2500</f>
        <v>25286</v>
      </c>
      <c r="I71" s="11" t="s">
        <v>139</v>
      </c>
      <c r="J71" s="11" t="s">
        <v>141</v>
      </c>
      <c r="K71" s="1">
        <v>27786</v>
      </c>
      <c r="L71" s="11" t="s">
        <v>139</v>
      </c>
      <c r="M71" s="11" t="s">
        <v>141</v>
      </c>
      <c r="N71" s="1">
        <v>27786</v>
      </c>
      <c r="O71" s="11" t="s">
        <v>140</v>
      </c>
      <c r="P71" s="11" t="s">
        <v>142</v>
      </c>
      <c r="Q71" s="1">
        <v>40120</v>
      </c>
      <c r="R71" s="11" t="s">
        <v>140</v>
      </c>
      <c r="S71" s="11" t="s">
        <v>142</v>
      </c>
      <c r="T71" s="1">
        <v>40120</v>
      </c>
      <c r="U71" s="2">
        <f>H71+K71+N71+Q71+T71</f>
        <v>161098</v>
      </c>
    </row>
    <row r="72" spans="1:23" s="9" customFormat="1" ht="25.5" customHeight="1">
      <c r="A72" s="414" t="s">
        <v>4</v>
      </c>
      <c r="B72" s="415"/>
      <c r="C72" s="415"/>
      <c r="D72" s="415"/>
      <c r="E72" s="416"/>
      <c r="F72" s="62"/>
      <c r="G72" s="62"/>
      <c r="H72" s="63">
        <f>H73</f>
        <v>25286</v>
      </c>
      <c r="I72" s="62"/>
      <c r="J72" s="62"/>
      <c r="K72" s="63">
        <f>K73</f>
        <v>27786</v>
      </c>
      <c r="L72" s="41"/>
      <c r="M72" s="42"/>
      <c r="N72" s="63">
        <f>N73</f>
        <v>27786</v>
      </c>
      <c r="O72" s="63"/>
      <c r="P72" s="63"/>
      <c r="Q72" s="63">
        <f>Q73</f>
        <v>40120</v>
      </c>
      <c r="R72" s="63"/>
      <c r="S72" s="63"/>
      <c r="T72" s="63">
        <f>T73</f>
        <v>40120</v>
      </c>
      <c r="U72" s="43">
        <f>H72+K72+N72+Q72+T72</f>
        <v>161098</v>
      </c>
    </row>
    <row r="73" spans="1:23" ht="25.5" customHeight="1">
      <c r="A73" s="411" t="s">
        <v>95</v>
      </c>
      <c r="B73" s="411"/>
      <c r="C73" s="411"/>
      <c r="D73" s="411"/>
      <c r="E73" s="411"/>
      <c r="F73" s="11"/>
      <c r="G73" s="11"/>
      <c r="H73" s="1">
        <f>H71</f>
        <v>25286</v>
      </c>
      <c r="I73" s="11"/>
      <c r="J73" s="11"/>
      <c r="K73" s="1">
        <f>K71</f>
        <v>27786</v>
      </c>
      <c r="L73" s="46"/>
      <c r="M73" s="47"/>
      <c r="N73" s="1">
        <f>N71</f>
        <v>27786</v>
      </c>
      <c r="O73" s="1"/>
      <c r="P73" s="1"/>
      <c r="Q73" s="1">
        <f>Q71</f>
        <v>40120</v>
      </c>
      <c r="R73" s="1"/>
      <c r="S73" s="1"/>
      <c r="T73" s="1">
        <f>T71</f>
        <v>40120</v>
      </c>
      <c r="U73" s="54">
        <f>H73+K73+N73+Q73+T73</f>
        <v>161098</v>
      </c>
    </row>
    <row r="74" spans="1:23" ht="25.5" customHeight="1">
      <c r="A74" s="60" t="s">
        <v>181</v>
      </c>
      <c r="B74" s="401" t="s">
        <v>449</v>
      </c>
      <c r="C74" s="412"/>
      <c r="D74" s="412"/>
      <c r="E74" s="412"/>
      <c r="F74" s="412"/>
      <c r="G74" s="412"/>
      <c r="H74" s="412"/>
      <c r="I74" s="412"/>
      <c r="J74" s="412"/>
      <c r="K74" s="412"/>
      <c r="L74" s="412"/>
      <c r="M74" s="412"/>
      <c r="N74" s="412"/>
      <c r="O74" s="412"/>
      <c r="P74" s="412"/>
      <c r="Q74" s="412"/>
      <c r="R74" s="412"/>
      <c r="S74" s="412"/>
      <c r="T74" s="412"/>
      <c r="U74" s="413"/>
    </row>
    <row r="75" spans="1:23" ht="63.75" customHeight="1">
      <c r="A75" s="16" t="s">
        <v>450</v>
      </c>
      <c r="B75" s="35" t="s">
        <v>162</v>
      </c>
      <c r="C75" s="433" t="s">
        <v>8</v>
      </c>
      <c r="D75" s="205" t="s">
        <v>85</v>
      </c>
      <c r="E75" s="197" t="s">
        <v>91</v>
      </c>
      <c r="F75" s="122" t="s">
        <v>406</v>
      </c>
      <c r="G75" s="123" t="s">
        <v>411</v>
      </c>
      <c r="H75" s="124">
        <f>6486+934</f>
        <v>7420</v>
      </c>
      <c r="I75" s="18" t="s">
        <v>277</v>
      </c>
      <c r="J75" s="19" t="s">
        <v>276</v>
      </c>
      <c r="K75" s="20">
        <v>6486</v>
      </c>
      <c r="L75" s="18" t="s">
        <v>277</v>
      </c>
      <c r="M75" s="19" t="s">
        <v>276</v>
      </c>
      <c r="N75" s="20">
        <v>6486</v>
      </c>
      <c r="O75" s="18" t="s">
        <v>277</v>
      </c>
      <c r="P75" s="19" t="s">
        <v>276</v>
      </c>
      <c r="Q75" s="20">
        <v>6486</v>
      </c>
      <c r="R75" s="18" t="s">
        <v>277</v>
      </c>
      <c r="S75" s="19" t="s">
        <v>276</v>
      </c>
      <c r="T75" s="20">
        <v>6486</v>
      </c>
      <c r="U75" s="2">
        <f>H75+K75+N75+Q75+T75</f>
        <v>33364</v>
      </c>
    </row>
    <row r="76" spans="1:23" ht="90.75" customHeight="1">
      <c r="A76" s="64" t="s">
        <v>451</v>
      </c>
      <c r="B76" s="65" t="s">
        <v>289</v>
      </c>
      <c r="C76" s="459"/>
      <c r="D76" s="5" t="s">
        <v>85</v>
      </c>
      <c r="E76" s="37" t="s">
        <v>91</v>
      </c>
      <c r="F76" s="11" t="s">
        <v>319</v>
      </c>
      <c r="G76" s="85" t="s">
        <v>309</v>
      </c>
      <c r="H76" s="38">
        <v>681</v>
      </c>
      <c r="I76" s="11" t="s">
        <v>319</v>
      </c>
      <c r="J76" s="11" t="s">
        <v>98</v>
      </c>
      <c r="K76" s="1">
        <v>681</v>
      </c>
      <c r="L76" s="11" t="s">
        <v>319</v>
      </c>
      <c r="M76" s="11" t="s">
        <v>98</v>
      </c>
      <c r="N76" s="1">
        <v>681</v>
      </c>
      <c r="O76" s="11">
        <v>110</v>
      </c>
      <c r="P76" s="11" t="s">
        <v>98</v>
      </c>
      <c r="Q76" s="1">
        <v>660</v>
      </c>
      <c r="R76" s="11">
        <v>110</v>
      </c>
      <c r="S76" s="11" t="s">
        <v>98</v>
      </c>
      <c r="T76" s="1">
        <v>660</v>
      </c>
      <c r="U76" s="2">
        <f>H76+K76+N76+Q76+T76</f>
        <v>3363</v>
      </c>
    </row>
    <row r="77" spans="1:23" ht="130.5" customHeight="1">
      <c r="A77" s="64" t="s">
        <v>452</v>
      </c>
      <c r="B77" s="211" t="s">
        <v>473</v>
      </c>
      <c r="C77" s="213" t="s">
        <v>467</v>
      </c>
      <c r="D77" s="34" t="s">
        <v>85</v>
      </c>
      <c r="E77" s="5" t="s">
        <v>159</v>
      </c>
      <c r="F77" s="85" t="s">
        <v>160</v>
      </c>
      <c r="G77" s="85" t="s">
        <v>161</v>
      </c>
      <c r="H77" s="38">
        <f>774</f>
        <v>774</v>
      </c>
      <c r="I77" s="11" t="s">
        <v>160</v>
      </c>
      <c r="J77" s="11" t="s">
        <v>161</v>
      </c>
      <c r="K77" s="1">
        <v>774</v>
      </c>
      <c r="L77" s="11" t="s">
        <v>160</v>
      </c>
      <c r="M77" s="11" t="s">
        <v>161</v>
      </c>
      <c r="N77" s="1">
        <v>774</v>
      </c>
      <c r="O77" s="11" t="s">
        <v>160</v>
      </c>
      <c r="P77" s="11" t="s">
        <v>161</v>
      </c>
      <c r="Q77" s="1">
        <v>774</v>
      </c>
      <c r="R77" s="11" t="s">
        <v>160</v>
      </c>
      <c r="S77" s="11" t="s">
        <v>161</v>
      </c>
      <c r="T77" s="1">
        <v>774</v>
      </c>
      <c r="U77" s="2">
        <f>H77+K77+N77+Q77+T77</f>
        <v>3870</v>
      </c>
    </row>
    <row r="78" spans="1:23" s="9" customFormat="1" ht="18.75" customHeight="1">
      <c r="A78" s="414" t="s">
        <v>7</v>
      </c>
      <c r="B78" s="415"/>
      <c r="C78" s="415"/>
      <c r="D78" s="415"/>
      <c r="E78" s="416"/>
      <c r="F78" s="62"/>
      <c r="G78" s="62"/>
      <c r="H78" s="63">
        <f>H75+H76+H77</f>
        <v>8875</v>
      </c>
      <c r="I78" s="62"/>
      <c r="J78" s="62"/>
      <c r="K78" s="63">
        <f>K75+K76+K77</f>
        <v>7941</v>
      </c>
      <c r="L78" s="41"/>
      <c r="M78" s="42"/>
      <c r="N78" s="63">
        <f>N75+N76+N77</f>
        <v>7941</v>
      </c>
      <c r="O78" s="63"/>
      <c r="P78" s="63"/>
      <c r="Q78" s="63">
        <f>Q75+Q76+Q77</f>
        <v>7920</v>
      </c>
      <c r="R78" s="63"/>
      <c r="S78" s="63"/>
      <c r="T78" s="63">
        <f>T75+T76+T77</f>
        <v>7920</v>
      </c>
      <c r="U78" s="43">
        <f>H78+K78+N78+Q78+T78</f>
        <v>40597</v>
      </c>
    </row>
    <row r="79" spans="1:23" ht="16.5">
      <c r="A79" s="411" t="s">
        <v>95</v>
      </c>
      <c r="B79" s="411"/>
      <c r="C79" s="411"/>
      <c r="D79" s="411"/>
      <c r="E79" s="411"/>
      <c r="F79" s="46"/>
      <c r="G79" s="47"/>
      <c r="H79" s="1">
        <f>H75+H76+H77</f>
        <v>8875</v>
      </c>
      <c r="I79" s="11"/>
      <c r="J79" s="11"/>
      <c r="K79" s="1">
        <f>K75+K76+K77</f>
        <v>7941</v>
      </c>
      <c r="L79" s="46"/>
      <c r="M79" s="47"/>
      <c r="N79" s="1">
        <f>N75+N76+N77</f>
        <v>7941</v>
      </c>
      <c r="O79" s="1"/>
      <c r="P79" s="1"/>
      <c r="Q79" s="1">
        <f>Q75+Q76+Q77</f>
        <v>7920</v>
      </c>
      <c r="R79" s="1"/>
      <c r="S79" s="1"/>
      <c r="T79" s="1">
        <f>T75+T76+T77</f>
        <v>7920</v>
      </c>
      <c r="U79" s="54">
        <f>H79+K79+N79+Q79+T79</f>
        <v>40597</v>
      </c>
    </row>
    <row r="80" spans="1:23" ht="18.75">
      <c r="A80" s="58" t="s">
        <v>166</v>
      </c>
      <c r="B80" s="401" t="s">
        <v>453</v>
      </c>
      <c r="C80" s="402"/>
      <c r="D80" s="402"/>
      <c r="E80" s="402"/>
      <c r="F80" s="402"/>
      <c r="G80" s="402"/>
      <c r="H80" s="402"/>
      <c r="I80" s="402"/>
      <c r="J80" s="402"/>
      <c r="K80" s="402"/>
      <c r="L80" s="402"/>
      <c r="M80" s="402"/>
      <c r="N80" s="402"/>
      <c r="O80" s="402"/>
      <c r="P80" s="402"/>
      <c r="Q80" s="402"/>
      <c r="R80" s="402"/>
      <c r="S80" s="402"/>
      <c r="T80" s="402"/>
      <c r="U80" s="402"/>
    </row>
    <row r="81" spans="1:21" ht="169.5" customHeight="1">
      <c r="A81" s="17" t="s">
        <v>183</v>
      </c>
      <c r="B81" s="72" t="s">
        <v>454</v>
      </c>
      <c r="C81" s="205" t="s">
        <v>6</v>
      </c>
      <c r="D81" s="212" t="s">
        <v>85</v>
      </c>
      <c r="E81" s="2" t="s">
        <v>33</v>
      </c>
      <c r="F81" s="3" t="s">
        <v>33</v>
      </c>
      <c r="G81" s="3" t="s">
        <v>33</v>
      </c>
      <c r="H81" s="3">
        <v>136.19999999999999</v>
      </c>
      <c r="I81" s="3" t="s">
        <v>455</v>
      </c>
      <c r="J81" s="2" t="s">
        <v>33</v>
      </c>
      <c r="K81" s="3">
        <v>145</v>
      </c>
      <c r="L81" s="3" t="s">
        <v>455</v>
      </c>
      <c r="M81" s="2" t="s">
        <v>33</v>
      </c>
      <c r="N81" s="3">
        <v>145</v>
      </c>
      <c r="O81" s="3" t="s">
        <v>455</v>
      </c>
      <c r="P81" s="2" t="s">
        <v>33</v>
      </c>
      <c r="Q81" s="3">
        <v>145</v>
      </c>
      <c r="R81" s="3" t="s">
        <v>455</v>
      </c>
      <c r="S81" s="2" t="s">
        <v>33</v>
      </c>
      <c r="T81" s="3">
        <v>145</v>
      </c>
      <c r="U81" s="2">
        <f>H81+K81+N81+Q81+T81</f>
        <v>716.2</v>
      </c>
    </row>
    <row r="82" spans="1:21" s="9" customFormat="1" ht="16.5">
      <c r="A82" s="419" t="s">
        <v>456</v>
      </c>
      <c r="B82" s="420"/>
      <c r="C82" s="420"/>
      <c r="D82" s="420"/>
      <c r="E82" s="421"/>
      <c r="F82" s="208"/>
      <c r="G82" s="208"/>
      <c r="H82" s="208">
        <f>H81</f>
        <v>136.19999999999999</v>
      </c>
      <c r="I82" s="208"/>
      <c r="J82" s="208"/>
      <c r="K82" s="208">
        <f>K81</f>
        <v>145</v>
      </c>
      <c r="L82" s="208"/>
      <c r="M82" s="208"/>
      <c r="N82" s="208">
        <f>N81</f>
        <v>145</v>
      </c>
      <c r="O82" s="208"/>
      <c r="P82" s="208"/>
      <c r="Q82" s="208">
        <f>Q81</f>
        <v>145</v>
      </c>
      <c r="R82" s="208"/>
      <c r="S82" s="208"/>
      <c r="T82" s="208">
        <f>T81</f>
        <v>145</v>
      </c>
      <c r="U82" s="90">
        <f>H82+K82+N82+Q82+T82</f>
        <v>716.2</v>
      </c>
    </row>
    <row r="83" spans="1:21" ht="16.5">
      <c r="A83" s="91" t="s">
        <v>6</v>
      </c>
      <c r="B83" s="68"/>
      <c r="C83" s="207"/>
      <c r="D83" s="70"/>
      <c r="E83" s="71"/>
      <c r="F83" s="3"/>
      <c r="G83" s="1"/>
      <c r="H83" s="1">
        <f>H81</f>
        <v>136.19999999999999</v>
      </c>
      <c r="I83" s="1"/>
      <c r="J83" s="2"/>
      <c r="K83" s="3">
        <f>K81</f>
        <v>145</v>
      </c>
      <c r="L83" s="1"/>
      <c r="M83" s="2"/>
      <c r="N83" s="3">
        <f>N81</f>
        <v>145</v>
      </c>
      <c r="O83" s="1"/>
      <c r="P83" s="2"/>
      <c r="Q83" s="3">
        <f>Q81</f>
        <v>145</v>
      </c>
      <c r="R83" s="1"/>
      <c r="S83" s="2"/>
      <c r="T83" s="3">
        <f>T81</f>
        <v>145</v>
      </c>
      <c r="U83" s="2">
        <f>U81</f>
        <v>716.2</v>
      </c>
    </row>
    <row r="84" spans="1:21" s="9" customFormat="1" ht="18.75">
      <c r="A84" s="91" t="s">
        <v>70</v>
      </c>
      <c r="B84" s="401" t="s">
        <v>458</v>
      </c>
      <c r="C84" s="402"/>
      <c r="D84" s="402"/>
      <c r="E84" s="402"/>
      <c r="F84" s="402"/>
      <c r="G84" s="402"/>
      <c r="H84" s="402"/>
      <c r="I84" s="402"/>
      <c r="J84" s="402"/>
      <c r="K84" s="402"/>
      <c r="L84" s="402"/>
      <c r="M84" s="402"/>
      <c r="N84" s="402"/>
      <c r="O84" s="402"/>
      <c r="P84" s="402"/>
      <c r="Q84" s="402"/>
      <c r="R84" s="402"/>
      <c r="S84" s="402"/>
      <c r="T84" s="402"/>
      <c r="U84" s="402"/>
    </row>
    <row r="85" spans="1:21" s="9" customFormat="1" ht="115.5">
      <c r="A85" s="21" t="s">
        <v>167</v>
      </c>
      <c r="B85" s="75" t="s">
        <v>263</v>
      </c>
      <c r="C85" s="6" t="s">
        <v>205</v>
      </c>
      <c r="D85" s="5" t="s">
        <v>85</v>
      </c>
      <c r="E85" s="5" t="s">
        <v>91</v>
      </c>
      <c r="F85" s="11" t="s">
        <v>303</v>
      </c>
      <c r="G85" s="11" t="s">
        <v>240</v>
      </c>
      <c r="H85" s="77">
        <v>500</v>
      </c>
      <c r="I85" s="11">
        <v>0</v>
      </c>
      <c r="J85" s="11">
        <v>0</v>
      </c>
      <c r="K85" s="77">
        <v>0</v>
      </c>
      <c r="L85" s="11">
        <v>0</v>
      </c>
      <c r="M85" s="11">
        <v>0</v>
      </c>
      <c r="N85" s="77">
        <v>0</v>
      </c>
      <c r="O85" s="11" t="s">
        <v>244</v>
      </c>
      <c r="P85" s="11" t="s">
        <v>240</v>
      </c>
      <c r="Q85" s="77">
        <f>(540*1000*12)/1000</f>
        <v>6480</v>
      </c>
      <c r="R85" s="11" t="s">
        <v>244</v>
      </c>
      <c r="S85" s="11" t="s">
        <v>240</v>
      </c>
      <c r="T85" s="77">
        <f>(540*1000*12)/1000</f>
        <v>6480</v>
      </c>
      <c r="U85" s="2">
        <f>H85+K85+N85+Q85+T85</f>
        <v>13460</v>
      </c>
    </row>
    <row r="86" spans="1:21" s="9" customFormat="1" ht="115.5">
      <c r="A86" s="21" t="s">
        <v>184</v>
      </c>
      <c r="B86" s="75" t="s">
        <v>246</v>
      </c>
      <c r="C86" s="6" t="s">
        <v>205</v>
      </c>
      <c r="D86" s="5" t="s">
        <v>85</v>
      </c>
      <c r="E86" s="5" t="s">
        <v>91</v>
      </c>
      <c r="F86" s="11" t="s">
        <v>242</v>
      </c>
      <c r="G86" s="11" t="s">
        <v>292</v>
      </c>
      <c r="H86" s="3">
        <v>2880</v>
      </c>
      <c r="I86" s="11">
        <v>0</v>
      </c>
      <c r="J86" s="11">
        <v>0</v>
      </c>
      <c r="K86" s="3">
        <v>0</v>
      </c>
      <c r="L86" s="11">
        <v>0</v>
      </c>
      <c r="M86" s="11">
        <v>0</v>
      </c>
      <c r="N86" s="3">
        <v>0</v>
      </c>
      <c r="O86" s="11" t="s">
        <v>242</v>
      </c>
      <c r="P86" s="11" t="s">
        <v>245</v>
      </c>
      <c r="Q86" s="3">
        <f>(8*60000*12)/1000</f>
        <v>5760</v>
      </c>
      <c r="R86" s="11" t="s">
        <v>242</v>
      </c>
      <c r="S86" s="11" t="s">
        <v>245</v>
      </c>
      <c r="T86" s="3">
        <f>(8*60000*12)/1000</f>
        <v>5760</v>
      </c>
      <c r="U86" s="2">
        <f>H86+K86+N86+Q86+T86</f>
        <v>14400</v>
      </c>
    </row>
    <row r="87" spans="1:21" s="9" customFormat="1" ht="16.5">
      <c r="A87" s="91" t="s">
        <v>95</v>
      </c>
      <c r="B87" s="92"/>
      <c r="C87" s="6"/>
      <c r="D87" s="5"/>
      <c r="E87" s="5"/>
      <c r="F87" s="11"/>
      <c r="G87" s="11"/>
      <c r="H87" s="3">
        <f>H85+H86</f>
        <v>3380</v>
      </c>
      <c r="I87" s="11"/>
      <c r="J87" s="11"/>
      <c r="K87" s="3">
        <f>K85+K86</f>
        <v>0</v>
      </c>
      <c r="L87" s="11"/>
      <c r="M87" s="11"/>
      <c r="N87" s="3">
        <f>N85+N86</f>
        <v>0</v>
      </c>
      <c r="O87" s="11"/>
      <c r="P87" s="11"/>
      <c r="Q87" s="3">
        <f>Q85+Q86</f>
        <v>12240</v>
      </c>
      <c r="R87" s="11"/>
      <c r="S87" s="11"/>
      <c r="T87" s="3">
        <f>T85+T86</f>
        <v>12240</v>
      </c>
      <c r="U87" s="2">
        <f>H87+K87+N87+Q87+T87</f>
        <v>27860</v>
      </c>
    </row>
    <row r="88" spans="1:21" ht="20.25">
      <c r="A88" s="403" t="s">
        <v>19</v>
      </c>
      <c r="B88" s="404"/>
      <c r="C88" s="404"/>
      <c r="D88" s="404"/>
      <c r="E88" s="404"/>
      <c r="F88" s="460">
        <f>F89+F90+F91</f>
        <v>157092.37</v>
      </c>
      <c r="G88" s="461"/>
      <c r="H88" s="462"/>
      <c r="I88" s="408">
        <f>SUM(I89:K91)</f>
        <v>70176</v>
      </c>
      <c r="J88" s="409"/>
      <c r="K88" s="410"/>
      <c r="L88" s="408">
        <f>SUM(L89:N91)</f>
        <v>70176</v>
      </c>
      <c r="M88" s="409"/>
      <c r="N88" s="410"/>
      <c r="O88" s="408">
        <f>O89+O90+O91</f>
        <v>168234.3</v>
      </c>
      <c r="P88" s="409"/>
      <c r="Q88" s="410"/>
      <c r="R88" s="408">
        <f>R89+R90+R91</f>
        <v>168244.3</v>
      </c>
      <c r="S88" s="409"/>
      <c r="T88" s="410"/>
      <c r="U88" s="78">
        <f>F88+I88+L88+O88+R88</f>
        <v>633922.97</v>
      </c>
    </row>
    <row r="89" spans="1:21" ht="18.75">
      <c r="A89" s="400" t="s">
        <v>164</v>
      </c>
      <c r="B89" s="400"/>
      <c r="C89" s="400"/>
      <c r="D89" s="400"/>
      <c r="E89" s="400"/>
      <c r="F89" s="399">
        <f>H28+H54+H65+H83</f>
        <v>23882</v>
      </c>
      <c r="G89" s="399"/>
      <c r="H89" s="399"/>
      <c r="I89" s="399">
        <f>K28+K54+K65+K83</f>
        <v>618</v>
      </c>
      <c r="J89" s="399"/>
      <c r="K89" s="399"/>
      <c r="L89" s="399">
        <f>N28+N54+N65+N83</f>
        <v>618</v>
      </c>
      <c r="M89" s="399"/>
      <c r="N89" s="399"/>
      <c r="O89" s="399">
        <f>Q28+Q54+Q65+Q83</f>
        <v>617</v>
      </c>
      <c r="P89" s="399"/>
      <c r="Q89" s="399"/>
      <c r="R89" s="399">
        <f>T28+T54+T65+T83</f>
        <v>617</v>
      </c>
      <c r="S89" s="399"/>
      <c r="T89" s="399"/>
      <c r="U89" s="79">
        <f>F89+I89+L89+O89+R89</f>
        <v>26352</v>
      </c>
    </row>
    <row r="90" spans="1:21" ht="18.75">
      <c r="A90" s="400" t="s">
        <v>20</v>
      </c>
      <c r="B90" s="400"/>
      <c r="C90" s="400"/>
      <c r="D90" s="400"/>
      <c r="E90" s="400"/>
      <c r="F90" s="399">
        <f>H27+H32+H55+H59+H64+H69+H73+H79+H87</f>
        <v>96915</v>
      </c>
      <c r="G90" s="399"/>
      <c r="H90" s="399"/>
      <c r="I90" s="399">
        <f>K27+K32+K55+K59+K64+K69+K73+K79+K87</f>
        <v>69558</v>
      </c>
      <c r="J90" s="399"/>
      <c r="K90" s="399"/>
      <c r="L90" s="399">
        <f>N27+N32+N55+N59+N64+N69+N73+N79+N87</f>
        <v>69558</v>
      </c>
      <c r="M90" s="399"/>
      <c r="N90" s="399"/>
      <c r="O90" s="399">
        <f>Q27+Q32+Q55+Q59+Q64+Q69+Q73+Q79+Q87</f>
        <v>99245.3</v>
      </c>
      <c r="P90" s="399"/>
      <c r="Q90" s="399"/>
      <c r="R90" s="399">
        <f>T27+T32+T55+T59+T64+T69+T73+T79+T87</f>
        <v>99255.3</v>
      </c>
      <c r="S90" s="399"/>
      <c r="T90" s="399"/>
      <c r="U90" s="79">
        <f>F90+I90+L90+O90+R90</f>
        <v>434531.6</v>
      </c>
    </row>
    <row r="91" spans="1:21" ht="18.75">
      <c r="A91" s="396" t="s">
        <v>21</v>
      </c>
      <c r="B91" s="397"/>
      <c r="C91" s="397"/>
      <c r="D91" s="397"/>
      <c r="E91" s="398"/>
      <c r="F91" s="399">
        <f>H26</f>
        <v>36295.370000000003</v>
      </c>
      <c r="G91" s="399"/>
      <c r="H91" s="399"/>
      <c r="I91" s="399">
        <f>K26</f>
        <v>0</v>
      </c>
      <c r="J91" s="399"/>
      <c r="K91" s="399"/>
      <c r="L91" s="399">
        <f>N26</f>
        <v>0</v>
      </c>
      <c r="M91" s="399"/>
      <c r="N91" s="399"/>
      <c r="O91" s="399">
        <f>Q26</f>
        <v>68372</v>
      </c>
      <c r="P91" s="399"/>
      <c r="Q91" s="399"/>
      <c r="R91" s="399">
        <f>T26</f>
        <v>68372</v>
      </c>
      <c r="S91" s="399"/>
      <c r="T91" s="399"/>
      <c r="U91" s="79">
        <f>F91+O91+R91</f>
        <v>173039.37</v>
      </c>
    </row>
    <row r="92" spans="1:21" ht="16.5">
      <c r="A92" s="394" t="s">
        <v>459</v>
      </c>
      <c r="B92" s="394"/>
      <c r="C92" s="394"/>
      <c r="D92" s="394"/>
      <c r="E92" s="394"/>
      <c r="F92" s="394"/>
      <c r="G92" s="394"/>
      <c r="H92" s="394"/>
      <c r="I92" s="394"/>
      <c r="J92" s="394"/>
      <c r="K92" s="394"/>
      <c r="L92" s="394"/>
      <c r="M92" s="394"/>
      <c r="N92" s="394"/>
      <c r="O92" s="394"/>
      <c r="P92" s="394"/>
      <c r="Q92" s="394"/>
      <c r="R92" s="394"/>
      <c r="S92" s="394"/>
      <c r="T92" s="394"/>
      <c r="U92" s="394"/>
    </row>
    <row r="93" spans="1:21" ht="16.5">
      <c r="A93" s="395" t="s">
        <v>23</v>
      </c>
      <c r="B93" s="395"/>
      <c r="C93" s="395"/>
      <c r="D93" s="395"/>
      <c r="E93" s="80"/>
      <c r="F93" s="81"/>
      <c r="G93" s="81"/>
      <c r="H93" s="81"/>
      <c r="I93" s="81"/>
      <c r="J93" s="81"/>
      <c r="K93" s="81"/>
      <c r="L93" s="81"/>
      <c r="M93" s="81"/>
      <c r="N93" s="81"/>
      <c r="O93" s="81"/>
      <c r="P93" s="81"/>
      <c r="Q93" s="81"/>
      <c r="R93" s="81"/>
      <c r="S93" s="81"/>
      <c r="T93" s="81"/>
      <c r="U93" s="81"/>
    </row>
    <row r="94" spans="1:21" ht="16.5">
      <c r="A94" s="394" t="s">
        <v>24</v>
      </c>
      <c r="B94" s="394"/>
      <c r="C94" s="394"/>
      <c r="D94" s="394"/>
      <c r="E94" s="209"/>
      <c r="F94" s="209"/>
      <c r="G94" s="209"/>
      <c r="H94" s="209"/>
      <c r="I94" s="209"/>
      <c r="J94" s="209"/>
      <c r="K94" s="209"/>
      <c r="L94" s="209"/>
      <c r="M94" s="209"/>
      <c r="N94" s="209"/>
      <c r="O94" s="209"/>
      <c r="P94" s="209"/>
      <c r="Q94" s="209"/>
      <c r="R94" s="209"/>
      <c r="S94" s="209"/>
      <c r="T94" s="209"/>
      <c r="U94" s="82"/>
    </row>
    <row r="100" spans="4:4">
      <c r="D100" s="83"/>
    </row>
  </sheetData>
  <mergeCells count="79">
    <mergeCell ref="A92:U92"/>
    <mergeCell ref="A93:D93"/>
    <mergeCell ref="A94:D94"/>
    <mergeCell ref="A91:E91"/>
    <mergeCell ref="F91:H91"/>
    <mergeCell ref="I91:K91"/>
    <mergeCell ref="L91:N91"/>
    <mergeCell ref="O91:Q91"/>
    <mergeCell ref="R91:T91"/>
    <mergeCell ref="R90:T90"/>
    <mergeCell ref="A89:E89"/>
    <mergeCell ref="F89:H89"/>
    <mergeCell ref="I89:K89"/>
    <mergeCell ref="L89:N89"/>
    <mergeCell ref="O89:Q89"/>
    <mergeCell ref="R89:T89"/>
    <mergeCell ref="A90:E90"/>
    <mergeCell ref="F90:H90"/>
    <mergeCell ref="I90:K90"/>
    <mergeCell ref="L90:N90"/>
    <mergeCell ref="O90:Q90"/>
    <mergeCell ref="B84:U84"/>
    <mergeCell ref="A88:E88"/>
    <mergeCell ref="F88:H88"/>
    <mergeCell ref="I88:K88"/>
    <mergeCell ref="L88:N88"/>
    <mergeCell ref="O88:Q88"/>
    <mergeCell ref="R88:T88"/>
    <mergeCell ref="B80:U80"/>
    <mergeCell ref="A82:E82"/>
    <mergeCell ref="A73:E73"/>
    <mergeCell ref="B74:U74"/>
    <mergeCell ref="A78:E78"/>
    <mergeCell ref="A79:E79"/>
    <mergeCell ref="C75:C76"/>
    <mergeCell ref="A72:E72"/>
    <mergeCell ref="B56:U56"/>
    <mergeCell ref="A58:E58"/>
    <mergeCell ref="A59:E59"/>
    <mergeCell ref="B60:U60"/>
    <mergeCell ref="A63:E63"/>
    <mergeCell ref="A64:E64"/>
    <mergeCell ref="A65:E65"/>
    <mergeCell ref="B66:U66"/>
    <mergeCell ref="A68:E68"/>
    <mergeCell ref="A69:E69"/>
    <mergeCell ref="B70:U70"/>
    <mergeCell ref="A53:E53"/>
    <mergeCell ref="A54:B54"/>
    <mergeCell ref="A55:E55"/>
    <mergeCell ref="B33:U33"/>
    <mergeCell ref="C34:C38"/>
    <mergeCell ref="D34:D38"/>
    <mergeCell ref="E34:E38"/>
    <mergeCell ref="C41:C42"/>
    <mergeCell ref="C44:C48"/>
    <mergeCell ref="A31:E31"/>
    <mergeCell ref="A32:E32"/>
    <mergeCell ref="C11:C12"/>
    <mergeCell ref="A25:E25"/>
    <mergeCell ref="A26:E26"/>
    <mergeCell ref="A27:E27"/>
    <mergeCell ref="B29:U29"/>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s>
  <pageMargins left="0.17" right="0.16" top="0.17" bottom="0.75" header="0.17" footer="0.3"/>
  <pageSetup paperSize="9" scale="32" orientation="landscape" r:id="rId1"/>
  <rowBreaks count="1" manualBreakCount="1">
    <brk id="61" max="20" man="1"/>
  </rowBreaks>
</worksheet>
</file>

<file path=xl/worksheets/sheet4.xml><?xml version="1.0" encoding="utf-8"?>
<worksheet xmlns="http://schemas.openxmlformats.org/spreadsheetml/2006/main" xmlns:r="http://schemas.openxmlformats.org/officeDocument/2006/relationships">
  <dimension ref="A1:W97"/>
  <sheetViews>
    <sheetView view="pageBreakPreview" zoomScale="70" zoomScaleSheetLayoutView="70" workbookViewId="0">
      <pane xSplit="8" ySplit="11" topLeftCell="L21" activePane="bottomRight" state="frozen"/>
      <selection pane="topRight" activeCell="I1" sqref="I1"/>
      <selection pane="bottomLeft" activeCell="A12" sqref="A12"/>
      <selection pane="bottomRight" sqref="A1:XFD1048576"/>
    </sheetView>
  </sheetViews>
  <sheetFormatPr defaultRowHeight="15"/>
  <cols>
    <col min="1" max="1" width="6.28515625" style="100" customWidth="1"/>
    <col min="2" max="2" width="52.5703125" style="100" customWidth="1"/>
    <col min="3" max="3" width="26" style="100" customWidth="1"/>
    <col min="4" max="4" width="17.7109375" style="100" customWidth="1"/>
    <col min="5" max="5" width="30.5703125" style="100" customWidth="1"/>
    <col min="6" max="6" width="23.28515625" style="100" customWidth="1"/>
    <col min="7" max="7" width="20" style="100" customWidth="1"/>
    <col min="8" max="8" width="12.7109375" style="100" customWidth="1"/>
    <col min="9" max="9" width="20.85546875" style="100" customWidth="1"/>
    <col min="10" max="10" width="15.57031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19.28515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c r="R1" s="466" t="s">
        <v>323</v>
      </c>
      <c r="S1" s="467"/>
      <c r="T1" s="467"/>
      <c r="U1" s="467"/>
    </row>
    <row r="2" spans="1:21">
      <c r="R2" s="467"/>
      <c r="S2" s="467"/>
      <c r="T2" s="467"/>
      <c r="U2" s="467"/>
    </row>
    <row r="3" spans="1:21">
      <c r="A3" s="214"/>
      <c r="B3" s="214"/>
      <c r="C3" s="214"/>
      <c r="D3" s="214"/>
      <c r="E3" s="214"/>
      <c r="F3" s="214"/>
      <c r="G3" s="214"/>
      <c r="H3" s="214"/>
      <c r="I3" s="214"/>
      <c r="J3" s="214"/>
      <c r="K3" s="214"/>
      <c r="L3" s="214"/>
      <c r="M3" s="214"/>
      <c r="N3" s="214"/>
      <c r="O3" s="214"/>
      <c r="P3" s="214"/>
      <c r="Q3" s="214"/>
      <c r="R3" s="466" t="s">
        <v>322</v>
      </c>
      <c r="S3" s="468"/>
      <c r="T3" s="468"/>
      <c r="U3" s="468"/>
    </row>
    <row r="4" spans="1:21" ht="18.75">
      <c r="A4" s="469" t="s">
        <v>133</v>
      </c>
      <c r="B4" s="469"/>
      <c r="C4" s="469"/>
      <c r="D4" s="469"/>
      <c r="E4" s="469"/>
      <c r="F4" s="469"/>
      <c r="G4" s="469"/>
      <c r="H4" s="469"/>
      <c r="I4" s="469"/>
      <c r="J4" s="469"/>
      <c r="K4" s="469"/>
      <c r="L4" s="469"/>
      <c r="M4" s="469"/>
      <c r="N4" s="469"/>
      <c r="O4" s="469"/>
      <c r="P4" s="469"/>
      <c r="Q4" s="469"/>
      <c r="R4" s="469"/>
      <c r="S4" s="469"/>
      <c r="T4" s="469"/>
      <c r="U4" s="469"/>
    </row>
    <row r="5" spans="1:21" ht="18.75">
      <c r="A5" s="215"/>
      <c r="B5" s="215"/>
      <c r="C5" s="215"/>
      <c r="D5" s="215"/>
      <c r="E5" s="215"/>
      <c r="F5" s="215"/>
      <c r="G5" s="215"/>
      <c r="H5" s="215"/>
      <c r="I5" s="282"/>
      <c r="J5" s="282"/>
      <c r="K5" s="282"/>
      <c r="L5" s="215"/>
      <c r="M5" s="215"/>
      <c r="N5" s="215"/>
      <c r="O5" s="215"/>
      <c r="P5" s="215"/>
      <c r="Q5" s="215"/>
      <c r="R5" s="215"/>
      <c r="S5" s="215"/>
      <c r="T5" s="215"/>
      <c r="U5" s="215"/>
    </row>
    <row r="6" spans="1:21" s="216" customFormat="1">
      <c r="A6" s="470" t="s">
        <v>25</v>
      </c>
      <c r="B6" s="470" t="s">
        <v>177</v>
      </c>
      <c r="C6" s="470" t="s">
        <v>178</v>
      </c>
      <c r="D6" s="470" t="s">
        <v>78</v>
      </c>
      <c r="E6" s="470" t="s">
        <v>79</v>
      </c>
      <c r="F6" s="472" t="s">
        <v>134</v>
      </c>
      <c r="G6" s="472"/>
      <c r="H6" s="472"/>
      <c r="I6" s="472" t="s">
        <v>135</v>
      </c>
      <c r="J6" s="472"/>
      <c r="K6" s="472"/>
      <c r="L6" s="472" t="s">
        <v>136</v>
      </c>
      <c r="M6" s="472"/>
      <c r="N6" s="472"/>
      <c r="O6" s="472" t="s">
        <v>171</v>
      </c>
      <c r="P6" s="472"/>
      <c r="Q6" s="472"/>
      <c r="R6" s="472" t="s">
        <v>172</v>
      </c>
      <c r="S6" s="472"/>
      <c r="T6" s="472"/>
      <c r="U6" s="470" t="s">
        <v>492</v>
      </c>
    </row>
    <row r="7" spans="1:21" s="216" customFormat="1" ht="60.75">
      <c r="A7" s="471"/>
      <c r="B7" s="471"/>
      <c r="C7" s="471"/>
      <c r="D7" s="471"/>
      <c r="E7" s="471"/>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471"/>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473" t="s">
        <v>26</v>
      </c>
      <c r="B9" s="474"/>
      <c r="C9" s="474"/>
      <c r="D9" s="474"/>
      <c r="E9" s="474"/>
      <c r="F9" s="474"/>
      <c r="G9" s="474"/>
      <c r="H9" s="474"/>
      <c r="I9" s="474"/>
      <c r="J9" s="474"/>
      <c r="K9" s="474"/>
      <c r="L9" s="474"/>
      <c r="M9" s="474"/>
      <c r="N9" s="474"/>
      <c r="O9" s="474"/>
      <c r="P9" s="474"/>
      <c r="Q9" s="474"/>
      <c r="R9" s="474"/>
      <c r="S9" s="474"/>
      <c r="T9" s="474"/>
      <c r="U9" s="475"/>
    </row>
    <row r="10" spans="1:21" ht="18.75">
      <c r="A10" s="220" t="s">
        <v>496</v>
      </c>
      <c r="B10" s="463" t="s">
        <v>457</v>
      </c>
      <c r="C10" s="464"/>
      <c r="D10" s="464"/>
      <c r="E10" s="464"/>
      <c r="F10" s="464"/>
      <c r="G10" s="464"/>
      <c r="H10" s="464"/>
      <c r="I10" s="464"/>
      <c r="J10" s="464"/>
      <c r="K10" s="464"/>
      <c r="L10" s="464"/>
      <c r="M10" s="464"/>
      <c r="N10" s="464"/>
      <c r="O10" s="464"/>
      <c r="P10" s="464"/>
      <c r="Q10" s="464"/>
      <c r="R10" s="464"/>
      <c r="S10" s="464"/>
      <c r="T10" s="464"/>
      <c r="U10" s="465"/>
    </row>
    <row r="11" spans="1:21" ht="181.5" customHeight="1">
      <c r="A11" s="221" t="s">
        <v>28</v>
      </c>
      <c r="B11" s="222" t="s">
        <v>29</v>
      </c>
      <c r="C11" s="480" t="s">
        <v>84</v>
      </c>
      <c r="D11" s="223" t="s">
        <v>85</v>
      </c>
      <c r="E11" s="224" t="s">
        <v>86</v>
      </c>
      <c r="F11" s="85" t="s">
        <v>497</v>
      </c>
      <c r="G11" s="225" t="s">
        <v>498</v>
      </c>
      <c r="H11" s="38">
        <f>43350-15000</f>
        <v>28350</v>
      </c>
      <c r="I11" s="85" t="s">
        <v>531</v>
      </c>
      <c r="J11" s="225" t="s">
        <v>532</v>
      </c>
      <c r="K11" s="38">
        <v>19722</v>
      </c>
      <c r="L11" s="85" t="s">
        <v>33</v>
      </c>
      <c r="M11" s="225" t="s">
        <v>33</v>
      </c>
      <c r="N11" s="38">
        <v>0</v>
      </c>
      <c r="O11" s="85">
        <v>7</v>
      </c>
      <c r="P11" s="225" t="s">
        <v>33</v>
      </c>
      <c r="Q11" s="38">
        <v>0</v>
      </c>
      <c r="R11" s="85" t="s">
        <v>499</v>
      </c>
      <c r="S11" s="225" t="s">
        <v>530</v>
      </c>
      <c r="T11" s="38">
        <v>35500</v>
      </c>
      <c r="U11" s="99">
        <f>H11+K11+N11+Q11+T11</f>
        <v>83572</v>
      </c>
    </row>
    <row r="12" spans="1:21" ht="192.75" customHeight="1">
      <c r="A12" s="96" t="s">
        <v>30</v>
      </c>
      <c r="B12" s="186" t="s">
        <v>460</v>
      </c>
      <c r="C12" s="481"/>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129.75" customHeight="1">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117.75" customHeight="1">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98" t="s">
        <v>90</v>
      </c>
      <c r="D16" s="227" t="s">
        <v>85</v>
      </c>
      <c r="E16" s="99" t="s">
        <v>91</v>
      </c>
      <c r="F16" s="38" t="s">
        <v>399</v>
      </c>
      <c r="G16" s="99" t="s">
        <v>118</v>
      </c>
      <c r="H16" s="195">
        <f>6183-123</f>
        <v>6060</v>
      </c>
      <c r="I16" s="38" t="s">
        <v>489</v>
      </c>
      <c r="J16" s="99" t="s">
        <v>118</v>
      </c>
      <c r="K16" s="195">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98"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98"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108" customHeight="1">
      <c r="A19" s="96" t="s">
        <v>417</v>
      </c>
      <c r="B19" s="72" t="s">
        <v>209</v>
      </c>
      <c r="C19" s="98"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106.5" customHeight="1">
      <c r="A20" s="96" t="s">
        <v>418</v>
      </c>
      <c r="B20" s="72" t="s">
        <v>210</v>
      </c>
      <c r="C20" s="98"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112.5" customHeight="1">
      <c r="A21" s="96" t="s">
        <v>419</v>
      </c>
      <c r="B21" s="72" t="s">
        <v>211</v>
      </c>
      <c r="C21" s="98"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98" t="s">
        <v>6</v>
      </c>
      <c r="D22" s="227" t="s">
        <v>132</v>
      </c>
      <c r="E22" s="99" t="s">
        <v>91</v>
      </c>
      <c r="F22" s="38" t="s">
        <v>321</v>
      </c>
      <c r="G22" s="103" t="s">
        <v>320</v>
      </c>
      <c r="H22" s="195">
        <v>23068</v>
      </c>
      <c r="I22" s="38" t="s">
        <v>536</v>
      </c>
      <c r="J22" s="103" t="s">
        <v>537</v>
      </c>
      <c r="K22" s="195">
        <v>23742</v>
      </c>
      <c r="L22" s="38">
        <v>0</v>
      </c>
      <c r="M22" s="99">
        <v>0</v>
      </c>
      <c r="N22" s="195">
        <v>0</v>
      </c>
      <c r="O22" s="38">
        <v>0</v>
      </c>
      <c r="P22" s="99">
        <v>0</v>
      </c>
      <c r="Q22" s="195">
        <v>0</v>
      </c>
      <c r="R22" s="38">
        <v>0</v>
      </c>
      <c r="S22" s="99">
        <v>0</v>
      </c>
      <c r="T22" s="195">
        <v>0</v>
      </c>
      <c r="U22" s="99">
        <f t="shared" si="0"/>
        <v>46810</v>
      </c>
    </row>
    <row r="23" spans="1:21" ht="72" customHeight="1">
      <c r="A23" s="96" t="s">
        <v>421</v>
      </c>
      <c r="B23" s="72" t="s">
        <v>313</v>
      </c>
      <c r="C23" s="98" t="s">
        <v>6</v>
      </c>
      <c r="D23" s="227" t="s">
        <v>306</v>
      </c>
      <c r="E23" s="99" t="s">
        <v>535</v>
      </c>
      <c r="F23" s="38" t="s">
        <v>307</v>
      </c>
      <c r="G23" s="99" t="s">
        <v>308</v>
      </c>
      <c r="H23" s="195">
        <v>238</v>
      </c>
      <c r="I23" s="38" t="s">
        <v>479</v>
      </c>
      <c r="J23" s="99" t="s">
        <v>308</v>
      </c>
      <c r="K23" s="195">
        <f>2*238</f>
        <v>476</v>
      </c>
      <c r="L23" s="38">
        <v>0</v>
      </c>
      <c r="M23" s="99">
        <v>0</v>
      </c>
      <c r="N23" s="195">
        <v>0</v>
      </c>
      <c r="O23" s="38">
        <v>0</v>
      </c>
      <c r="P23" s="99">
        <v>0</v>
      </c>
      <c r="Q23" s="195">
        <v>0</v>
      </c>
      <c r="R23" s="38">
        <v>0</v>
      </c>
      <c r="S23" s="99">
        <v>0</v>
      </c>
      <c r="T23" s="195">
        <v>0</v>
      </c>
      <c r="U23" s="99">
        <f t="shared" si="0"/>
        <v>714</v>
      </c>
    </row>
    <row r="24" spans="1:21" ht="84" customHeight="1">
      <c r="A24" s="96" t="s">
        <v>422</v>
      </c>
      <c r="B24" s="72" t="s">
        <v>415</v>
      </c>
      <c r="C24" s="98"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476" t="s">
        <v>94</v>
      </c>
      <c r="B25" s="477"/>
      <c r="C25" s="482"/>
      <c r="D25" s="477"/>
      <c r="E25" s="477"/>
      <c r="F25" s="229"/>
      <c r="G25" s="230"/>
      <c r="H25" s="231">
        <f>H26+H27+H28</f>
        <v>76431.37</v>
      </c>
      <c r="I25" s="232"/>
      <c r="J25" s="233"/>
      <c r="K25" s="231">
        <f>K26+K27</f>
        <v>37217</v>
      </c>
      <c r="L25" s="232"/>
      <c r="M25" s="233"/>
      <c r="N25" s="231">
        <f>N26+N27</f>
        <v>0</v>
      </c>
      <c r="O25" s="231"/>
      <c r="P25" s="231"/>
      <c r="Q25" s="231">
        <f>Q26+Q27</f>
        <v>0</v>
      </c>
      <c r="R25" s="231"/>
      <c r="S25" s="231"/>
      <c r="T25" s="231">
        <f>T26+T27</f>
        <v>54395.3</v>
      </c>
      <c r="U25" s="231">
        <f>SUM(H25:T25)</f>
        <v>168043.66999999998</v>
      </c>
    </row>
    <row r="26" spans="1:21" ht="16.5">
      <c r="A26" s="478" t="s">
        <v>84</v>
      </c>
      <c r="B26" s="478"/>
      <c r="C26" s="478"/>
      <c r="D26" s="478"/>
      <c r="E26" s="478"/>
      <c r="F26" s="234"/>
      <c r="G26" s="235"/>
      <c r="H26" s="236">
        <f>H11+H12+H14</f>
        <v>36295.370000000003</v>
      </c>
      <c r="I26" s="237"/>
      <c r="J26" s="237"/>
      <c r="K26" s="236">
        <f>K11+K12+K14</f>
        <v>19722</v>
      </c>
      <c r="L26" s="237"/>
      <c r="M26" s="237"/>
      <c r="N26" s="236">
        <f>N11+N12+N14</f>
        <v>0</v>
      </c>
      <c r="O26" s="236"/>
      <c r="P26" s="236"/>
      <c r="Q26" s="236">
        <f>Q11+Q12+Q14</f>
        <v>0</v>
      </c>
      <c r="R26" s="236"/>
      <c r="S26" s="236"/>
      <c r="T26" s="236">
        <f>T11+T12+T14</f>
        <v>35500</v>
      </c>
      <c r="U26" s="236">
        <f>SUM(H26:T26)</f>
        <v>91517.37</v>
      </c>
    </row>
    <row r="27" spans="1:21" ht="16.5">
      <c r="A27" s="478" t="s">
        <v>95</v>
      </c>
      <c r="B27" s="478"/>
      <c r="C27" s="478"/>
      <c r="D27" s="478"/>
      <c r="E27" s="478"/>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238" t="s">
        <v>6</v>
      </c>
      <c r="B28" s="239"/>
      <c r="C28" s="240"/>
      <c r="D28" s="240"/>
      <c r="E28" s="240"/>
      <c r="F28" s="234"/>
      <c r="G28" s="235"/>
      <c r="H28" s="236">
        <f>H22+H23</f>
        <v>23306</v>
      </c>
      <c r="I28" s="237"/>
      <c r="J28" s="237"/>
      <c r="K28" s="236">
        <f>K22+K23</f>
        <v>24218</v>
      </c>
      <c r="L28" s="237"/>
      <c r="M28" s="237"/>
      <c r="N28" s="236">
        <f>N22+N23</f>
        <v>0</v>
      </c>
      <c r="O28" s="236"/>
      <c r="P28" s="236"/>
      <c r="Q28" s="236">
        <f>Q22+Q23</f>
        <v>0</v>
      </c>
      <c r="R28" s="236"/>
      <c r="S28" s="236"/>
      <c r="T28" s="236">
        <f>T22+T23</f>
        <v>0</v>
      </c>
      <c r="U28" s="236">
        <f>H28+K28+N28+Q28</f>
        <v>47524</v>
      </c>
    </row>
    <row r="29" spans="1:21" ht="18.75">
      <c r="A29" s="241" t="s">
        <v>501</v>
      </c>
      <c r="B29" s="463" t="s">
        <v>223</v>
      </c>
      <c r="C29" s="464"/>
      <c r="D29" s="464"/>
      <c r="E29" s="464"/>
      <c r="F29" s="464"/>
      <c r="G29" s="464"/>
      <c r="H29" s="464"/>
      <c r="I29" s="464"/>
      <c r="J29" s="464"/>
      <c r="K29" s="464"/>
      <c r="L29" s="464"/>
      <c r="M29" s="464"/>
      <c r="N29" s="464"/>
      <c r="O29" s="464"/>
      <c r="P29" s="464"/>
      <c r="Q29" s="464"/>
      <c r="R29" s="464"/>
      <c r="S29" s="464"/>
      <c r="T29" s="464"/>
      <c r="U29" s="465"/>
    </row>
    <row r="30" spans="1:21" ht="152.25" customHeight="1">
      <c r="A30" s="96" t="s">
        <v>35</v>
      </c>
      <c r="B30" s="242" t="s">
        <v>291</v>
      </c>
      <c r="C30" s="37"/>
      <c r="D30" s="37" t="s">
        <v>85</v>
      </c>
      <c r="E30" s="36" t="s">
        <v>502</v>
      </c>
      <c r="F30" s="85" t="s">
        <v>503</v>
      </c>
      <c r="G30" s="85" t="s">
        <v>386</v>
      </c>
      <c r="H30" s="38">
        <f>2664-772</f>
        <v>1892</v>
      </c>
      <c r="I30" s="56" t="s">
        <v>484</v>
      </c>
      <c r="J30" s="85" t="s">
        <v>380</v>
      </c>
      <c r="K30" s="38">
        <v>1892</v>
      </c>
      <c r="L30" s="38">
        <v>0</v>
      </c>
      <c r="M30" s="103">
        <v>0</v>
      </c>
      <c r="N30" s="195">
        <v>0</v>
      </c>
      <c r="O30" s="38">
        <v>0</v>
      </c>
      <c r="P30" s="103">
        <v>0</v>
      </c>
      <c r="Q30" s="195">
        <v>0</v>
      </c>
      <c r="R30" s="56" t="s">
        <v>143</v>
      </c>
      <c r="S30" s="85" t="s">
        <v>144</v>
      </c>
      <c r="T30" s="38">
        <f>((190*600*9)+(195*840*10))/1000</f>
        <v>2664</v>
      </c>
      <c r="U30" s="99">
        <f>H30+K30+N30+Q30+T30</f>
        <v>6448</v>
      </c>
    </row>
    <row r="31" spans="1:21" ht="16.5">
      <c r="A31" s="476" t="s">
        <v>97</v>
      </c>
      <c r="B31" s="477"/>
      <c r="C31" s="477"/>
      <c r="D31" s="477"/>
      <c r="E31" s="477"/>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478" t="s">
        <v>95</v>
      </c>
      <c r="B32" s="478"/>
      <c r="C32" s="478"/>
      <c r="D32" s="478"/>
      <c r="E32" s="478"/>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479" t="s">
        <v>423</v>
      </c>
      <c r="C33" s="479"/>
      <c r="D33" s="479"/>
      <c r="E33" s="479"/>
      <c r="F33" s="479"/>
      <c r="G33" s="479"/>
      <c r="H33" s="479"/>
      <c r="I33" s="479"/>
      <c r="J33" s="479"/>
      <c r="K33" s="479"/>
      <c r="L33" s="479"/>
      <c r="M33" s="479"/>
      <c r="N33" s="479"/>
      <c r="O33" s="479"/>
      <c r="P33" s="479"/>
      <c r="Q33" s="479"/>
      <c r="R33" s="479"/>
      <c r="S33" s="479"/>
      <c r="T33" s="479"/>
      <c r="U33" s="479"/>
    </row>
    <row r="34" spans="1:21" ht="92.25" customHeight="1">
      <c r="A34" s="96" t="s">
        <v>37</v>
      </c>
      <c r="B34" s="242" t="s">
        <v>476</v>
      </c>
      <c r="C34" s="246" t="s">
        <v>90</v>
      </c>
      <c r="D34" s="223" t="s">
        <v>85</v>
      </c>
      <c r="E34" s="223" t="s">
        <v>102</v>
      </c>
      <c r="F34" s="85" t="s">
        <v>396</v>
      </c>
      <c r="G34" s="85" t="s">
        <v>33</v>
      </c>
      <c r="H34" s="38">
        <v>2949</v>
      </c>
      <c r="I34" s="85" t="s">
        <v>505</v>
      </c>
      <c r="J34" s="85" t="s">
        <v>480</v>
      </c>
      <c r="K34" s="38">
        <v>1775</v>
      </c>
      <c r="L34" s="38">
        <v>0</v>
      </c>
      <c r="M34" s="103">
        <v>0</v>
      </c>
      <c r="N34" s="195">
        <v>0</v>
      </c>
      <c r="O34" s="38">
        <v>0</v>
      </c>
      <c r="P34" s="103">
        <v>0</v>
      </c>
      <c r="Q34" s="195">
        <v>0</v>
      </c>
      <c r="R34" s="85" t="s">
        <v>310</v>
      </c>
      <c r="S34" s="85" t="s">
        <v>33</v>
      </c>
      <c r="T34" s="38">
        <v>3306</v>
      </c>
      <c r="U34" s="99">
        <f t="shared" ref="U34:U50" si="1">H34+K34+N34+Q34+T34</f>
        <v>8030</v>
      </c>
    </row>
    <row r="35" spans="1:21" ht="273.75" customHeight="1">
      <c r="A35" s="96" t="s">
        <v>312</v>
      </c>
      <c r="B35" s="97" t="s">
        <v>49</v>
      </c>
      <c r="C35" s="246"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438"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134.25" customHeight="1">
      <c r="A38" s="96" t="s">
        <v>430</v>
      </c>
      <c r="B38" s="97" t="s">
        <v>296</v>
      </c>
      <c r="C38" s="438"/>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168" customHeight="1">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480"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154.5" customHeight="1">
      <c r="A41" s="96" t="s">
        <v>433</v>
      </c>
      <c r="B41" s="97" t="s">
        <v>195</v>
      </c>
      <c r="C41" s="483"/>
      <c r="D41" s="37" t="s">
        <v>85</v>
      </c>
      <c r="E41" s="37" t="s">
        <v>102</v>
      </c>
      <c r="F41" s="85" t="s">
        <v>506</v>
      </c>
      <c r="G41" s="85" t="s">
        <v>511</v>
      </c>
      <c r="H41" s="38">
        <v>50</v>
      </c>
      <c r="I41" s="39">
        <v>1</v>
      </c>
      <c r="J41" s="39">
        <v>50</v>
      </c>
      <c r="K41" s="40">
        <f>J41*I41</f>
        <v>50</v>
      </c>
      <c r="L41" s="85" t="s">
        <v>33</v>
      </c>
      <c r="M41" s="85">
        <v>0</v>
      </c>
      <c r="N41" s="38">
        <v>0</v>
      </c>
      <c r="O41" s="85" t="s">
        <v>33</v>
      </c>
      <c r="P41" s="85">
        <v>0</v>
      </c>
      <c r="Q41" s="38">
        <v>0</v>
      </c>
      <c r="R41" s="85" t="s">
        <v>33</v>
      </c>
      <c r="S41" s="85">
        <v>0</v>
      </c>
      <c r="T41" s="38">
        <v>0</v>
      </c>
      <c r="U41" s="99">
        <f t="shared" si="1"/>
        <v>100</v>
      </c>
    </row>
    <row r="42" spans="1:21" ht="193.5" customHeight="1">
      <c r="A42" s="96" t="s">
        <v>434</v>
      </c>
      <c r="B42" s="97" t="s">
        <v>196</v>
      </c>
      <c r="C42" s="483"/>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89">
      <c r="A43" s="228" t="s">
        <v>435</v>
      </c>
      <c r="B43" s="97" t="s">
        <v>197</v>
      </c>
      <c r="C43" s="483"/>
      <c r="D43" s="37" t="s">
        <v>85</v>
      </c>
      <c r="E43" s="37" t="s">
        <v>102</v>
      </c>
      <c r="F43" s="85" t="s">
        <v>131</v>
      </c>
      <c r="G43" s="85" t="s">
        <v>409</v>
      </c>
      <c r="H43" s="38">
        <v>30</v>
      </c>
      <c r="I43" s="39">
        <v>1</v>
      </c>
      <c r="J43" s="39">
        <v>10</v>
      </c>
      <c r="K43" s="40">
        <f>I43*J43</f>
        <v>10</v>
      </c>
      <c r="L43" s="85" t="s">
        <v>33</v>
      </c>
      <c r="M43" s="85">
        <v>0</v>
      </c>
      <c r="N43" s="38">
        <v>0</v>
      </c>
      <c r="O43" s="85" t="s">
        <v>33</v>
      </c>
      <c r="P43" s="85">
        <v>0</v>
      </c>
      <c r="Q43" s="38">
        <v>0</v>
      </c>
      <c r="R43" s="85" t="s">
        <v>33</v>
      </c>
      <c r="S43" s="85">
        <v>0</v>
      </c>
      <c r="T43" s="38">
        <v>0</v>
      </c>
      <c r="U43" s="99">
        <f t="shared" si="1"/>
        <v>40</v>
      </c>
    </row>
    <row r="44" spans="1:21" ht="126.75" customHeight="1">
      <c r="A44" s="247" t="s">
        <v>436</v>
      </c>
      <c r="B44" s="97" t="s">
        <v>198</v>
      </c>
      <c r="C44" s="481"/>
      <c r="D44" s="37" t="s">
        <v>85</v>
      </c>
      <c r="E44" s="37" t="s">
        <v>102</v>
      </c>
      <c r="F44" s="85">
        <v>1</v>
      </c>
      <c r="G44" s="85" t="s">
        <v>511</v>
      </c>
      <c r="H44" s="38">
        <v>50</v>
      </c>
      <c r="I44" s="39">
        <v>1</v>
      </c>
      <c r="J44" s="39">
        <v>50</v>
      </c>
      <c r="K44" s="40">
        <f>I44*J44</f>
        <v>50</v>
      </c>
      <c r="L44" s="85" t="s">
        <v>33</v>
      </c>
      <c r="M44" s="85">
        <v>0</v>
      </c>
      <c r="N44" s="38">
        <v>0</v>
      </c>
      <c r="O44" s="85" t="s">
        <v>33</v>
      </c>
      <c r="P44" s="85">
        <v>0</v>
      </c>
      <c r="Q44" s="38">
        <v>0</v>
      </c>
      <c r="R44" s="85" t="s">
        <v>33</v>
      </c>
      <c r="S44" s="85">
        <v>0</v>
      </c>
      <c r="T44" s="38">
        <v>0</v>
      </c>
      <c r="U44" s="99">
        <f t="shared" si="1"/>
        <v>100</v>
      </c>
    </row>
    <row r="45" spans="1:21" ht="94.5">
      <c r="A45" s="247" t="s">
        <v>437</v>
      </c>
      <c r="B45" s="97" t="s">
        <v>61</v>
      </c>
      <c r="C45" s="218" t="s">
        <v>90</v>
      </c>
      <c r="D45" s="37" t="s">
        <v>85</v>
      </c>
      <c r="E45" s="37" t="s">
        <v>91</v>
      </c>
      <c r="F45" s="85" t="s">
        <v>395</v>
      </c>
      <c r="G45" s="85" t="s">
        <v>270</v>
      </c>
      <c r="H45" s="38">
        <f>96</f>
        <v>96</v>
      </c>
      <c r="I45" s="85" t="s">
        <v>514</v>
      </c>
      <c r="J45" s="85" t="s">
        <v>481</v>
      </c>
      <c r="K45" s="38">
        <v>68</v>
      </c>
      <c r="L45" s="85" t="s">
        <v>33</v>
      </c>
      <c r="M45" s="85">
        <v>0</v>
      </c>
      <c r="N45" s="38">
        <v>0</v>
      </c>
      <c r="O45" s="85" t="s">
        <v>33</v>
      </c>
      <c r="P45" s="85">
        <v>0</v>
      </c>
      <c r="Q45" s="38">
        <v>0</v>
      </c>
      <c r="R45" s="85" t="s">
        <v>395</v>
      </c>
      <c r="S45" s="85" t="s">
        <v>270</v>
      </c>
      <c r="T45" s="38">
        <v>96</v>
      </c>
      <c r="U45" s="99">
        <f t="shared" si="1"/>
        <v>260</v>
      </c>
    </row>
    <row r="46" spans="1:21" ht="175.5" customHeight="1">
      <c r="A46" s="247" t="s">
        <v>438</v>
      </c>
      <c r="B46" s="97" t="s">
        <v>234</v>
      </c>
      <c r="C46" s="218" t="s">
        <v>90</v>
      </c>
      <c r="D46" s="37" t="s">
        <v>113</v>
      </c>
      <c r="E46" s="37" t="s">
        <v>102</v>
      </c>
      <c r="F46" s="85" t="s">
        <v>327</v>
      </c>
      <c r="G46" s="85" t="s">
        <v>298</v>
      </c>
      <c r="H46" s="38">
        <f>515*55</f>
        <v>28325</v>
      </c>
      <c r="I46" s="85" t="s">
        <v>487</v>
      </c>
      <c r="J46" s="85" t="s">
        <v>149</v>
      </c>
      <c r="K46" s="38">
        <v>550</v>
      </c>
      <c r="L46" s="85" t="s">
        <v>33</v>
      </c>
      <c r="M46" s="85">
        <v>0</v>
      </c>
      <c r="N46" s="38">
        <v>0</v>
      </c>
      <c r="O46" s="85" t="s">
        <v>33</v>
      </c>
      <c r="P46" s="85">
        <v>0</v>
      </c>
      <c r="Q46" s="38">
        <v>0</v>
      </c>
      <c r="R46" s="85" t="s">
        <v>275</v>
      </c>
      <c r="S46" s="85" t="s">
        <v>149</v>
      </c>
      <c r="T46" s="38">
        <v>2321</v>
      </c>
      <c r="U46" s="99">
        <f t="shared" si="1"/>
        <v>31196</v>
      </c>
    </row>
    <row r="47" spans="1:21" ht="99" customHeight="1">
      <c r="A47" s="96" t="s">
        <v>439</v>
      </c>
      <c r="B47" s="186" t="s">
        <v>122</v>
      </c>
      <c r="C47" s="223" t="s">
        <v>99</v>
      </c>
      <c r="D47" s="37" t="s">
        <v>85</v>
      </c>
      <c r="E47" s="37" t="s">
        <v>5</v>
      </c>
      <c r="F47" s="85" t="s">
        <v>410</v>
      </c>
      <c r="G47" s="196" t="s">
        <v>383</v>
      </c>
      <c r="H47" s="38">
        <f>387-2.2</f>
        <v>384.8</v>
      </c>
      <c r="I47" s="85" t="s">
        <v>300</v>
      </c>
      <c r="J47" s="87" t="s">
        <v>125</v>
      </c>
      <c r="K47" s="38">
        <v>387</v>
      </c>
      <c r="L47" s="56" t="s">
        <v>515</v>
      </c>
      <c r="M47" s="56" t="s">
        <v>516</v>
      </c>
      <c r="N47" s="38">
        <v>387</v>
      </c>
      <c r="O47" s="56" t="s">
        <v>515</v>
      </c>
      <c r="P47" s="56" t="s">
        <v>516</v>
      </c>
      <c r="Q47" s="38">
        <v>387</v>
      </c>
      <c r="R47" s="56" t="s">
        <v>515</v>
      </c>
      <c r="S47" s="56" t="s">
        <v>516</v>
      </c>
      <c r="T47" s="38">
        <v>386</v>
      </c>
      <c r="U47" s="99">
        <f t="shared" si="1"/>
        <v>1931.8</v>
      </c>
    </row>
    <row r="48" spans="1:21" ht="102">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476" t="s">
        <v>101</v>
      </c>
      <c r="B49" s="477"/>
      <c r="C49" s="477"/>
      <c r="D49" s="477"/>
      <c r="E49" s="477"/>
      <c r="F49" s="229"/>
      <c r="G49" s="230"/>
      <c r="H49" s="231">
        <f>H50+H51</f>
        <v>38121.800000000003</v>
      </c>
      <c r="I49" s="232"/>
      <c r="J49" s="233"/>
      <c r="K49" s="231">
        <f>K50+K51</f>
        <v>7259</v>
      </c>
      <c r="L49" s="232"/>
      <c r="M49" s="233"/>
      <c r="N49" s="231">
        <f>N50+N51</f>
        <v>387</v>
      </c>
      <c r="O49" s="231"/>
      <c r="P49" s="231"/>
      <c r="Q49" s="231">
        <f>Q50+Q51</f>
        <v>387</v>
      </c>
      <c r="R49" s="231"/>
      <c r="S49" s="231"/>
      <c r="T49" s="231">
        <f>T50+T51</f>
        <v>10292</v>
      </c>
      <c r="U49" s="231">
        <f t="shared" si="1"/>
        <v>56446.8</v>
      </c>
    </row>
    <row r="50" spans="1:23" s="104" customFormat="1" ht="16.5">
      <c r="A50" s="484" t="s">
        <v>6</v>
      </c>
      <c r="B50" s="442"/>
      <c r="C50" s="250"/>
      <c r="D50" s="250"/>
      <c r="E50" s="250"/>
      <c r="F50" s="229"/>
      <c r="G50" s="230"/>
      <c r="H50" s="245">
        <f>H47</f>
        <v>384.8</v>
      </c>
      <c r="I50" s="243"/>
      <c r="J50" s="244"/>
      <c r="K50" s="245">
        <f>K47</f>
        <v>387</v>
      </c>
      <c r="L50" s="243"/>
      <c r="M50" s="244"/>
      <c r="N50" s="245">
        <f>N47</f>
        <v>387</v>
      </c>
      <c r="O50" s="245"/>
      <c r="P50" s="245"/>
      <c r="Q50" s="245">
        <f>Q47</f>
        <v>387</v>
      </c>
      <c r="R50" s="231"/>
      <c r="S50" s="231"/>
      <c r="T50" s="245">
        <f>T47</f>
        <v>386</v>
      </c>
      <c r="U50" s="245">
        <f t="shared" si="1"/>
        <v>1931.8</v>
      </c>
    </row>
    <row r="51" spans="1:23" ht="16.5">
      <c r="A51" s="478" t="s">
        <v>95</v>
      </c>
      <c r="B51" s="478"/>
      <c r="C51" s="478"/>
      <c r="D51" s="478"/>
      <c r="E51" s="478"/>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485" t="s">
        <v>441</v>
      </c>
      <c r="C52" s="486"/>
      <c r="D52" s="486"/>
      <c r="E52" s="486"/>
      <c r="F52" s="486"/>
      <c r="G52" s="486"/>
      <c r="H52" s="486"/>
      <c r="I52" s="486"/>
      <c r="J52" s="486"/>
      <c r="K52" s="486"/>
      <c r="L52" s="486"/>
      <c r="M52" s="486"/>
      <c r="N52" s="486"/>
      <c r="O52" s="486"/>
      <c r="P52" s="486"/>
      <c r="Q52" s="486"/>
      <c r="R52" s="486"/>
      <c r="S52" s="486"/>
      <c r="T52" s="486"/>
      <c r="U52" s="487"/>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476" t="s">
        <v>114</v>
      </c>
      <c r="B54" s="477"/>
      <c r="C54" s="477"/>
      <c r="D54" s="477"/>
      <c r="E54" s="477"/>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478" t="s">
        <v>95</v>
      </c>
      <c r="B55" s="478"/>
      <c r="C55" s="478"/>
      <c r="D55" s="478"/>
      <c r="E55" s="478"/>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489" t="s">
        <v>442</v>
      </c>
      <c r="C56" s="489"/>
      <c r="D56" s="489"/>
      <c r="E56" s="489"/>
      <c r="F56" s="489"/>
      <c r="G56" s="489"/>
      <c r="H56" s="489"/>
      <c r="I56" s="489"/>
      <c r="J56" s="489"/>
      <c r="K56" s="489"/>
      <c r="L56" s="489"/>
      <c r="M56" s="489"/>
      <c r="N56" s="489"/>
      <c r="O56" s="489"/>
      <c r="P56" s="489"/>
      <c r="Q56" s="489"/>
      <c r="R56" s="489"/>
      <c r="S56" s="489"/>
      <c r="T56" s="489"/>
      <c r="U56" s="489"/>
    </row>
    <row r="57" spans="1:23" ht="105" customHeight="1">
      <c r="A57" s="492" t="s">
        <v>64</v>
      </c>
      <c r="B57" s="494" t="s">
        <v>204</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493"/>
      <c r="B58" s="495"/>
      <c r="C58" s="37" t="s">
        <v>529</v>
      </c>
      <c r="D58" s="37" t="s">
        <v>85</v>
      </c>
      <c r="E58" s="37" t="s">
        <v>91</v>
      </c>
      <c r="F58" s="277" t="s">
        <v>33</v>
      </c>
      <c r="G58" s="85">
        <v>0</v>
      </c>
      <c r="H58" s="85"/>
      <c r="I58" s="85" t="s">
        <v>534</v>
      </c>
      <c r="J58" s="85" t="s">
        <v>152</v>
      </c>
      <c r="K58" s="38">
        <v>1437</v>
      </c>
      <c r="L58" s="85" t="s">
        <v>534</v>
      </c>
      <c r="M58" s="85" t="s">
        <v>538</v>
      </c>
      <c r="N58" s="38">
        <v>1437</v>
      </c>
      <c r="O58" s="85" t="s">
        <v>534</v>
      </c>
      <c r="P58" s="85" t="s">
        <v>538</v>
      </c>
      <c r="Q58" s="38">
        <v>1437</v>
      </c>
      <c r="R58" s="56" t="s">
        <v>520</v>
      </c>
      <c r="S58" s="85" t="s">
        <v>152</v>
      </c>
      <c r="T58" s="38">
        <v>1656</v>
      </c>
      <c r="U58" s="99">
        <f>H57+K58+N58+Q58+T58</f>
        <v>7416</v>
      </c>
    </row>
    <row r="59" spans="1:23" ht="242.25">
      <c r="A59" s="96" t="s">
        <v>443</v>
      </c>
      <c r="B59" s="97" t="s">
        <v>471</v>
      </c>
      <c r="C59" s="37" t="s">
        <v>99</v>
      </c>
      <c r="D59" s="37" t="s">
        <v>85</v>
      </c>
      <c r="E59" s="37" t="s">
        <v>3</v>
      </c>
      <c r="F59" s="85" t="s">
        <v>397</v>
      </c>
      <c r="G59" s="85" t="s">
        <v>302</v>
      </c>
      <c r="H59" s="38">
        <f>86-31</f>
        <v>55</v>
      </c>
      <c r="I59" s="85" t="s">
        <v>490</v>
      </c>
      <c r="J59" s="85" t="s">
        <v>491</v>
      </c>
      <c r="K59" s="38">
        <v>70</v>
      </c>
      <c r="L59" s="85" t="s">
        <v>490</v>
      </c>
      <c r="M59" s="85" t="s">
        <v>491</v>
      </c>
      <c r="N59" s="38">
        <v>70</v>
      </c>
      <c r="O59" s="85" t="s">
        <v>490</v>
      </c>
      <c r="P59" s="85" t="s">
        <v>491</v>
      </c>
      <c r="Q59" s="38">
        <v>70</v>
      </c>
      <c r="R59" s="85" t="s">
        <v>490</v>
      </c>
      <c r="S59" s="85" t="s">
        <v>302</v>
      </c>
      <c r="T59" s="38">
        <v>86</v>
      </c>
      <c r="U59" s="99">
        <f>H59+K59+N59+Q59+T59</f>
        <v>351</v>
      </c>
    </row>
    <row r="60" spans="1:23" s="104" customFormat="1" ht="16.5">
      <c r="A60" s="476" t="s">
        <v>0</v>
      </c>
      <c r="B60" s="477"/>
      <c r="C60" s="477"/>
      <c r="D60" s="477"/>
      <c r="E60" s="477"/>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478" t="s">
        <v>95</v>
      </c>
      <c r="B61" s="478"/>
      <c r="C61" s="478"/>
      <c r="D61" s="478"/>
      <c r="E61" s="478"/>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478" t="s">
        <v>6</v>
      </c>
      <c r="B62" s="478"/>
      <c r="C62" s="478"/>
      <c r="D62" s="478"/>
      <c r="E62" s="478"/>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488" t="s">
        <v>521</v>
      </c>
      <c r="C63" s="490"/>
      <c r="D63" s="490"/>
      <c r="E63" s="490"/>
      <c r="F63" s="490"/>
      <c r="G63" s="490"/>
      <c r="H63" s="490"/>
      <c r="I63" s="490"/>
      <c r="J63" s="490"/>
      <c r="K63" s="490"/>
      <c r="L63" s="490"/>
      <c r="M63" s="490"/>
      <c r="N63" s="490"/>
      <c r="O63" s="490"/>
      <c r="P63" s="490"/>
      <c r="Q63" s="490"/>
      <c r="R63" s="490"/>
      <c r="S63" s="490"/>
      <c r="T63" s="490"/>
      <c r="U63" s="490"/>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29.25" customHeight="1">
      <c r="A65" s="476" t="s">
        <v>2</v>
      </c>
      <c r="B65" s="477"/>
      <c r="C65" s="477"/>
      <c r="D65" s="477"/>
      <c r="E65" s="477"/>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30" customHeight="1">
      <c r="A66" s="478" t="s">
        <v>95</v>
      </c>
      <c r="B66" s="478"/>
      <c r="C66" s="478"/>
      <c r="D66" s="478"/>
      <c r="E66" s="478"/>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26.25" customHeight="1">
      <c r="A67" s="255" t="s">
        <v>447</v>
      </c>
      <c r="B67" s="488" t="s">
        <v>522</v>
      </c>
      <c r="C67" s="464"/>
      <c r="D67" s="464"/>
      <c r="E67" s="464"/>
      <c r="F67" s="464"/>
      <c r="G67" s="464"/>
      <c r="H67" s="464"/>
      <c r="I67" s="464"/>
      <c r="J67" s="464"/>
      <c r="K67" s="464"/>
      <c r="L67" s="464"/>
      <c r="M67" s="464"/>
      <c r="N67" s="464"/>
      <c r="O67" s="464"/>
      <c r="P67" s="464"/>
      <c r="Q67" s="464"/>
      <c r="R67" s="464"/>
      <c r="S67" s="464"/>
      <c r="T67" s="464"/>
      <c r="U67" s="465"/>
    </row>
    <row r="68" spans="1:21" ht="199.5" customHeight="1">
      <c r="A68" s="96" t="s">
        <v>68</v>
      </c>
      <c r="B68" s="72" t="s">
        <v>199</v>
      </c>
      <c r="C68" s="223" t="s">
        <v>191</v>
      </c>
      <c r="D68" s="223" t="s">
        <v>85</v>
      </c>
      <c r="E68" s="37" t="s">
        <v>91</v>
      </c>
      <c r="F68" s="85" t="s">
        <v>469</v>
      </c>
      <c r="G68" s="85" t="s">
        <v>470</v>
      </c>
      <c r="H68" s="38">
        <f>27786-2500</f>
        <v>25286</v>
      </c>
      <c r="I68" s="39" t="s">
        <v>539</v>
      </c>
      <c r="J68" s="39" t="s">
        <v>540</v>
      </c>
      <c r="K68" s="40">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25.5" customHeight="1">
      <c r="A69" s="476" t="s">
        <v>4</v>
      </c>
      <c r="B69" s="477"/>
      <c r="C69" s="477"/>
      <c r="D69" s="477"/>
      <c r="E69" s="491"/>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25.5" customHeight="1">
      <c r="A70" s="478" t="s">
        <v>95</v>
      </c>
      <c r="B70" s="478"/>
      <c r="C70" s="478"/>
      <c r="D70" s="478"/>
      <c r="E70" s="478"/>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25.5" customHeight="1">
      <c r="A71" s="255" t="s">
        <v>181</v>
      </c>
      <c r="B71" s="488" t="s">
        <v>523</v>
      </c>
      <c r="C71" s="464"/>
      <c r="D71" s="464"/>
      <c r="E71" s="464"/>
      <c r="F71" s="464"/>
      <c r="G71" s="464"/>
      <c r="H71" s="464"/>
      <c r="I71" s="464"/>
      <c r="J71" s="464"/>
      <c r="K71" s="464"/>
      <c r="L71" s="464"/>
      <c r="M71" s="464"/>
      <c r="N71" s="464"/>
      <c r="O71" s="464"/>
      <c r="P71" s="464"/>
      <c r="Q71" s="464"/>
      <c r="R71" s="464"/>
      <c r="S71" s="464"/>
      <c r="T71" s="464"/>
      <c r="U71" s="465"/>
    </row>
    <row r="72" spans="1:21" ht="63.75" customHeight="1">
      <c r="A72" s="247" t="s">
        <v>450</v>
      </c>
      <c r="B72" s="226" t="s">
        <v>162</v>
      </c>
      <c r="C72" s="480" t="s">
        <v>8</v>
      </c>
      <c r="D72" s="223" t="s">
        <v>85</v>
      </c>
      <c r="E72" s="223" t="s">
        <v>91</v>
      </c>
      <c r="F72" s="192" t="s">
        <v>406</v>
      </c>
      <c r="G72" s="193" t="s">
        <v>411</v>
      </c>
      <c r="H72" s="194">
        <f>6486+934</f>
        <v>7420</v>
      </c>
      <c r="I72" s="192" t="s">
        <v>485</v>
      </c>
      <c r="J72" s="193" t="s">
        <v>486</v>
      </c>
      <c r="K72" s="194">
        <v>7350</v>
      </c>
      <c r="L72" s="85" t="s">
        <v>33</v>
      </c>
      <c r="M72" s="225" t="s">
        <v>33</v>
      </c>
      <c r="N72" s="38">
        <v>0</v>
      </c>
      <c r="O72" s="85" t="s">
        <v>33</v>
      </c>
      <c r="P72" s="225" t="s">
        <v>33</v>
      </c>
      <c r="Q72" s="38">
        <v>0</v>
      </c>
      <c r="R72" s="192" t="s">
        <v>277</v>
      </c>
      <c r="S72" s="193" t="s">
        <v>276</v>
      </c>
      <c r="T72" s="194">
        <v>6486</v>
      </c>
      <c r="U72" s="99">
        <f>H72+K72+N72+Q72+T72</f>
        <v>21256</v>
      </c>
    </row>
    <row r="73" spans="1:21" ht="139.5" customHeight="1">
      <c r="A73" s="258" t="s">
        <v>451</v>
      </c>
      <c r="B73" s="227" t="s">
        <v>289</v>
      </c>
      <c r="C73" s="496"/>
      <c r="D73" s="37" t="s">
        <v>85</v>
      </c>
      <c r="E73" s="37" t="s">
        <v>91</v>
      </c>
      <c r="F73" s="85" t="s">
        <v>319</v>
      </c>
      <c r="G73" s="85" t="s">
        <v>309</v>
      </c>
      <c r="H73" s="38">
        <v>681</v>
      </c>
      <c r="I73" s="85" t="s">
        <v>488</v>
      </c>
      <c r="J73" s="85" t="s">
        <v>524</v>
      </c>
      <c r="K73" s="38">
        <v>684</v>
      </c>
      <c r="L73" s="85" t="s">
        <v>33</v>
      </c>
      <c r="M73" s="225" t="s">
        <v>33</v>
      </c>
      <c r="N73" s="38">
        <v>0</v>
      </c>
      <c r="O73" s="85" t="s">
        <v>33</v>
      </c>
      <c r="P73" s="225" t="s">
        <v>33</v>
      </c>
      <c r="Q73" s="38">
        <v>0</v>
      </c>
      <c r="R73" s="85">
        <v>110</v>
      </c>
      <c r="S73" s="85" t="s">
        <v>524</v>
      </c>
      <c r="T73" s="38">
        <v>660</v>
      </c>
      <c r="U73" s="99">
        <f>H73+K73+N73+Q73+T73</f>
        <v>2025</v>
      </c>
    </row>
    <row r="74" spans="1:21" ht="130.5" customHeight="1">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8.75" customHeight="1">
      <c r="A75" s="476" t="s">
        <v>7</v>
      </c>
      <c r="B75" s="477"/>
      <c r="C75" s="477"/>
      <c r="D75" s="477"/>
      <c r="E75" s="491"/>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478" t="s">
        <v>95</v>
      </c>
      <c r="B76" s="478"/>
      <c r="C76" s="478"/>
      <c r="D76" s="478"/>
      <c r="E76" s="478"/>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 r="A77" s="252" t="s">
        <v>166</v>
      </c>
      <c r="B77" s="488" t="s">
        <v>525</v>
      </c>
      <c r="C77" s="490"/>
      <c r="D77" s="490"/>
      <c r="E77" s="490"/>
      <c r="F77" s="490"/>
      <c r="G77" s="490"/>
      <c r="H77" s="490"/>
      <c r="I77" s="490"/>
      <c r="J77" s="490"/>
      <c r="K77" s="490"/>
      <c r="L77" s="490"/>
      <c r="M77" s="490"/>
      <c r="N77" s="490"/>
      <c r="O77" s="490"/>
      <c r="P77" s="490"/>
      <c r="Q77" s="490"/>
      <c r="R77" s="490"/>
      <c r="S77" s="490"/>
      <c r="T77" s="490"/>
      <c r="U77" s="490"/>
    </row>
    <row r="78" spans="1:21" ht="228.75" customHeight="1">
      <c r="A78" s="253" t="s">
        <v>183</v>
      </c>
      <c r="B78" s="72" t="s">
        <v>454</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497" t="s">
        <v>456</v>
      </c>
      <c r="B79" s="498"/>
      <c r="C79" s="498"/>
      <c r="D79" s="498"/>
      <c r="E79" s="499"/>
      <c r="F79" s="261"/>
      <c r="G79" s="261"/>
      <c r="H79" s="261">
        <f>H78</f>
        <v>136.19999999999999</v>
      </c>
      <c r="I79" s="281"/>
      <c r="J79" s="281"/>
      <c r="K79" s="281">
        <f>K78</f>
        <v>142</v>
      </c>
      <c r="L79" s="261"/>
      <c r="M79" s="261"/>
      <c r="N79" s="261">
        <f>N78</f>
        <v>142</v>
      </c>
      <c r="O79" s="261"/>
      <c r="P79" s="261"/>
      <c r="Q79" s="261">
        <f>Q78</f>
        <v>142</v>
      </c>
      <c r="R79" s="261"/>
      <c r="S79" s="261"/>
      <c r="T79" s="261">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488" t="s">
        <v>526</v>
      </c>
      <c r="C81" s="490"/>
      <c r="D81" s="490"/>
      <c r="E81" s="490"/>
      <c r="F81" s="490"/>
      <c r="G81" s="490"/>
      <c r="H81" s="490"/>
      <c r="I81" s="490"/>
      <c r="J81" s="490"/>
      <c r="K81" s="490"/>
      <c r="L81" s="490"/>
      <c r="M81" s="490"/>
      <c r="N81" s="490"/>
      <c r="O81" s="490"/>
      <c r="P81" s="490"/>
      <c r="Q81" s="490"/>
      <c r="R81" s="490"/>
      <c r="S81" s="490"/>
      <c r="T81" s="490"/>
      <c r="U81" s="490"/>
    </row>
    <row r="82" spans="1:21" s="104" customFormat="1" ht="208.5" customHeight="1">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44" customHeight="1">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500" t="s">
        <v>527</v>
      </c>
      <c r="B85" s="501"/>
      <c r="C85" s="501"/>
      <c r="D85" s="501"/>
      <c r="E85" s="501"/>
      <c r="F85" s="460">
        <f>F86+F87+F88</f>
        <v>157092.37</v>
      </c>
      <c r="G85" s="461"/>
      <c r="H85" s="462"/>
      <c r="I85" s="460">
        <f>I86+I87+I88</f>
        <v>124788</v>
      </c>
      <c r="J85" s="461"/>
      <c r="K85" s="462"/>
      <c r="L85" s="460">
        <f>SUM(L86:N88)</f>
        <v>2036</v>
      </c>
      <c r="M85" s="461"/>
      <c r="N85" s="462"/>
      <c r="O85" s="460">
        <f>O86+O87+O88</f>
        <v>2036</v>
      </c>
      <c r="P85" s="461"/>
      <c r="Q85" s="462"/>
      <c r="R85" s="460">
        <f>R86+R87+R88</f>
        <v>130728.3</v>
      </c>
      <c r="S85" s="461"/>
      <c r="T85" s="462"/>
      <c r="U85" s="270">
        <f>F85+I85+L85+O85+R85</f>
        <v>416680.67</v>
      </c>
    </row>
    <row r="86" spans="1:21" ht="18.75">
      <c r="A86" s="503" t="s">
        <v>164</v>
      </c>
      <c r="B86" s="503"/>
      <c r="C86" s="503"/>
      <c r="D86" s="503"/>
      <c r="E86" s="503"/>
      <c r="F86" s="502">
        <f>H28+H50+H62+H80</f>
        <v>23882</v>
      </c>
      <c r="G86" s="502"/>
      <c r="H86" s="502"/>
      <c r="I86" s="502">
        <f>K28+K50+K60+K79</f>
        <v>26254</v>
      </c>
      <c r="J86" s="502"/>
      <c r="K86" s="502"/>
      <c r="L86" s="502">
        <f>N28+N50+N60+N80</f>
        <v>2036</v>
      </c>
      <c r="M86" s="502"/>
      <c r="N86" s="502"/>
      <c r="O86" s="502">
        <f>Q28+Q50+Q62+Q80</f>
        <v>2036</v>
      </c>
      <c r="P86" s="502"/>
      <c r="Q86" s="502"/>
      <c r="R86" s="502">
        <f>T28+T50+T62+T80</f>
        <v>2273</v>
      </c>
      <c r="S86" s="502"/>
      <c r="T86" s="502"/>
      <c r="U86" s="271">
        <f>F86+I86+L86+O86+R86</f>
        <v>56481</v>
      </c>
    </row>
    <row r="87" spans="1:21" ht="18.75">
      <c r="A87" s="503" t="s">
        <v>20</v>
      </c>
      <c r="B87" s="503"/>
      <c r="C87" s="503"/>
      <c r="D87" s="503"/>
      <c r="E87" s="503"/>
      <c r="F87" s="502">
        <f>H27+H32+H51+H55+H61+H66+H70+H76+H84</f>
        <v>96915</v>
      </c>
      <c r="G87" s="502"/>
      <c r="H87" s="502"/>
      <c r="I87" s="502">
        <f>K27+K32+K51+K55+K66+K70+K76+K84</f>
        <v>78812</v>
      </c>
      <c r="J87" s="502"/>
      <c r="K87" s="502"/>
      <c r="L87" s="502">
        <f>N27+N32+N51+N55+N66+N70+N76+N84</f>
        <v>0</v>
      </c>
      <c r="M87" s="502"/>
      <c r="N87" s="502"/>
      <c r="O87" s="502">
        <f>Q27+Q32+Q51+Q55+Q61+Q66+Q70+Q76+Q84</f>
        <v>0</v>
      </c>
      <c r="P87" s="502"/>
      <c r="Q87" s="502"/>
      <c r="R87" s="502">
        <f>T27+T32+T51+T55+T61+T66+T70+T76+T84</f>
        <v>92955.3</v>
      </c>
      <c r="S87" s="502"/>
      <c r="T87" s="502"/>
      <c r="U87" s="271">
        <f>F87+I87+L87+O87+R87</f>
        <v>268682.3</v>
      </c>
    </row>
    <row r="88" spans="1:21" ht="18.75">
      <c r="A88" s="506" t="s">
        <v>21</v>
      </c>
      <c r="B88" s="507"/>
      <c r="C88" s="507"/>
      <c r="D88" s="507"/>
      <c r="E88" s="508"/>
      <c r="F88" s="502">
        <f>H26</f>
        <v>36295.370000000003</v>
      </c>
      <c r="G88" s="502"/>
      <c r="H88" s="502"/>
      <c r="I88" s="502">
        <f>K26</f>
        <v>19722</v>
      </c>
      <c r="J88" s="502"/>
      <c r="K88" s="502"/>
      <c r="L88" s="502">
        <v>0</v>
      </c>
      <c r="M88" s="502"/>
      <c r="N88" s="502"/>
      <c r="O88" s="502">
        <f>Q26</f>
        <v>0</v>
      </c>
      <c r="P88" s="502"/>
      <c r="Q88" s="502"/>
      <c r="R88" s="502">
        <f>T26</f>
        <v>35500</v>
      </c>
      <c r="S88" s="502"/>
      <c r="T88" s="502"/>
      <c r="U88" s="271">
        <f>F88+I88+L88+O88+R88</f>
        <v>91517.37</v>
      </c>
    </row>
    <row r="89" spans="1:21" ht="16.5">
      <c r="A89" s="504" t="s">
        <v>459</v>
      </c>
      <c r="B89" s="504"/>
      <c r="C89" s="504"/>
      <c r="D89" s="504"/>
      <c r="E89" s="504"/>
      <c r="F89" s="504"/>
      <c r="G89" s="504"/>
      <c r="H89" s="504"/>
      <c r="I89" s="504"/>
      <c r="J89" s="504"/>
      <c r="K89" s="504"/>
      <c r="L89" s="504"/>
      <c r="M89" s="504"/>
      <c r="N89" s="504"/>
      <c r="O89" s="504"/>
      <c r="P89" s="504"/>
      <c r="Q89" s="504"/>
      <c r="R89" s="504"/>
      <c r="S89" s="504"/>
      <c r="T89" s="504"/>
      <c r="U89" s="504"/>
    </row>
    <row r="90" spans="1:21" ht="16.5">
      <c r="A90" s="505" t="s">
        <v>23</v>
      </c>
      <c r="B90" s="505"/>
      <c r="C90" s="505"/>
      <c r="D90" s="505"/>
      <c r="E90" s="272"/>
      <c r="F90" s="273"/>
      <c r="G90" s="273"/>
      <c r="H90" s="273"/>
      <c r="I90" s="273"/>
      <c r="J90" s="273"/>
      <c r="K90" s="273"/>
      <c r="L90" s="273"/>
      <c r="M90" s="273"/>
      <c r="N90" s="273"/>
      <c r="O90" s="273"/>
      <c r="P90" s="273"/>
      <c r="Q90" s="273"/>
      <c r="R90" s="273"/>
      <c r="S90" s="273"/>
      <c r="T90" s="273"/>
      <c r="U90" s="273"/>
    </row>
    <row r="91" spans="1:21" ht="16.5">
      <c r="A91" s="504" t="s">
        <v>24</v>
      </c>
      <c r="B91" s="504"/>
      <c r="C91" s="504"/>
      <c r="D91" s="504"/>
      <c r="E91" s="274"/>
      <c r="F91" s="274"/>
      <c r="G91" s="274"/>
      <c r="H91" s="274"/>
      <c r="I91" s="280"/>
      <c r="J91" s="280"/>
      <c r="K91" s="280"/>
      <c r="L91" s="274"/>
      <c r="M91" s="274"/>
      <c r="N91" s="274"/>
      <c r="O91" s="274"/>
      <c r="P91" s="274"/>
      <c r="Q91" s="274"/>
      <c r="R91" s="274"/>
      <c r="S91" s="274"/>
      <c r="T91" s="274"/>
      <c r="U91" s="275"/>
    </row>
    <row r="97" spans="4:4">
      <c r="D97" s="276"/>
    </row>
  </sheetData>
  <mergeCells count="78">
    <mergeCell ref="A89:U89"/>
    <mergeCell ref="A90:D90"/>
    <mergeCell ref="A91:D91"/>
    <mergeCell ref="A88:E88"/>
    <mergeCell ref="F88:H88"/>
    <mergeCell ref="I88:K88"/>
    <mergeCell ref="L88:N88"/>
    <mergeCell ref="O88:Q88"/>
    <mergeCell ref="R88:T88"/>
    <mergeCell ref="R87:T87"/>
    <mergeCell ref="A86:E86"/>
    <mergeCell ref="F86:H86"/>
    <mergeCell ref="I86:K86"/>
    <mergeCell ref="L86:N86"/>
    <mergeCell ref="O86:Q86"/>
    <mergeCell ref="R86:T86"/>
    <mergeCell ref="A87:E87"/>
    <mergeCell ref="F87:H87"/>
    <mergeCell ref="I87:K87"/>
    <mergeCell ref="L87:N87"/>
    <mergeCell ref="O87:Q87"/>
    <mergeCell ref="R85:T85"/>
    <mergeCell ref="C72:C73"/>
    <mergeCell ref="A75:E75"/>
    <mergeCell ref="A76:E76"/>
    <mergeCell ref="B77:U77"/>
    <mergeCell ref="A79:E79"/>
    <mergeCell ref="B81:U81"/>
    <mergeCell ref="A85:E85"/>
    <mergeCell ref="F85:H85"/>
    <mergeCell ref="I85:K85"/>
    <mergeCell ref="L85:N85"/>
    <mergeCell ref="O85:Q85"/>
    <mergeCell ref="B71:U71"/>
    <mergeCell ref="A55:E55"/>
    <mergeCell ref="B56:U56"/>
    <mergeCell ref="A60:E60"/>
    <mergeCell ref="A61:E61"/>
    <mergeCell ref="A62:E62"/>
    <mergeCell ref="B63:U63"/>
    <mergeCell ref="A65:E65"/>
    <mergeCell ref="A66:E66"/>
    <mergeCell ref="B67:U67"/>
    <mergeCell ref="A69:E69"/>
    <mergeCell ref="A70:E70"/>
    <mergeCell ref="A57:A58"/>
    <mergeCell ref="B57:B58"/>
    <mergeCell ref="A54:E54"/>
    <mergeCell ref="A32:E32"/>
    <mergeCell ref="B33:U33"/>
    <mergeCell ref="C37:C38"/>
    <mergeCell ref="C11:C12"/>
    <mergeCell ref="A25:E25"/>
    <mergeCell ref="A26:E26"/>
    <mergeCell ref="A27:E27"/>
    <mergeCell ref="B29:U29"/>
    <mergeCell ref="A31:E31"/>
    <mergeCell ref="C40:C44"/>
    <mergeCell ref="A49:E49"/>
    <mergeCell ref="A50:B50"/>
    <mergeCell ref="A51:E51"/>
    <mergeCell ref="B52:U52"/>
    <mergeCell ref="B10:U10"/>
    <mergeCell ref="R1:U2"/>
    <mergeCell ref="R3:U3"/>
    <mergeCell ref="A4:U4"/>
    <mergeCell ref="A6:A7"/>
    <mergeCell ref="B6:B7"/>
    <mergeCell ref="C6:C7"/>
    <mergeCell ref="D6:D7"/>
    <mergeCell ref="E6:E7"/>
    <mergeCell ref="F6:H6"/>
    <mergeCell ref="I6:K6"/>
    <mergeCell ref="L6:N6"/>
    <mergeCell ref="O6:Q6"/>
    <mergeCell ref="R6:T6"/>
    <mergeCell ref="U6:U7"/>
    <mergeCell ref="A9:U9"/>
  </mergeCells>
  <pageMargins left="0.15748031496062992" right="0.15748031496062992" top="0.15748031496062992" bottom="0.15748031496062992" header="0.31496062992125984" footer="0.15748031496062992"/>
  <pageSetup paperSize="9" scale="34" orientation="landscape"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dimension ref="A1:W97"/>
  <sheetViews>
    <sheetView topLeftCell="E37" workbookViewId="0">
      <selection sqref="A1:XFD1048576"/>
    </sheetView>
  </sheetViews>
  <sheetFormatPr defaultRowHeight="15"/>
  <cols>
    <col min="1" max="1" width="6.28515625" style="100" customWidth="1"/>
    <col min="2" max="2" width="52.5703125" style="100" customWidth="1"/>
    <col min="3" max="3" width="26" style="100" customWidth="1"/>
    <col min="4" max="4" width="17.7109375" style="100" customWidth="1"/>
    <col min="5" max="5" width="30.5703125" style="100" customWidth="1"/>
    <col min="6" max="6" width="23.28515625" style="100" customWidth="1"/>
    <col min="7" max="7" width="20" style="100" customWidth="1"/>
    <col min="8" max="8" width="12.7109375" style="100" customWidth="1"/>
    <col min="9" max="9" width="20.85546875" style="100" customWidth="1"/>
    <col min="10" max="10" width="15.5703125" style="100" customWidth="1"/>
    <col min="11" max="11" width="12.28515625" style="100" customWidth="1"/>
    <col min="12" max="12" width="16.85546875" style="100" customWidth="1"/>
    <col min="13" max="13" width="19.28515625" style="100" customWidth="1"/>
    <col min="14" max="14" width="15.42578125" style="100" customWidth="1"/>
    <col min="15" max="15" width="17.42578125" style="100" customWidth="1"/>
    <col min="16" max="16" width="19.5703125" style="100" customWidth="1"/>
    <col min="17" max="17" width="14.5703125" style="100" customWidth="1"/>
    <col min="18" max="18" width="19.28515625" style="100" customWidth="1"/>
    <col min="19" max="19" width="18.42578125" style="100" customWidth="1"/>
    <col min="20" max="20" width="25.7109375" style="100" customWidth="1"/>
    <col min="21" max="21" width="18.140625" style="100" customWidth="1"/>
    <col min="22" max="22" width="8.7109375" style="100" customWidth="1"/>
    <col min="23" max="16384" width="9.140625" style="100"/>
  </cols>
  <sheetData>
    <row r="1" spans="1:21">
      <c r="R1" s="466" t="s">
        <v>323</v>
      </c>
      <c r="S1" s="467"/>
      <c r="T1" s="467"/>
      <c r="U1" s="467"/>
    </row>
    <row r="2" spans="1:21">
      <c r="R2" s="467"/>
      <c r="S2" s="467"/>
      <c r="T2" s="467"/>
      <c r="U2" s="467"/>
    </row>
    <row r="3" spans="1:21">
      <c r="A3" s="214"/>
      <c r="B3" s="214"/>
      <c r="C3" s="214"/>
      <c r="D3" s="214"/>
      <c r="E3" s="214"/>
      <c r="F3" s="214"/>
      <c r="G3" s="214"/>
      <c r="H3" s="214"/>
      <c r="I3" s="214"/>
      <c r="J3" s="214"/>
      <c r="K3" s="214"/>
      <c r="L3" s="214"/>
      <c r="M3" s="214"/>
      <c r="N3" s="214"/>
      <c r="O3" s="214"/>
      <c r="P3" s="214"/>
      <c r="Q3" s="214"/>
      <c r="R3" s="466" t="s">
        <v>322</v>
      </c>
      <c r="S3" s="468"/>
      <c r="T3" s="468"/>
      <c r="U3" s="468"/>
    </row>
    <row r="4" spans="1:21" ht="18.75">
      <c r="A4" s="469" t="s">
        <v>133</v>
      </c>
      <c r="B4" s="469"/>
      <c r="C4" s="469"/>
      <c r="D4" s="469"/>
      <c r="E4" s="469"/>
      <c r="F4" s="469"/>
      <c r="G4" s="469"/>
      <c r="H4" s="469"/>
      <c r="I4" s="469"/>
      <c r="J4" s="469"/>
      <c r="K4" s="469"/>
      <c r="L4" s="469"/>
      <c r="M4" s="469"/>
      <c r="N4" s="469"/>
      <c r="O4" s="469"/>
      <c r="P4" s="469"/>
      <c r="Q4" s="469"/>
      <c r="R4" s="469"/>
      <c r="S4" s="469"/>
      <c r="T4" s="469"/>
      <c r="U4" s="469"/>
    </row>
    <row r="5" spans="1:21" ht="18.75">
      <c r="A5" s="290"/>
      <c r="B5" s="290"/>
      <c r="C5" s="290"/>
      <c r="D5" s="290"/>
      <c r="E5" s="290"/>
      <c r="F5" s="290"/>
      <c r="G5" s="290"/>
      <c r="H5" s="290"/>
      <c r="I5" s="290"/>
      <c r="J5" s="290"/>
      <c r="K5" s="290"/>
      <c r="L5" s="290"/>
      <c r="M5" s="290"/>
      <c r="N5" s="290"/>
      <c r="O5" s="290"/>
      <c r="P5" s="290"/>
      <c r="Q5" s="290"/>
      <c r="R5" s="290"/>
      <c r="S5" s="290"/>
      <c r="T5" s="290"/>
      <c r="U5" s="290"/>
    </row>
    <row r="6" spans="1:21" s="216" customFormat="1">
      <c r="A6" s="470" t="s">
        <v>25</v>
      </c>
      <c r="B6" s="470" t="s">
        <v>177</v>
      </c>
      <c r="C6" s="470" t="s">
        <v>178</v>
      </c>
      <c r="D6" s="470" t="s">
        <v>78</v>
      </c>
      <c r="E6" s="470" t="s">
        <v>79</v>
      </c>
      <c r="F6" s="472" t="s">
        <v>134</v>
      </c>
      <c r="G6" s="472"/>
      <c r="H6" s="472"/>
      <c r="I6" s="472" t="s">
        <v>135</v>
      </c>
      <c r="J6" s="472"/>
      <c r="K6" s="472"/>
      <c r="L6" s="472" t="s">
        <v>136</v>
      </c>
      <c r="M6" s="472"/>
      <c r="N6" s="472"/>
      <c r="O6" s="472" t="s">
        <v>171</v>
      </c>
      <c r="P6" s="472"/>
      <c r="Q6" s="472"/>
      <c r="R6" s="472" t="s">
        <v>172</v>
      </c>
      <c r="S6" s="472"/>
      <c r="T6" s="472"/>
      <c r="U6" s="470" t="s">
        <v>492</v>
      </c>
    </row>
    <row r="7" spans="1:21" s="216" customFormat="1" ht="60">
      <c r="A7" s="471"/>
      <c r="B7" s="471"/>
      <c r="C7" s="471"/>
      <c r="D7" s="471"/>
      <c r="E7" s="471"/>
      <c r="F7" s="217" t="s">
        <v>81</v>
      </c>
      <c r="G7" s="217" t="s">
        <v>493</v>
      </c>
      <c r="H7" s="217" t="s">
        <v>494</v>
      </c>
      <c r="I7" s="217" t="s">
        <v>81</v>
      </c>
      <c r="J7" s="217" t="s">
        <v>495</v>
      </c>
      <c r="K7" s="217" t="s">
        <v>494</v>
      </c>
      <c r="L7" s="217" t="s">
        <v>81</v>
      </c>
      <c r="M7" s="217" t="s">
        <v>495</v>
      </c>
      <c r="N7" s="217" t="s">
        <v>494</v>
      </c>
      <c r="O7" s="217" t="s">
        <v>81</v>
      </c>
      <c r="P7" s="217" t="s">
        <v>495</v>
      </c>
      <c r="Q7" s="217" t="s">
        <v>494</v>
      </c>
      <c r="R7" s="217" t="s">
        <v>81</v>
      </c>
      <c r="S7" s="217" t="s">
        <v>495</v>
      </c>
      <c r="T7" s="217" t="s">
        <v>494</v>
      </c>
      <c r="U7" s="471"/>
    </row>
    <row r="8" spans="1:21" s="216" customFormat="1" ht="15.75">
      <c r="A8" s="218">
        <v>1</v>
      </c>
      <c r="B8" s="219">
        <v>2</v>
      </c>
      <c r="C8" s="219">
        <v>3</v>
      </c>
      <c r="D8" s="219">
        <v>4</v>
      </c>
      <c r="E8" s="219">
        <v>5</v>
      </c>
      <c r="F8" s="219">
        <v>6</v>
      </c>
      <c r="G8" s="219">
        <v>7</v>
      </c>
      <c r="H8" s="219">
        <v>8</v>
      </c>
      <c r="I8" s="219">
        <v>9</v>
      </c>
      <c r="J8" s="219">
        <v>10</v>
      </c>
      <c r="K8" s="219">
        <v>11</v>
      </c>
      <c r="L8" s="219">
        <v>12</v>
      </c>
      <c r="M8" s="219">
        <v>13</v>
      </c>
      <c r="N8" s="219">
        <v>14</v>
      </c>
      <c r="O8" s="219">
        <v>15</v>
      </c>
      <c r="P8" s="219">
        <v>16</v>
      </c>
      <c r="Q8" s="219">
        <v>17</v>
      </c>
      <c r="R8" s="219">
        <v>18</v>
      </c>
      <c r="S8" s="219">
        <v>19</v>
      </c>
      <c r="T8" s="219">
        <v>20</v>
      </c>
      <c r="U8" s="219">
        <v>21</v>
      </c>
    </row>
    <row r="9" spans="1:21" s="216" customFormat="1" ht="18.75">
      <c r="A9" s="473" t="s">
        <v>26</v>
      </c>
      <c r="B9" s="474"/>
      <c r="C9" s="474"/>
      <c r="D9" s="474"/>
      <c r="E9" s="474"/>
      <c r="F9" s="474"/>
      <c r="G9" s="474"/>
      <c r="H9" s="474"/>
      <c r="I9" s="474"/>
      <c r="J9" s="474"/>
      <c r="K9" s="474"/>
      <c r="L9" s="474"/>
      <c r="M9" s="474"/>
      <c r="N9" s="474"/>
      <c r="O9" s="474"/>
      <c r="P9" s="474"/>
      <c r="Q9" s="474"/>
      <c r="R9" s="474"/>
      <c r="S9" s="474"/>
      <c r="T9" s="474"/>
      <c r="U9" s="475"/>
    </row>
    <row r="10" spans="1:21" ht="18.75">
      <c r="A10" s="220" t="s">
        <v>496</v>
      </c>
      <c r="B10" s="463" t="s">
        <v>457</v>
      </c>
      <c r="C10" s="464"/>
      <c r="D10" s="464"/>
      <c r="E10" s="464"/>
      <c r="F10" s="464"/>
      <c r="G10" s="464"/>
      <c r="H10" s="464"/>
      <c r="I10" s="464"/>
      <c r="J10" s="464"/>
      <c r="K10" s="464"/>
      <c r="L10" s="464"/>
      <c r="M10" s="464"/>
      <c r="N10" s="464"/>
      <c r="O10" s="464"/>
      <c r="P10" s="464"/>
      <c r="Q10" s="464"/>
      <c r="R10" s="464"/>
      <c r="S10" s="464"/>
      <c r="T10" s="464"/>
      <c r="U10" s="465"/>
    </row>
    <row r="11" spans="1:21" ht="141.75">
      <c r="A11" s="288" t="s">
        <v>28</v>
      </c>
      <c r="B11" s="222" t="s">
        <v>29</v>
      </c>
      <c r="C11" s="480" t="s">
        <v>84</v>
      </c>
      <c r="D11" s="223" t="s">
        <v>85</v>
      </c>
      <c r="E11" s="224" t="s">
        <v>86</v>
      </c>
      <c r="F11" s="85" t="s">
        <v>497</v>
      </c>
      <c r="G11" s="225" t="s">
        <v>498</v>
      </c>
      <c r="H11" s="38">
        <f>43350-15000</f>
        <v>28350</v>
      </c>
      <c r="I11" s="85" t="s">
        <v>531</v>
      </c>
      <c r="J11" s="225" t="s">
        <v>532</v>
      </c>
      <c r="K11" s="38">
        <v>19722</v>
      </c>
      <c r="L11" s="85" t="s">
        <v>33</v>
      </c>
      <c r="M11" s="225" t="s">
        <v>33</v>
      </c>
      <c r="N11" s="38">
        <v>0</v>
      </c>
      <c r="O11" s="85">
        <v>7</v>
      </c>
      <c r="P11" s="225" t="s">
        <v>33</v>
      </c>
      <c r="Q11" s="38">
        <v>0</v>
      </c>
      <c r="R11" s="85" t="s">
        <v>499</v>
      </c>
      <c r="S11" s="225" t="s">
        <v>530</v>
      </c>
      <c r="T11" s="38">
        <v>35500</v>
      </c>
      <c r="U11" s="99">
        <f>H11+K11+N11+Q11+T11</f>
        <v>83572</v>
      </c>
    </row>
    <row r="12" spans="1:21" ht="157.5">
      <c r="A12" s="96" t="s">
        <v>30</v>
      </c>
      <c r="B12" s="186" t="s">
        <v>460</v>
      </c>
      <c r="C12" s="481"/>
      <c r="D12" s="37" t="s">
        <v>88</v>
      </c>
      <c r="E12" s="224" t="s">
        <v>89</v>
      </c>
      <c r="F12" s="85" t="s">
        <v>500</v>
      </c>
      <c r="G12" s="225" t="s">
        <v>498</v>
      </c>
      <c r="H12" s="38">
        <f>17350-5387-2544-2060</f>
        <v>7359</v>
      </c>
      <c r="I12" s="85" t="s">
        <v>33</v>
      </c>
      <c r="J12" s="225" t="s">
        <v>33</v>
      </c>
      <c r="K12" s="38">
        <v>0</v>
      </c>
      <c r="L12" s="85" t="s">
        <v>33</v>
      </c>
      <c r="M12" s="225" t="s">
        <v>33</v>
      </c>
      <c r="N12" s="38">
        <v>0</v>
      </c>
      <c r="O12" s="85" t="s">
        <v>33</v>
      </c>
      <c r="P12" s="225" t="s">
        <v>33</v>
      </c>
      <c r="Q12" s="38">
        <v>0</v>
      </c>
      <c r="R12" s="85" t="s">
        <v>33</v>
      </c>
      <c r="S12" s="225" t="s">
        <v>33</v>
      </c>
      <c r="T12" s="38">
        <v>0</v>
      </c>
      <c r="U12" s="99">
        <f>H12+K12+N12+Q12+T12</f>
        <v>7359</v>
      </c>
    </row>
    <row r="13" spans="1:21" ht="110.25">
      <c r="A13" s="96" t="s">
        <v>31</v>
      </c>
      <c r="B13" s="186" t="s">
        <v>414</v>
      </c>
      <c r="C13" s="218" t="s">
        <v>90</v>
      </c>
      <c r="D13" s="36" t="s">
        <v>85</v>
      </c>
      <c r="E13" s="37" t="s">
        <v>316</v>
      </c>
      <c r="F13" s="85" t="s">
        <v>329</v>
      </c>
      <c r="G13" s="85" t="s">
        <v>267</v>
      </c>
      <c r="H13" s="38">
        <f>8260</f>
        <v>8260</v>
      </c>
      <c r="I13" s="85" t="s">
        <v>478</v>
      </c>
      <c r="J13" s="85" t="s">
        <v>267</v>
      </c>
      <c r="K13" s="38">
        <v>11513</v>
      </c>
      <c r="L13" s="85" t="s">
        <v>33</v>
      </c>
      <c r="M13" s="85" t="s">
        <v>33</v>
      </c>
      <c r="N13" s="38">
        <v>0</v>
      </c>
      <c r="O13" s="85" t="s">
        <v>33</v>
      </c>
      <c r="P13" s="85" t="s">
        <v>33</v>
      </c>
      <c r="Q13" s="38">
        <v>0</v>
      </c>
      <c r="R13" s="85" t="s">
        <v>272</v>
      </c>
      <c r="S13" s="85" t="s">
        <v>267</v>
      </c>
      <c r="T13" s="38">
        <v>12655.3</v>
      </c>
      <c r="U13" s="99">
        <f>H13+K13+N13+Q13+T13</f>
        <v>32428.3</v>
      </c>
    </row>
    <row r="14" spans="1:21" ht="110.25">
      <c r="A14" s="96" t="s">
        <v>32</v>
      </c>
      <c r="B14" s="226" t="s">
        <v>472</v>
      </c>
      <c r="C14" s="218" t="s">
        <v>84</v>
      </c>
      <c r="D14" s="36" t="s">
        <v>88</v>
      </c>
      <c r="E14" s="37" t="s">
        <v>92</v>
      </c>
      <c r="F14" s="85" t="s">
        <v>463</v>
      </c>
      <c r="G14" s="85" t="s">
        <v>314</v>
      </c>
      <c r="H14" s="38">
        <f>4075-2825.3-663.33</f>
        <v>586.36999999999978</v>
      </c>
      <c r="I14" s="85" t="s">
        <v>33</v>
      </c>
      <c r="J14" s="85" t="s">
        <v>33</v>
      </c>
      <c r="K14" s="38">
        <v>0</v>
      </c>
      <c r="L14" s="85" t="s">
        <v>33</v>
      </c>
      <c r="M14" s="85" t="s">
        <v>33</v>
      </c>
      <c r="N14" s="38">
        <v>0</v>
      </c>
      <c r="O14" s="85" t="s">
        <v>33</v>
      </c>
      <c r="P14" s="85" t="s">
        <v>33</v>
      </c>
      <c r="Q14" s="38">
        <v>0</v>
      </c>
      <c r="R14" s="85" t="s">
        <v>33</v>
      </c>
      <c r="S14" s="85" t="s">
        <v>33</v>
      </c>
      <c r="T14" s="38">
        <v>0</v>
      </c>
      <c r="U14" s="99">
        <f>H14+K14+N14+Q14+T14</f>
        <v>586.36999999999978</v>
      </c>
    </row>
    <row r="15" spans="1:21" ht="63">
      <c r="A15" s="96" t="s">
        <v>165</v>
      </c>
      <c r="B15" s="97" t="s">
        <v>290</v>
      </c>
      <c r="C15" s="218" t="s">
        <v>90</v>
      </c>
      <c r="D15" s="37" t="s">
        <v>85</v>
      </c>
      <c r="E15" s="37" t="s">
        <v>100</v>
      </c>
      <c r="F15" s="85" t="s">
        <v>318</v>
      </c>
      <c r="G15" s="85" t="s">
        <v>309</v>
      </c>
      <c r="H15" s="38">
        <f>1192</f>
        <v>1192</v>
      </c>
      <c r="I15" s="87" t="s">
        <v>33</v>
      </c>
      <c r="J15" s="85">
        <v>0</v>
      </c>
      <c r="K15" s="38">
        <v>0</v>
      </c>
      <c r="L15" s="87" t="s">
        <v>33</v>
      </c>
      <c r="M15" s="85">
        <v>0</v>
      </c>
      <c r="N15" s="38">
        <v>0</v>
      </c>
      <c r="O15" s="56" t="s">
        <v>33</v>
      </c>
      <c r="P15" s="85">
        <v>0</v>
      </c>
      <c r="Q15" s="38">
        <v>0</v>
      </c>
      <c r="R15" s="56" t="s">
        <v>33</v>
      </c>
      <c r="S15" s="85">
        <v>0</v>
      </c>
      <c r="T15" s="38">
        <v>0</v>
      </c>
      <c r="U15" s="99">
        <f>H15+K15+N15+Q15+T15</f>
        <v>1192</v>
      </c>
    </row>
    <row r="16" spans="1:21" ht="63">
      <c r="A16" s="96" t="s">
        <v>247</v>
      </c>
      <c r="B16" s="72" t="s">
        <v>216</v>
      </c>
      <c r="C16" s="289" t="s">
        <v>90</v>
      </c>
      <c r="D16" s="227" t="s">
        <v>85</v>
      </c>
      <c r="E16" s="99" t="s">
        <v>91</v>
      </c>
      <c r="F16" s="38" t="s">
        <v>399</v>
      </c>
      <c r="G16" s="99" t="s">
        <v>118</v>
      </c>
      <c r="H16" s="195">
        <f>6183-123</f>
        <v>6060</v>
      </c>
      <c r="I16" s="38" t="s">
        <v>489</v>
      </c>
      <c r="J16" s="99" t="s">
        <v>118</v>
      </c>
      <c r="K16" s="195">
        <v>5832</v>
      </c>
      <c r="L16" s="87" t="s">
        <v>33</v>
      </c>
      <c r="M16" s="85">
        <v>0</v>
      </c>
      <c r="N16" s="38">
        <v>0</v>
      </c>
      <c r="O16" s="87" t="s">
        <v>33</v>
      </c>
      <c r="P16" s="85">
        <v>0</v>
      </c>
      <c r="Q16" s="38">
        <v>0</v>
      </c>
      <c r="R16" s="38" t="s">
        <v>251</v>
      </c>
      <c r="S16" s="99" t="s">
        <v>118</v>
      </c>
      <c r="T16" s="195">
        <v>6150</v>
      </c>
      <c r="U16" s="99">
        <f>H16+K16+T16</f>
        <v>18042</v>
      </c>
    </row>
    <row r="17" spans="1:21" ht="63">
      <c r="A17" s="96" t="s">
        <v>257</v>
      </c>
      <c r="B17" s="72" t="s">
        <v>207</v>
      </c>
      <c r="C17" s="289" t="s">
        <v>90</v>
      </c>
      <c r="D17" s="227" t="s">
        <v>85</v>
      </c>
      <c r="E17" s="228">
        <v>2020</v>
      </c>
      <c r="F17" s="99" t="s">
        <v>278</v>
      </c>
      <c r="G17" s="99" t="s">
        <v>10</v>
      </c>
      <c r="H17" s="99">
        <f>785</f>
        <v>785</v>
      </c>
      <c r="I17" s="99" t="s">
        <v>477</v>
      </c>
      <c r="J17" s="99" t="s">
        <v>10</v>
      </c>
      <c r="K17" s="99">
        <f>18*5</f>
        <v>90</v>
      </c>
      <c r="L17" s="99">
        <v>0</v>
      </c>
      <c r="M17" s="99">
        <v>0</v>
      </c>
      <c r="N17" s="99">
        <v>0</v>
      </c>
      <c r="O17" s="99">
        <v>0</v>
      </c>
      <c r="P17" s="99">
        <v>0</v>
      </c>
      <c r="Q17" s="99">
        <v>0</v>
      </c>
      <c r="R17" s="99">
        <v>0</v>
      </c>
      <c r="S17" s="99">
        <v>0</v>
      </c>
      <c r="T17" s="99">
        <v>0</v>
      </c>
      <c r="U17" s="99">
        <f t="shared" ref="U17:U24" si="0">H17+K17+N17+Q17+T17</f>
        <v>875</v>
      </c>
    </row>
    <row r="18" spans="1:21" ht="63">
      <c r="A18" s="96" t="s">
        <v>416</v>
      </c>
      <c r="B18" s="72" t="s">
        <v>208</v>
      </c>
      <c r="C18" s="289" t="s">
        <v>90</v>
      </c>
      <c r="D18" s="227" t="s">
        <v>85</v>
      </c>
      <c r="E18" s="228">
        <v>2020</v>
      </c>
      <c r="F18" s="99" t="s">
        <v>400</v>
      </c>
      <c r="G18" s="99" t="s">
        <v>12</v>
      </c>
      <c r="H18" s="99">
        <f>110</f>
        <v>110</v>
      </c>
      <c r="I18" s="99">
        <v>0</v>
      </c>
      <c r="J18" s="99">
        <v>0</v>
      </c>
      <c r="K18" s="99">
        <v>0</v>
      </c>
      <c r="L18" s="99">
        <v>0</v>
      </c>
      <c r="M18" s="99">
        <v>0</v>
      </c>
      <c r="N18" s="99">
        <v>0</v>
      </c>
      <c r="O18" s="99">
        <v>0</v>
      </c>
      <c r="P18" s="99">
        <v>0</v>
      </c>
      <c r="Q18" s="99">
        <v>0</v>
      </c>
      <c r="R18" s="99">
        <v>0</v>
      </c>
      <c r="S18" s="99">
        <v>0</v>
      </c>
      <c r="T18" s="99">
        <v>0</v>
      </c>
      <c r="U18" s="99">
        <f t="shared" si="0"/>
        <v>110</v>
      </c>
    </row>
    <row r="19" spans="1:21" ht="94.5">
      <c r="A19" s="96" t="s">
        <v>417</v>
      </c>
      <c r="B19" s="72" t="s">
        <v>209</v>
      </c>
      <c r="C19" s="289" t="s">
        <v>90</v>
      </c>
      <c r="D19" s="227" t="s">
        <v>85</v>
      </c>
      <c r="E19" s="228">
        <v>2020</v>
      </c>
      <c r="F19" s="99" t="s">
        <v>280</v>
      </c>
      <c r="G19" s="99" t="s">
        <v>13</v>
      </c>
      <c r="H19" s="99">
        <f>53</f>
        <v>53</v>
      </c>
      <c r="I19" s="99">
        <v>0</v>
      </c>
      <c r="J19" s="99">
        <v>0</v>
      </c>
      <c r="K19" s="99">
        <v>0</v>
      </c>
      <c r="L19" s="99">
        <v>0</v>
      </c>
      <c r="M19" s="99">
        <v>0</v>
      </c>
      <c r="N19" s="99">
        <v>0</v>
      </c>
      <c r="O19" s="99">
        <v>0</v>
      </c>
      <c r="P19" s="99">
        <v>0</v>
      </c>
      <c r="Q19" s="99">
        <v>0</v>
      </c>
      <c r="R19" s="99">
        <v>0</v>
      </c>
      <c r="S19" s="99">
        <v>0</v>
      </c>
      <c r="T19" s="99">
        <v>0</v>
      </c>
      <c r="U19" s="99">
        <f t="shared" si="0"/>
        <v>53</v>
      </c>
    </row>
    <row r="20" spans="1:21" ht="78.75">
      <c r="A20" s="96" t="s">
        <v>418</v>
      </c>
      <c r="B20" s="72" t="s">
        <v>210</v>
      </c>
      <c r="C20" s="289" t="s">
        <v>90</v>
      </c>
      <c r="D20" s="227" t="s">
        <v>85</v>
      </c>
      <c r="E20" s="228">
        <v>2020</v>
      </c>
      <c r="F20" s="99" t="s">
        <v>412</v>
      </c>
      <c r="G20" s="99" t="s">
        <v>12</v>
      </c>
      <c r="H20" s="99">
        <f>112+18</f>
        <v>130</v>
      </c>
      <c r="I20" s="99">
        <v>0</v>
      </c>
      <c r="J20" s="99">
        <v>0</v>
      </c>
      <c r="K20" s="99">
        <v>0</v>
      </c>
      <c r="L20" s="99">
        <v>0</v>
      </c>
      <c r="M20" s="99">
        <v>0</v>
      </c>
      <c r="N20" s="99">
        <v>0</v>
      </c>
      <c r="O20" s="99">
        <v>0</v>
      </c>
      <c r="P20" s="99">
        <v>0</v>
      </c>
      <c r="Q20" s="99">
        <v>0</v>
      </c>
      <c r="R20" s="99">
        <v>0</v>
      </c>
      <c r="S20" s="99">
        <v>0</v>
      </c>
      <c r="T20" s="99">
        <v>0</v>
      </c>
      <c r="U20" s="99">
        <f t="shared" si="0"/>
        <v>130</v>
      </c>
    </row>
    <row r="21" spans="1:21" ht="78.75">
      <c r="A21" s="96" t="s">
        <v>419</v>
      </c>
      <c r="B21" s="72" t="s">
        <v>211</v>
      </c>
      <c r="C21" s="289" t="s">
        <v>90</v>
      </c>
      <c r="D21" s="227" t="s">
        <v>85</v>
      </c>
      <c r="E21" s="228">
        <v>2020</v>
      </c>
      <c r="F21" s="99" t="s">
        <v>324</v>
      </c>
      <c r="G21" s="103" t="s">
        <v>14</v>
      </c>
      <c r="H21" s="99">
        <v>120</v>
      </c>
      <c r="I21" s="99" t="s">
        <v>479</v>
      </c>
      <c r="J21" s="103" t="s">
        <v>14</v>
      </c>
      <c r="K21" s="99">
        <v>60</v>
      </c>
      <c r="L21" s="99">
        <v>0</v>
      </c>
      <c r="M21" s="99">
        <v>0</v>
      </c>
      <c r="N21" s="99">
        <v>0</v>
      </c>
      <c r="O21" s="99">
        <v>0</v>
      </c>
      <c r="P21" s="99">
        <v>0</v>
      </c>
      <c r="Q21" s="99">
        <v>0</v>
      </c>
      <c r="R21" s="99" t="s">
        <v>286</v>
      </c>
      <c r="S21" s="103" t="s">
        <v>14</v>
      </c>
      <c r="T21" s="99">
        <v>90</v>
      </c>
      <c r="U21" s="99">
        <f t="shared" si="0"/>
        <v>270</v>
      </c>
    </row>
    <row r="22" spans="1:21" ht="78.75">
      <c r="A22" s="96" t="s">
        <v>420</v>
      </c>
      <c r="B22" s="72" t="s">
        <v>328</v>
      </c>
      <c r="C22" s="289" t="s">
        <v>6</v>
      </c>
      <c r="D22" s="227" t="s">
        <v>132</v>
      </c>
      <c r="E22" s="99" t="s">
        <v>91</v>
      </c>
      <c r="F22" s="38" t="s">
        <v>321</v>
      </c>
      <c r="G22" s="103" t="s">
        <v>320</v>
      </c>
      <c r="H22" s="195">
        <v>23068</v>
      </c>
      <c r="I22" s="38" t="s">
        <v>536</v>
      </c>
      <c r="J22" s="103" t="s">
        <v>537</v>
      </c>
      <c r="K22" s="195">
        <v>23742</v>
      </c>
      <c r="L22" s="38">
        <v>0</v>
      </c>
      <c r="M22" s="99">
        <v>0</v>
      </c>
      <c r="N22" s="195">
        <v>0</v>
      </c>
      <c r="O22" s="38">
        <v>0</v>
      </c>
      <c r="P22" s="99">
        <v>0</v>
      </c>
      <c r="Q22" s="195">
        <v>0</v>
      </c>
      <c r="R22" s="38">
        <v>0</v>
      </c>
      <c r="S22" s="99">
        <v>0</v>
      </c>
      <c r="T22" s="195">
        <v>0</v>
      </c>
      <c r="U22" s="99">
        <f t="shared" si="0"/>
        <v>46810</v>
      </c>
    </row>
    <row r="23" spans="1:21" ht="63">
      <c r="A23" s="96" t="s">
        <v>421</v>
      </c>
      <c r="B23" s="72" t="s">
        <v>313</v>
      </c>
      <c r="C23" s="289" t="s">
        <v>6</v>
      </c>
      <c r="D23" s="227" t="s">
        <v>306</v>
      </c>
      <c r="E23" s="99" t="s">
        <v>535</v>
      </c>
      <c r="F23" s="38" t="s">
        <v>307</v>
      </c>
      <c r="G23" s="99" t="s">
        <v>308</v>
      </c>
      <c r="H23" s="195">
        <v>238</v>
      </c>
      <c r="I23" s="38" t="s">
        <v>479</v>
      </c>
      <c r="J23" s="99" t="s">
        <v>308</v>
      </c>
      <c r="K23" s="195">
        <f>2*238</f>
        <v>476</v>
      </c>
      <c r="L23" s="38">
        <v>0</v>
      </c>
      <c r="M23" s="99">
        <v>0</v>
      </c>
      <c r="N23" s="195">
        <v>0</v>
      </c>
      <c r="O23" s="38">
        <v>0</v>
      </c>
      <c r="P23" s="99">
        <v>0</v>
      </c>
      <c r="Q23" s="195">
        <v>0</v>
      </c>
      <c r="R23" s="38">
        <v>0</v>
      </c>
      <c r="S23" s="99">
        <v>0</v>
      </c>
      <c r="T23" s="195">
        <v>0</v>
      </c>
      <c r="U23" s="99">
        <f t="shared" si="0"/>
        <v>714</v>
      </c>
    </row>
    <row r="24" spans="1:21" ht="63">
      <c r="A24" s="96" t="s">
        <v>422</v>
      </c>
      <c r="B24" s="72" t="s">
        <v>415</v>
      </c>
      <c r="C24" s="289" t="s">
        <v>90</v>
      </c>
      <c r="D24" s="37" t="s">
        <v>85</v>
      </c>
      <c r="E24" s="99" t="s">
        <v>156</v>
      </c>
      <c r="F24" s="195" t="s">
        <v>413</v>
      </c>
      <c r="G24" s="38" t="s">
        <v>157</v>
      </c>
      <c r="H24" s="38">
        <f>300-180</f>
        <v>120</v>
      </c>
      <c r="I24" s="38">
        <v>0</v>
      </c>
      <c r="J24" s="103">
        <v>0</v>
      </c>
      <c r="K24" s="195">
        <v>0</v>
      </c>
      <c r="L24" s="38">
        <v>0</v>
      </c>
      <c r="M24" s="103">
        <v>0</v>
      </c>
      <c r="N24" s="195">
        <v>0</v>
      </c>
      <c r="O24" s="38">
        <v>0</v>
      </c>
      <c r="P24" s="103">
        <v>0</v>
      </c>
      <c r="Q24" s="195">
        <v>0</v>
      </c>
      <c r="R24" s="38">
        <v>0</v>
      </c>
      <c r="S24" s="103">
        <v>0</v>
      </c>
      <c r="T24" s="195">
        <v>0</v>
      </c>
      <c r="U24" s="99">
        <f t="shared" si="0"/>
        <v>120</v>
      </c>
    </row>
    <row r="25" spans="1:21" s="104" customFormat="1" ht="16.5">
      <c r="A25" s="476" t="s">
        <v>94</v>
      </c>
      <c r="B25" s="477"/>
      <c r="C25" s="482"/>
      <c r="D25" s="477"/>
      <c r="E25" s="477"/>
      <c r="F25" s="229"/>
      <c r="G25" s="230"/>
      <c r="H25" s="231">
        <f>H26+H27+H28</f>
        <v>76431.37</v>
      </c>
      <c r="I25" s="232"/>
      <c r="J25" s="233"/>
      <c r="K25" s="231">
        <f>K26+K27</f>
        <v>37217</v>
      </c>
      <c r="L25" s="232"/>
      <c r="M25" s="233"/>
      <c r="N25" s="231">
        <f>N26+N27</f>
        <v>0</v>
      </c>
      <c r="O25" s="231"/>
      <c r="P25" s="231"/>
      <c r="Q25" s="231">
        <f>Q26+Q27</f>
        <v>0</v>
      </c>
      <c r="R25" s="231"/>
      <c r="S25" s="231"/>
      <c r="T25" s="231">
        <f>T26+T27</f>
        <v>54395.3</v>
      </c>
      <c r="U25" s="231">
        <f>SUM(H25:T25)</f>
        <v>168043.66999999998</v>
      </c>
    </row>
    <row r="26" spans="1:21" ht="16.5">
      <c r="A26" s="478" t="s">
        <v>84</v>
      </c>
      <c r="B26" s="478"/>
      <c r="C26" s="478"/>
      <c r="D26" s="478"/>
      <c r="E26" s="478"/>
      <c r="F26" s="234"/>
      <c r="G26" s="235"/>
      <c r="H26" s="236">
        <f>H11+H12+H14</f>
        <v>36295.370000000003</v>
      </c>
      <c r="I26" s="237"/>
      <c r="J26" s="237"/>
      <c r="K26" s="236">
        <f>K11+K12+K14</f>
        <v>19722</v>
      </c>
      <c r="L26" s="237"/>
      <c r="M26" s="237"/>
      <c r="N26" s="236">
        <f>N11+N12+N14</f>
        <v>0</v>
      </c>
      <c r="O26" s="236"/>
      <c r="P26" s="236"/>
      <c r="Q26" s="236">
        <f>Q11+Q12+Q14</f>
        <v>0</v>
      </c>
      <c r="R26" s="236"/>
      <c r="S26" s="236"/>
      <c r="T26" s="236">
        <f>T11+T12+T14</f>
        <v>35500</v>
      </c>
      <c r="U26" s="236">
        <f>SUM(H26:T26)</f>
        <v>91517.37</v>
      </c>
    </row>
    <row r="27" spans="1:21" ht="16.5">
      <c r="A27" s="478" t="s">
        <v>95</v>
      </c>
      <c r="B27" s="478"/>
      <c r="C27" s="478"/>
      <c r="D27" s="478"/>
      <c r="E27" s="478"/>
      <c r="F27" s="234"/>
      <c r="G27" s="235"/>
      <c r="H27" s="236">
        <f>H13+H15+H16+H17+H18+H19+H20+H21+H24</f>
        <v>16830</v>
      </c>
      <c r="I27" s="237"/>
      <c r="J27" s="237"/>
      <c r="K27" s="236">
        <f>K13+K15+K16+K17+K18+K19+K20+K21+K24</f>
        <v>17495</v>
      </c>
      <c r="L27" s="237"/>
      <c r="M27" s="237"/>
      <c r="N27" s="236">
        <f>N13+N15+N16+N17+N18+N19+N20+N21+N24</f>
        <v>0</v>
      </c>
      <c r="O27" s="236"/>
      <c r="P27" s="236"/>
      <c r="Q27" s="236">
        <f>Q13+Q15+Q16+Q17+Q18+Q19+Q20+Q21+Q24</f>
        <v>0</v>
      </c>
      <c r="R27" s="236"/>
      <c r="S27" s="236"/>
      <c r="T27" s="236">
        <f>T13+T15+T16+T17+T18+T19+T20+T21+T24</f>
        <v>18895.3</v>
      </c>
      <c r="U27" s="236">
        <f>H27+K27+N27+Q27+T27</f>
        <v>53220.3</v>
      </c>
    </row>
    <row r="28" spans="1:21" ht="16.5">
      <c r="A28" s="287" t="s">
        <v>6</v>
      </c>
      <c r="B28" s="239"/>
      <c r="C28" s="240"/>
      <c r="D28" s="240"/>
      <c r="E28" s="240"/>
      <c r="F28" s="234"/>
      <c r="G28" s="235"/>
      <c r="H28" s="236">
        <f>H22+H23</f>
        <v>23306</v>
      </c>
      <c r="I28" s="237"/>
      <c r="J28" s="237"/>
      <c r="K28" s="236">
        <f>K22+K23</f>
        <v>24218</v>
      </c>
      <c r="L28" s="237"/>
      <c r="M28" s="237"/>
      <c r="N28" s="236">
        <f>N22+N23</f>
        <v>0</v>
      </c>
      <c r="O28" s="236"/>
      <c r="P28" s="236"/>
      <c r="Q28" s="236">
        <f>Q22+Q23</f>
        <v>0</v>
      </c>
      <c r="R28" s="236"/>
      <c r="S28" s="236"/>
      <c r="T28" s="236">
        <f>T22+T23</f>
        <v>0</v>
      </c>
      <c r="U28" s="236">
        <f>H28+K28+N28+Q28</f>
        <v>47524</v>
      </c>
    </row>
    <row r="29" spans="1:21" ht="18.75">
      <c r="A29" s="241" t="s">
        <v>501</v>
      </c>
      <c r="B29" s="463" t="s">
        <v>223</v>
      </c>
      <c r="C29" s="464"/>
      <c r="D29" s="464"/>
      <c r="E29" s="464"/>
      <c r="F29" s="464"/>
      <c r="G29" s="464"/>
      <c r="H29" s="464"/>
      <c r="I29" s="464"/>
      <c r="J29" s="464"/>
      <c r="K29" s="464"/>
      <c r="L29" s="464"/>
      <c r="M29" s="464"/>
      <c r="N29" s="464"/>
      <c r="O29" s="464"/>
      <c r="P29" s="464"/>
      <c r="Q29" s="464"/>
      <c r="R29" s="464"/>
      <c r="S29" s="464"/>
      <c r="T29" s="464"/>
      <c r="U29" s="465"/>
    </row>
    <row r="30" spans="1:21" ht="126">
      <c r="A30" s="96" t="s">
        <v>35</v>
      </c>
      <c r="B30" s="242" t="s">
        <v>291</v>
      </c>
      <c r="C30" s="37"/>
      <c r="D30" s="37" t="s">
        <v>85</v>
      </c>
      <c r="E30" s="36" t="s">
        <v>502</v>
      </c>
      <c r="F30" s="85" t="s">
        <v>503</v>
      </c>
      <c r="G30" s="85" t="s">
        <v>386</v>
      </c>
      <c r="H30" s="38">
        <f>2664-772</f>
        <v>1892</v>
      </c>
      <c r="I30" s="56" t="s">
        <v>484</v>
      </c>
      <c r="J30" s="85" t="s">
        <v>380</v>
      </c>
      <c r="K30" s="38">
        <v>1892</v>
      </c>
      <c r="L30" s="38">
        <v>0</v>
      </c>
      <c r="M30" s="103">
        <v>0</v>
      </c>
      <c r="N30" s="195">
        <v>0</v>
      </c>
      <c r="O30" s="38">
        <v>0</v>
      </c>
      <c r="P30" s="103">
        <v>0</v>
      </c>
      <c r="Q30" s="195">
        <v>0</v>
      </c>
      <c r="R30" s="56" t="s">
        <v>143</v>
      </c>
      <c r="S30" s="85" t="s">
        <v>144</v>
      </c>
      <c r="T30" s="38">
        <f>((190*600*9)+(195*840*10))/1000</f>
        <v>2664</v>
      </c>
      <c r="U30" s="99">
        <f>H30+K30+N30+Q30+T30</f>
        <v>6448</v>
      </c>
    </row>
    <row r="31" spans="1:21" ht="16.5">
      <c r="A31" s="476" t="s">
        <v>97</v>
      </c>
      <c r="B31" s="477"/>
      <c r="C31" s="477"/>
      <c r="D31" s="477"/>
      <c r="E31" s="477"/>
      <c r="F31" s="234"/>
      <c r="G31" s="235"/>
      <c r="H31" s="231">
        <f>SUM(H32:H32)</f>
        <v>1892</v>
      </c>
      <c r="I31" s="243"/>
      <c r="J31" s="244"/>
      <c r="K31" s="231">
        <f>SUM(K32:K32)</f>
        <v>1892</v>
      </c>
      <c r="L31" s="243"/>
      <c r="M31" s="244"/>
      <c r="N31" s="231">
        <f>N32</f>
        <v>0</v>
      </c>
      <c r="O31" s="245"/>
      <c r="P31" s="245"/>
      <c r="Q31" s="231">
        <f>SUM(Q32:Q32)</f>
        <v>0</v>
      </c>
      <c r="R31" s="245"/>
      <c r="S31" s="245"/>
      <c r="T31" s="231">
        <f>SUM(T32:T32)</f>
        <v>2664</v>
      </c>
      <c r="U31" s="231">
        <f>H31+K31+N31+Q31+T31</f>
        <v>6448</v>
      </c>
    </row>
    <row r="32" spans="1:21" ht="16.5">
      <c r="A32" s="478" t="s">
        <v>95</v>
      </c>
      <c r="B32" s="478"/>
      <c r="C32" s="478"/>
      <c r="D32" s="478"/>
      <c r="E32" s="478"/>
      <c r="F32" s="234"/>
      <c r="G32" s="235"/>
      <c r="H32" s="236">
        <f>SUM(,H30,)</f>
        <v>1892</v>
      </c>
      <c r="I32" s="237"/>
      <c r="J32" s="237"/>
      <c r="K32" s="236">
        <f>SUM(,K30,)</f>
        <v>1892</v>
      </c>
      <c r="L32" s="237"/>
      <c r="M32" s="237"/>
      <c r="N32" s="236">
        <f>SUM(,N30,)</f>
        <v>0</v>
      </c>
      <c r="O32" s="236"/>
      <c r="P32" s="236"/>
      <c r="Q32" s="236">
        <f>SUM(,Q30,)</f>
        <v>0</v>
      </c>
      <c r="R32" s="236"/>
      <c r="S32" s="236"/>
      <c r="T32" s="236">
        <f>SUM(,T30,)</f>
        <v>2664</v>
      </c>
      <c r="U32" s="245">
        <f>H32+K32+N32+Q32+T32</f>
        <v>6448</v>
      </c>
    </row>
    <row r="33" spans="1:21" ht="18.75">
      <c r="A33" s="241" t="s">
        <v>504</v>
      </c>
      <c r="B33" s="479" t="s">
        <v>423</v>
      </c>
      <c r="C33" s="479"/>
      <c r="D33" s="479"/>
      <c r="E33" s="479"/>
      <c r="F33" s="479"/>
      <c r="G33" s="479"/>
      <c r="H33" s="479"/>
      <c r="I33" s="479"/>
      <c r="J33" s="479"/>
      <c r="K33" s="479"/>
      <c r="L33" s="479"/>
      <c r="M33" s="479"/>
      <c r="N33" s="479"/>
      <c r="O33" s="479"/>
      <c r="P33" s="479"/>
      <c r="Q33" s="479"/>
      <c r="R33" s="479"/>
      <c r="S33" s="479"/>
      <c r="T33" s="479"/>
      <c r="U33" s="479"/>
    </row>
    <row r="34" spans="1:21" ht="78.75">
      <c r="A34" s="96" t="s">
        <v>37</v>
      </c>
      <c r="B34" s="242" t="s">
        <v>476</v>
      </c>
      <c r="C34" s="285" t="s">
        <v>90</v>
      </c>
      <c r="D34" s="223" t="s">
        <v>85</v>
      </c>
      <c r="E34" s="223" t="s">
        <v>102</v>
      </c>
      <c r="F34" s="85" t="s">
        <v>396</v>
      </c>
      <c r="G34" s="85" t="s">
        <v>33</v>
      </c>
      <c r="H34" s="38">
        <v>2949</v>
      </c>
      <c r="I34" s="85" t="s">
        <v>505</v>
      </c>
      <c r="J34" s="85" t="s">
        <v>480</v>
      </c>
      <c r="K34" s="38">
        <v>1775</v>
      </c>
      <c r="L34" s="38">
        <v>0</v>
      </c>
      <c r="M34" s="103">
        <v>0</v>
      </c>
      <c r="N34" s="195">
        <v>0</v>
      </c>
      <c r="O34" s="38">
        <v>0</v>
      </c>
      <c r="P34" s="103">
        <v>0</v>
      </c>
      <c r="Q34" s="195">
        <v>0</v>
      </c>
      <c r="R34" s="85" t="s">
        <v>310</v>
      </c>
      <c r="S34" s="85" t="s">
        <v>33</v>
      </c>
      <c r="T34" s="38">
        <v>3306</v>
      </c>
      <c r="U34" s="99">
        <f t="shared" ref="U34:U50" si="1">H34+K34+N34+Q34+T34</f>
        <v>8030</v>
      </c>
    </row>
    <row r="35" spans="1:21" ht="252">
      <c r="A35" s="96" t="s">
        <v>312</v>
      </c>
      <c r="B35" s="97" t="s">
        <v>49</v>
      </c>
      <c r="C35" s="285" t="s">
        <v>90</v>
      </c>
      <c r="D35" s="37" t="s">
        <v>85</v>
      </c>
      <c r="E35" s="37" t="s">
        <v>91</v>
      </c>
      <c r="F35" s="85" t="s">
        <v>506</v>
      </c>
      <c r="G35" s="85" t="s">
        <v>105</v>
      </c>
      <c r="H35" s="38">
        <v>9</v>
      </c>
      <c r="I35" s="85" t="s">
        <v>506</v>
      </c>
      <c r="J35" s="85" t="s">
        <v>105</v>
      </c>
      <c r="K35" s="38">
        <v>9</v>
      </c>
      <c r="L35" s="38">
        <v>0</v>
      </c>
      <c r="M35" s="103">
        <v>0</v>
      </c>
      <c r="N35" s="195">
        <v>0</v>
      </c>
      <c r="O35" s="38">
        <v>0</v>
      </c>
      <c r="P35" s="103">
        <v>0</v>
      </c>
      <c r="Q35" s="195">
        <v>0</v>
      </c>
      <c r="R35" s="85" t="s">
        <v>506</v>
      </c>
      <c r="S35" s="85" t="s">
        <v>105</v>
      </c>
      <c r="T35" s="38">
        <v>9</v>
      </c>
      <c r="U35" s="99">
        <f t="shared" si="1"/>
        <v>27</v>
      </c>
    </row>
    <row r="36" spans="1:21" ht="63">
      <c r="A36" s="96" t="s">
        <v>428</v>
      </c>
      <c r="B36" s="97" t="s">
        <v>51</v>
      </c>
      <c r="C36" s="218" t="s">
        <v>90</v>
      </c>
      <c r="D36" s="37" t="s">
        <v>85</v>
      </c>
      <c r="E36" s="37" t="s">
        <v>91</v>
      </c>
      <c r="F36" s="85" t="s">
        <v>147</v>
      </c>
      <c r="G36" s="85" t="s">
        <v>381</v>
      </c>
      <c r="H36" s="38">
        <f>426</f>
        <v>426</v>
      </c>
      <c r="I36" s="85" t="s">
        <v>33</v>
      </c>
      <c r="J36" s="85">
        <v>0</v>
      </c>
      <c r="K36" s="38">
        <v>0</v>
      </c>
      <c r="L36" s="38">
        <v>0</v>
      </c>
      <c r="M36" s="103">
        <v>0</v>
      </c>
      <c r="N36" s="195">
        <v>0</v>
      </c>
      <c r="O36" s="38">
        <v>0</v>
      </c>
      <c r="P36" s="103">
        <v>0</v>
      </c>
      <c r="Q36" s="195">
        <v>0</v>
      </c>
      <c r="R36" s="38">
        <v>0</v>
      </c>
      <c r="S36" s="103">
        <v>0</v>
      </c>
      <c r="T36" s="195">
        <v>0</v>
      </c>
      <c r="U36" s="99">
        <f>H36+K36+N36+Q36+T36</f>
        <v>426</v>
      </c>
    </row>
    <row r="37" spans="1:21" ht="47.25">
      <c r="A37" s="96" t="s">
        <v>429</v>
      </c>
      <c r="B37" s="97" t="s">
        <v>201</v>
      </c>
      <c r="C37" s="438" t="s">
        <v>191</v>
      </c>
      <c r="D37" s="37" t="s">
        <v>85</v>
      </c>
      <c r="E37" s="37" t="s">
        <v>507</v>
      </c>
      <c r="F37" s="85" t="s">
        <v>508</v>
      </c>
      <c r="G37" s="85" t="s">
        <v>107</v>
      </c>
      <c r="H37" s="38">
        <v>3304</v>
      </c>
      <c r="I37" s="85" t="s">
        <v>508</v>
      </c>
      <c r="J37" s="85" t="s">
        <v>107</v>
      </c>
      <c r="K37" s="38">
        <v>3304</v>
      </c>
      <c r="L37" s="38">
        <v>0</v>
      </c>
      <c r="M37" s="103">
        <v>0</v>
      </c>
      <c r="N37" s="195">
        <v>0</v>
      </c>
      <c r="O37" s="38">
        <v>0</v>
      </c>
      <c r="P37" s="103">
        <v>0</v>
      </c>
      <c r="Q37" s="195">
        <v>0</v>
      </c>
      <c r="R37" s="85" t="s">
        <v>508</v>
      </c>
      <c r="S37" s="85" t="s">
        <v>107</v>
      </c>
      <c r="T37" s="38">
        <v>3304</v>
      </c>
      <c r="U37" s="99">
        <f t="shared" si="1"/>
        <v>9912</v>
      </c>
    </row>
    <row r="38" spans="1:21" ht="110.25">
      <c r="A38" s="96" t="s">
        <v>430</v>
      </c>
      <c r="B38" s="97" t="s">
        <v>296</v>
      </c>
      <c r="C38" s="438"/>
      <c r="D38" s="37" t="s">
        <v>85</v>
      </c>
      <c r="E38" s="37" t="s">
        <v>108</v>
      </c>
      <c r="F38" s="85" t="s">
        <v>137</v>
      </c>
      <c r="G38" s="85" t="s">
        <v>509</v>
      </c>
      <c r="H38" s="38">
        <v>378</v>
      </c>
      <c r="I38" s="85" t="s">
        <v>475</v>
      </c>
      <c r="J38" s="85" t="s">
        <v>509</v>
      </c>
      <c r="K38" s="38">
        <v>324</v>
      </c>
      <c r="L38" s="38">
        <v>0</v>
      </c>
      <c r="M38" s="103">
        <v>0</v>
      </c>
      <c r="N38" s="195">
        <v>0</v>
      </c>
      <c r="O38" s="38">
        <v>0</v>
      </c>
      <c r="P38" s="103">
        <v>0</v>
      </c>
      <c r="Q38" s="195">
        <v>0</v>
      </c>
      <c r="R38" s="85" t="s">
        <v>137</v>
      </c>
      <c r="S38" s="85" t="s">
        <v>509</v>
      </c>
      <c r="T38" s="38">
        <v>378</v>
      </c>
      <c r="U38" s="99">
        <f t="shared" si="1"/>
        <v>1080</v>
      </c>
    </row>
    <row r="39" spans="1:21" ht="141.75">
      <c r="A39" s="96" t="s">
        <v>431</v>
      </c>
      <c r="B39" s="97" t="s">
        <v>297</v>
      </c>
      <c r="C39" s="218" t="s">
        <v>90</v>
      </c>
      <c r="D39" s="37" t="s">
        <v>85</v>
      </c>
      <c r="E39" s="37" t="s">
        <v>91</v>
      </c>
      <c r="F39" s="85" t="s">
        <v>146</v>
      </c>
      <c r="G39" s="85" t="s">
        <v>110</v>
      </c>
      <c r="H39" s="38">
        <v>12</v>
      </c>
      <c r="I39" s="85" t="s">
        <v>146</v>
      </c>
      <c r="J39" s="85" t="s">
        <v>110</v>
      </c>
      <c r="K39" s="38">
        <v>12</v>
      </c>
      <c r="L39" s="38">
        <v>0</v>
      </c>
      <c r="M39" s="103">
        <v>0</v>
      </c>
      <c r="N39" s="195">
        <v>0</v>
      </c>
      <c r="O39" s="38">
        <v>0</v>
      </c>
      <c r="P39" s="103">
        <v>0</v>
      </c>
      <c r="Q39" s="195">
        <v>0</v>
      </c>
      <c r="R39" s="85" t="s">
        <v>146</v>
      </c>
      <c r="S39" s="85" t="s">
        <v>110</v>
      </c>
      <c r="T39" s="38">
        <v>12</v>
      </c>
      <c r="U39" s="99">
        <f t="shared" si="1"/>
        <v>36</v>
      </c>
    </row>
    <row r="40" spans="1:21" ht="126">
      <c r="A40" s="96" t="s">
        <v>432</v>
      </c>
      <c r="B40" s="97" t="s">
        <v>465</v>
      </c>
      <c r="C40" s="480" t="s">
        <v>191</v>
      </c>
      <c r="D40" s="37" t="s">
        <v>85</v>
      </c>
      <c r="E40" s="37" t="s">
        <v>102</v>
      </c>
      <c r="F40" s="85" t="s">
        <v>506</v>
      </c>
      <c r="G40" s="85" t="s">
        <v>510</v>
      </c>
      <c r="H40" s="38">
        <v>50</v>
      </c>
      <c r="I40" s="85" t="s">
        <v>33</v>
      </c>
      <c r="J40" s="85">
        <v>0</v>
      </c>
      <c r="K40" s="38">
        <v>0</v>
      </c>
      <c r="L40" s="85" t="s">
        <v>33</v>
      </c>
      <c r="M40" s="85">
        <v>0</v>
      </c>
      <c r="N40" s="38">
        <v>0</v>
      </c>
      <c r="O40" s="85" t="s">
        <v>33</v>
      </c>
      <c r="P40" s="85">
        <v>0</v>
      </c>
      <c r="Q40" s="38">
        <v>0</v>
      </c>
      <c r="R40" s="85" t="s">
        <v>33</v>
      </c>
      <c r="S40" s="85">
        <v>0</v>
      </c>
      <c r="T40" s="38">
        <v>0</v>
      </c>
      <c r="U40" s="99">
        <f t="shared" si="1"/>
        <v>50</v>
      </c>
    </row>
    <row r="41" spans="1:21" ht="110.25">
      <c r="A41" s="96" t="s">
        <v>433</v>
      </c>
      <c r="B41" s="97" t="s">
        <v>195</v>
      </c>
      <c r="C41" s="483"/>
      <c r="D41" s="37" t="s">
        <v>85</v>
      </c>
      <c r="E41" s="37" t="s">
        <v>102</v>
      </c>
      <c r="F41" s="85" t="s">
        <v>506</v>
      </c>
      <c r="G41" s="85" t="s">
        <v>511</v>
      </c>
      <c r="H41" s="38">
        <v>50</v>
      </c>
      <c r="I41" s="39">
        <v>1</v>
      </c>
      <c r="J41" s="39">
        <v>50</v>
      </c>
      <c r="K41" s="40">
        <f>J41*I41</f>
        <v>50</v>
      </c>
      <c r="L41" s="85" t="s">
        <v>33</v>
      </c>
      <c r="M41" s="85">
        <v>0</v>
      </c>
      <c r="N41" s="38">
        <v>0</v>
      </c>
      <c r="O41" s="85" t="s">
        <v>33</v>
      </c>
      <c r="P41" s="85">
        <v>0</v>
      </c>
      <c r="Q41" s="38">
        <v>0</v>
      </c>
      <c r="R41" s="85" t="s">
        <v>33</v>
      </c>
      <c r="S41" s="85">
        <v>0</v>
      </c>
      <c r="T41" s="38">
        <v>0</v>
      </c>
      <c r="U41" s="99">
        <f t="shared" si="1"/>
        <v>100</v>
      </c>
    </row>
    <row r="42" spans="1:21" ht="157.5">
      <c r="A42" s="96" t="s">
        <v>434</v>
      </c>
      <c r="B42" s="97" t="s">
        <v>196</v>
      </c>
      <c r="C42" s="483"/>
      <c r="D42" s="37" t="s">
        <v>85</v>
      </c>
      <c r="E42" s="37" t="s">
        <v>91</v>
      </c>
      <c r="F42" s="85" t="s">
        <v>408</v>
      </c>
      <c r="G42" s="85" t="s">
        <v>409</v>
      </c>
      <c r="H42" s="38">
        <f>480+330</f>
        <v>810</v>
      </c>
      <c r="I42" s="85" t="s">
        <v>512</v>
      </c>
      <c r="J42" s="85" t="s">
        <v>409</v>
      </c>
      <c r="K42" s="38">
        <v>720</v>
      </c>
      <c r="L42" s="38">
        <v>0</v>
      </c>
      <c r="M42" s="103">
        <v>0</v>
      </c>
      <c r="N42" s="195">
        <v>0</v>
      </c>
      <c r="O42" s="38">
        <v>0</v>
      </c>
      <c r="P42" s="103">
        <v>0</v>
      </c>
      <c r="Q42" s="195">
        <v>0</v>
      </c>
      <c r="R42" s="85" t="s">
        <v>513</v>
      </c>
      <c r="S42" s="85" t="s">
        <v>409</v>
      </c>
      <c r="T42" s="38">
        <v>480</v>
      </c>
      <c r="U42" s="99">
        <f t="shared" si="1"/>
        <v>2010</v>
      </c>
    </row>
    <row r="43" spans="1:21" ht="189">
      <c r="A43" s="228" t="s">
        <v>435</v>
      </c>
      <c r="B43" s="97" t="s">
        <v>197</v>
      </c>
      <c r="C43" s="483"/>
      <c r="D43" s="37" t="s">
        <v>85</v>
      </c>
      <c r="E43" s="37" t="s">
        <v>102</v>
      </c>
      <c r="F43" s="85" t="s">
        <v>131</v>
      </c>
      <c r="G43" s="85" t="s">
        <v>409</v>
      </c>
      <c r="H43" s="38">
        <v>30</v>
      </c>
      <c r="I43" s="39">
        <v>1</v>
      </c>
      <c r="J43" s="39">
        <v>10</v>
      </c>
      <c r="K43" s="40">
        <f>I43*J43</f>
        <v>10</v>
      </c>
      <c r="L43" s="85" t="s">
        <v>33</v>
      </c>
      <c r="M43" s="85">
        <v>0</v>
      </c>
      <c r="N43" s="38">
        <v>0</v>
      </c>
      <c r="O43" s="85" t="s">
        <v>33</v>
      </c>
      <c r="P43" s="85">
        <v>0</v>
      </c>
      <c r="Q43" s="38">
        <v>0</v>
      </c>
      <c r="R43" s="85" t="s">
        <v>33</v>
      </c>
      <c r="S43" s="85">
        <v>0</v>
      </c>
      <c r="T43" s="38">
        <v>0</v>
      </c>
      <c r="U43" s="99">
        <f t="shared" si="1"/>
        <v>40</v>
      </c>
    </row>
    <row r="44" spans="1:21" ht="94.5">
      <c r="A44" s="247" t="s">
        <v>436</v>
      </c>
      <c r="B44" s="97" t="s">
        <v>198</v>
      </c>
      <c r="C44" s="481"/>
      <c r="D44" s="37" t="s">
        <v>85</v>
      </c>
      <c r="E44" s="37" t="s">
        <v>102</v>
      </c>
      <c r="F44" s="85">
        <v>1</v>
      </c>
      <c r="G44" s="85" t="s">
        <v>511</v>
      </c>
      <c r="H44" s="38">
        <v>50</v>
      </c>
      <c r="I44" s="39">
        <v>1</v>
      </c>
      <c r="J44" s="39">
        <v>50</v>
      </c>
      <c r="K44" s="40">
        <f>I44*J44</f>
        <v>50</v>
      </c>
      <c r="L44" s="85" t="s">
        <v>33</v>
      </c>
      <c r="M44" s="85">
        <v>0</v>
      </c>
      <c r="N44" s="38">
        <v>0</v>
      </c>
      <c r="O44" s="85" t="s">
        <v>33</v>
      </c>
      <c r="P44" s="85">
        <v>0</v>
      </c>
      <c r="Q44" s="38">
        <v>0</v>
      </c>
      <c r="R44" s="85" t="s">
        <v>33</v>
      </c>
      <c r="S44" s="85">
        <v>0</v>
      </c>
      <c r="T44" s="38">
        <v>0</v>
      </c>
      <c r="U44" s="99">
        <f t="shared" si="1"/>
        <v>100</v>
      </c>
    </row>
    <row r="45" spans="1:21" ht="94.5">
      <c r="A45" s="247" t="s">
        <v>437</v>
      </c>
      <c r="B45" s="97" t="s">
        <v>61</v>
      </c>
      <c r="C45" s="218" t="s">
        <v>90</v>
      </c>
      <c r="D45" s="37" t="s">
        <v>85</v>
      </c>
      <c r="E45" s="37" t="s">
        <v>91</v>
      </c>
      <c r="F45" s="85" t="s">
        <v>395</v>
      </c>
      <c r="G45" s="85" t="s">
        <v>270</v>
      </c>
      <c r="H45" s="38">
        <f>96</f>
        <v>96</v>
      </c>
      <c r="I45" s="85" t="s">
        <v>514</v>
      </c>
      <c r="J45" s="85" t="s">
        <v>481</v>
      </c>
      <c r="K45" s="38">
        <v>68</v>
      </c>
      <c r="L45" s="85" t="s">
        <v>33</v>
      </c>
      <c r="M45" s="85">
        <v>0</v>
      </c>
      <c r="N45" s="38">
        <v>0</v>
      </c>
      <c r="O45" s="85" t="s">
        <v>33</v>
      </c>
      <c r="P45" s="85">
        <v>0</v>
      </c>
      <c r="Q45" s="38">
        <v>0</v>
      </c>
      <c r="R45" s="85" t="s">
        <v>395</v>
      </c>
      <c r="S45" s="85" t="s">
        <v>270</v>
      </c>
      <c r="T45" s="38">
        <v>96</v>
      </c>
      <c r="U45" s="99">
        <f t="shared" si="1"/>
        <v>260</v>
      </c>
    </row>
    <row r="46" spans="1:21" ht="157.5">
      <c r="A46" s="247" t="s">
        <v>438</v>
      </c>
      <c r="B46" s="97" t="s">
        <v>234</v>
      </c>
      <c r="C46" s="218" t="s">
        <v>90</v>
      </c>
      <c r="D46" s="37" t="s">
        <v>113</v>
      </c>
      <c r="E46" s="37" t="s">
        <v>102</v>
      </c>
      <c r="F46" s="85" t="s">
        <v>327</v>
      </c>
      <c r="G46" s="85" t="s">
        <v>298</v>
      </c>
      <c r="H46" s="38">
        <f>515*55</f>
        <v>28325</v>
      </c>
      <c r="I46" s="85" t="s">
        <v>487</v>
      </c>
      <c r="J46" s="85" t="s">
        <v>149</v>
      </c>
      <c r="K46" s="38">
        <v>550</v>
      </c>
      <c r="L46" s="85" t="s">
        <v>33</v>
      </c>
      <c r="M46" s="85">
        <v>0</v>
      </c>
      <c r="N46" s="38">
        <v>0</v>
      </c>
      <c r="O46" s="85" t="s">
        <v>33</v>
      </c>
      <c r="P46" s="85">
        <v>0</v>
      </c>
      <c r="Q46" s="38">
        <v>0</v>
      </c>
      <c r="R46" s="85" t="s">
        <v>275</v>
      </c>
      <c r="S46" s="85" t="s">
        <v>149</v>
      </c>
      <c r="T46" s="38">
        <v>2321</v>
      </c>
      <c r="U46" s="99">
        <f t="shared" si="1"/>
        <v>31196</v>
      </c>
    </row>
    <row r="47" spans="1:21" ht="78.75">
      <c r="A47" s="96" t="s">
        <v>439</v>
      </c>
      <c r="B47" s="186" t="s">
        <v>122</v>
      </c>
      <c r="C47" s="223" t="s">
        <v>99</v>
      </c>
      <c r="D47" s="37" t="s">
        <v>85</v>
      </c>
      <c r="E47" s="37" t="s">
        <v>5</v>
      </c>
      <c r="F47" s="85" t="s">
        <v>410</v>
      </c>
      <c r="G47" s="196" t="s">
        <v>383</v>
      </c>
      <c r="H47" s="38">
        <f>387-2.2</f>
        <v>384.8</v>
      </c>
      <c r="I47" s="85" t="s">
        <v>300</v>
      </c>
      <c r="J47" s="87" t="s">
        <v>125</v>
      </c>
      <c r="K47" s="38">
        <v>387</v>
      </c>
      <c r="L47" s="56" t="s">
        <v>515</v>
      </c>
      <c r="M47" s="56" t="s">
        <v>516</v>
      </c>
      <c r="N47" s="38">
        <v>387</v>
      </c>
      <c r="O47" s="56" t="s">
        <v>515</v>
      </c>
      <c r="P47" s="56" t="s">
        <v>516</v>
      </c>
      <c r="Q47" s="38">
        <v>387</v>
      </c>
      <c r="R47" s="56" t="s">
        <v>515</v>
      </c>
      <c r="S47" s="56" t="s">
        <v>516</v>
      </c>
      <c r="T47" s="38">
        <v>386</v>
      </c>
      <c r="U47" s="99">
        <f t="shared" si="1"/>
        <v>1931.8</v>
      </c>
    </row>
    <row r="48" spans="1:21" ht="102">
      <c r="A48" s="96" t="s">
        <v>440</v>
      </c>
      <c r="B48" s="248" t="s">
        <v>220</v>
      </c>
      <c r="C48" s="223" t="s">
        <v>192</v>
      </c>
      <c r="D48" s="249" t="s">
        <v>85</v>
      </c>
      <c r="E48" s="249" t="s">
        <v>91</v>
      </c>
      <c r="F48" s="190">
        <v>75</v>
      </c>
      <c r="G48" s="190" t="s">
        <v>464</v>
      </c>
      <c r="H48" s="191">
        <v>1248</v>
      </c>
      <c r="I48" s="190" t="s">
        <v>33</v>
      </c>
      <c r="J48" s="190" t="s">
        <v>33</v>
      </c>
      <c r="K48" s="191">
        <v>0</v>
      </c>
      <c r="L48" s="190" t="s">
        <v>33</v>
      </c>
      <c r="M48" s="190" t="s">
        <v>33</v>
      </c>
      <c r="N48" s="191">
        <v>0</v>
      </c>
      <c r="O48" s="190" t="s">
        <v>33</v>
      </c>
      <c r="P48" s="190" t="s">
        <v>33</v>
      </c>
      <c r="Q48" s="191">
        <v>0</v>
      </c>
      <c r="R48" s="190" t="s">
        <v>33</v>
      </c>
      <c r="S48" s="190" t="s">
        <v>33</v>
      </c>
      <c r="T48" s="191">
        <v>0</v>
      </c>
      <c r="U48" s="99">
        <f>H48+K48+N48+Q48+T48</f>
        <v>1248</v>
      </c>
    </row>
    <row r="49" spans="1:23" s="104" customFormat="1" ht="16.5">
      <c r="A49" s="476" t="s">
        <v>101</v>
      </c>
      <c r="B49" s="477"/>
      <c r="C49" s="477"/>
      <c r="D49" s="477"/>
      <c r="E49" s="477"/>
      <c r="F49" s="229"/>
      <c r="G49" s="230"/>
      <c r="H49" s="231">
        <f>H50+H51</f>
        <v>38121.800000000003</v>
      </c>
      <c r="I49" s="232"/>
      <c r="J49" s="233"/>
      <c r="K49" s="231">
        <f>K50+K51</f>
        <v>7259</v>
      </c>
      <c r="L49" s="232"/>
      <c r="M49" s="233"/>
      <c r="N49" s="231">
        <f>N50+N51</f>
        <v>387</v>
      </c>
      <c r="O49" s="231"/>
      <c r="P49" s="231"/>
      <c r="Q49" s="231">
        <f>Q50+Q51</f>
        <v>387</v>
      </c>
      <c r="R49" s="231"/>
      <c r="S49" s="231"/>
      <c r="T49" s="231">
        <f>T50+T51</f>
        <v>10292</v>
      </c>
      <c r="U49" s="231">
        <f t="shared" si="1"/>
        <v>56446.8</v>
      </c>
    </row>
    <row r="50" spans="1:23" s="104" customFormat="1" ht="16.5">
      <c r="A50" s="484" t="s">
        <v>6</v>
      </c>
      <c r="B50" s="442"/>
      <c r="C50" s="286"/>
      <c r="D50" s="286"/>
      <c r="E50" s="286"/>
      <c r="F50" s="229"/>
      <c r="G50" s="230"/>
      <c r="H50" s="245">
        <f>H47</f>
        <v>384.8</v>
      </c>
      <c r="I50" s="243"/>
      <c r="J50" s="244"/>
      <c r="K50" s="245">
        <f>K47</f>
        <v>387</v>
      </c>
      <c r="L50" s="243"/>
      <c r="M50" s="244"/>
      <c r="N50" s="245">
        <f>N47</f>
        <v>387</v>
      </c>
      <c r="O50" s="245"/>
      <c r="P50" s="245"/>
      <c r="Q50" s="245">
        <f>Q47</f>
        <v>387</v>
      </c>
      <c r="R50" s="231"/>
      <c r="S50" s="231"/>
      <c r="T50" s="245">
        <f>T47</f>
        <v>386</v>
      </c>
      <c r="U50" s="245">
        <f t="shared" si="1"/>
        <v>1931.8</v>
      </c>
    </row>
    <row r="51" spans="1:23" ht="16.5">
      <c r="A51" s="478" t="s">
        <v>95</v>
      </c>
      <c r="B51" s="478"/>
      <c r="C51" s="478"/>
      <c r="D51" s="478"/>
      <c r="E51" s="478"/>
      <c r="F51" s="234"/>
      <c r="G51" s="235"/>
      <c r="H51" s="236">
        <f>H34+H35+H36+H37+H38+H39+H40+H41+H42+H43+H44+H45+H46+H48</f>
        <v>37737</v>
      </c>
      <c r="I51" s="237"/>
      <c r="J51" s="237"/>
      <c r="K51" s="236">
        <f>K34+K35+K36+K37+K38+K39+K40+K41+K42+K43+K44+K45+K46+K48</f>
        <v>6872</v>
      </c>
      <c r="L51" s="237"/>
      <c r="M51" s="237"/>
      <c r="N51" s="236">
        <f>N34+N35+N36+N37+N38+N39+N40+N41+N42+N43+N44+N45+N46+N48</f>
        <v>0</v>
      </c>
      <c r="O51" s="236"/>
      <c r="P51" s="236"/>
      <c r="Q51" s="236">
        <f>Q34+Q35+Q36+Q37+Q38+Q39+Q40+Q41+Q42+Q43+Q44+Q45+Q46+Q48</f>
        <v>0</v>
      </c>
      <c r="R51" s="236"/>
      <c r="S51" s="236"/>
      <c r="T51" s="236">
        <f>T34+T35+T36+T37+T38+T39+T40+T41+T42+T43+T44+T45+T46+T48</f>
        <v>9906</v>
      </c>
      <c r="U51" s="245">
        <f>SUM(H51:T51)</f>
        <v>54515</v>
      </c>
    </row>
    <row r="52" spans="1:23" ht="18.75">
      <c r="A52" s="251" t="s">
        <v>517</v>
      </c>
      <c r="B52" s="485" t="s">
        <v>441</v>
      </c>
      <c r="C52" s="486"/>
      <c r="D52" s="486"/>
      <c r="E52" s="486"/>
      <c r="F52" s="486"/>
      <c r="G52" s="486"/>
      <c r="H52" s="486"/>
      <c r="I52" s="486"/>
      <c r="J52" s="486"/>
      <c r="K52" s="486"/>
      <c r="L52" s="486"/>
      <c r="M52" s="486"/>
      <c r="N52" s="486"/>
      <c r="O52" s="486"/>
      <c r="P52" s="486"/>
      <c r="Q52" s="486"/>
      <c r="R52" s="486"/>
      <c r="S52" s="486"/>
      <c r="T52" s="486"/>
      <c r="U52" s="487"/>
    </row>
    <row r="53" spans="1:23" ht="89.25">
      <c r="A53" s="96" t="s">
        <v>39</v>
      </c>
      <c r="B53" s="97" t="s">
        <v>203</v>
      </c>
      <c r="C53" s="223" t="s">
        <v>90</v>
      </c>
      <c r="D53" s="37" t="s">
        <v>85</v>
      </c>
      <c r="E53" s="37" t="s">
        <v>518</v>
      </c>
      <c r="F53" s="85" t="s">
        <v>124</v>
      </c>
      <c r="G53" s="85" t="s">
        <v>123</v>
      </c>
      <c r="H53" s="38">
        <f>700</f>
        <v>700</v>
      </c>
      <c r="I53" s="85" t="s">
        <v>483</v>
      </c>
      <c r="J53" s="85" t="s">
        <v>123</v>
      </c>
      <c r="K53" s="38">
        <v>600</v>
      </c>
      <c r="L53" s="190" t="s">
        <v>33</v>
      </c>
      <c r="M53" s="190" t="s">
        <v>33</v>
      </c>
      <c r="N53" s="191">
        <v>0</v>
      </c>
      <c r="O53" s="190" t="s">
        <v>33</v>
      </c>
      <c r="P53" s="190" t="s">
        <v>33</v>
      </c>
      <c r="Q53" s="191">
        <v>0</v>
      </c>
      <c r="R53" s="85" t="s">
        <v>124</v>
      </c>
      <c r="S53" s="85" t="s">
        <v>123</v>
      </c>
      <c r="T53" s="38">
        <v>700</v>
      </c>
      <c r="U53" s="99">
        <f>H53+K53+N53+Q53+T53</f>
        <v>2000</v>
      </c>
    </row>
    <row r="54" spans="1:23" s="104" customFormat="1" ht="16.5">
      <c r="A54" s="476" t="s">
        <v>114</v>
      </c>
      <c r="B54" s="477"/>
      <c r="C54" s="477"/>
      <c r="D54" s="477"/>
      <c r="E54" s="477"/>
      <c r="F54" s="229"/>
      <c r="G54" s="230"/>
      <c r="H54" s="231">
        <f>SUM(H55:H55)</f>
        <v>700</v>
      </c>
      <c r="I54" s="232"/>
      <c r="J54" s="233"/>
      <c r="K54" s="231">
        <f>SUM(K55:K55)</f>
        <v>600</v>
      </c>
      <c r="L54" s="232"/>
      <c r="M54" s="233"/>
      <c r="N54" s="231">
        <f>SUM(N55:N55)</f>
        <v>0</v>
      </c>
      <c r="O54" s="231"/>
      <c r="P54" s="231"/>
      <c r="Q54" s="231">
        <f>SUM(Q55:Q55)</f>
        <v>0</v>
      </c>
      <c r="R54" s="231"/>
      <c r="S54" s="231"/>
      <c r="T54" s="231">
        <f>SUM(T55:T55)</f>
        <v>700</v>
      </c>
      <c r="U54" s="231">
        <f>H54+K54+N54+Q54+T54</f>
        <v>2000</v>
      </c>
    </row>
    <row r="55" spans="1:23" ht="16.5">
      <c r="A55" s="478" t="s">
        <v>95</v>
      </c>
      <c r="B55" s="478"/>
      <c r="C55" s="478"/>
      <c r="D55" s="478"/>
      <c r="E55" s="478"/>
      <c r="F55" s="234"/>
      <c r="G55" s="235"/>
      <c r="H55" s="236">
        <f>SUM(H53:H53)</f>
        <v>700</v>
      </c>
      <c r="I55" s="237"/>
      <c r="J55" s="237"/>
      <c r="K55" s="236">
        <f>SUM(K53:K53)</f>
        <v>600</v>
      </c>
      <c r="L55" s="237"/>
      <c r="M55" s="237"/>
      <c r="N55" s="236">
        <f>SUM(N53:N53)</f>
        <v>0</v>
      </c>
      <c r="O55" s="236"/>
      <c r="P55" s="236"/>
      <c r="Q55" s="236">
        <f>SUM(Q53:Q53)</f>
        <v>0</v>
      </c>
      <c r="R55" s="236"/>
      <c r="S55" s="236"/>
      <c r="T55" s="236">
        <f>SUM(T53:T53)</f>
        <v>700</v>
      </c>
      <c r="U55" s="245">
        <f>H55+K55+N55+Q55+T55</f>
        <v>2000</v>
      </c>
    </row>
    <row r="56" spans="1:23" ht="18.75">
      <c r="A56" s="251" t="s">
        <v>519</v>
      </c>
      <c r="B56" s="489" t="s">
        <v>442</v>
      </c>
      <c r="C56" s="489"/>
      <c r="D56" s="489"/>
      <c r="E56" s="489"/>
      <c r="F56" s="489"/>
      <c r="G56" s="489"/>
      <c r="H56" s="489"/>
      <c r="I56" s="489"/>
      <c r="J56" s="489"/>
      <c r="K56" s="489"/>
      <c r="L56" s="489"/>
      <c r="M56" s="489"/>
      <c r="N56" s="489"/>
      <c r="O56" s="489"/>
      <c r="P56" s="489"/>
      <c r="Q56" s="489"/>
      <c r="R56" s="489"/>
      <c r="S56" s="489"/>
      <c r="T56" s="489"/>
      <c r="U56" s="489"/>
    </row>
    <row r="57" spans="1:23" ht="105" customHeight="1">
      <c r="A57" s="492" t="s">
        <v>64</v>
      </c>
      <c r="B57" s="494" t="s">
        <v>204</v>
      </c>
      <c r="C57" s="241" t="s">
        <v>528</v>
      </c>
      <c r="D57" s="37" t="s">
        <v>85</v>
      </c>
      <c r="E57" s="37" t="s">
        <v>91</v>
      </c>
      <c r="F57" s="85" t="s">
        <v>405</v>
      </c>
      <c r="G57" s="85" t="s">
        <v>152</v>
      </c>
      <c r="H57" s="38">
        <f>1656-207</f>
        <v>1449</v>
      </c>
      <c r="I57" s="220" t="s">
        <v>33</v>
      </c>
      <c r="J57" s="278">
        <v>0</v>
      </c>
      <c r="K57" s="278">
        <v>0</v>
      </c>
      <c r="L57" s="220" t="s">
        <v>33</v>
      </c>
      <c r="M57" s="278">
        <v>0</v>
      </c>
      <c r="N57" s="278">
        <v>0</v>
      </c>
      <c r="O57" s="220" t="s">
        <v>33</v>
      </c>
      <c r="P57" s="278">
        <v>0</v>
      </c>
      <c r="Q57" s="278">
        <v>0</v>
      </c>
      <c r="R57" s="220" t="s">
        <v>33</v>
      </c>
      <c r="S57" s="278">
        <v>0</v>
      </c>
      <c r="T57" s="278">
        <v>0</v>
      </c>
      <c r="U57" s="279">
        <f>H57+K57+N57+Q57+T57</f>
        <v>1449</v>
      </c>
    </row>
    <row r="58" spans="1:23" ht="93.75" customHeight="1">
      <c r="A58" s="493"/>
      <c r="B58" s="495"/>
      <c r="C58" s="37" t="s">
        <v>529</v>
      </c>
      <c r="D58" s="37" t="s">
        <v>85</v>
      </c>
      <c r="E58" s="37" t="s">
        <v>91</v>
      </c>
      <c r="F58" s="277" t="s">
        <v>33</v>
      </c>
      <c r="G58" s="85">
        <v>0</v>
      </c>
      <c r="H58" s="85"/>
      <c r="I58" s="85" t="s">
        <v>534</v>
      </c>
      <c r="J58" s="85" t="s">
        <v>152</v>
      </c>
      <c r="K58" s="38">
        <v>1437</v>
      </c>
      <c r="L58" s="85" t="s">
        <v>534</v>
      </c>
      <c r="M58" s="85" t="s">
        <v>538</v>
      </c>
      <c r="N58" s="38">
        <v>1437</v>
      </c>
      <c r="O58" s="85" t="s">
        <v>534</v>
      </c>
      <c r="P58" s="85" t="s">
        <v>538</v>
      </c>
      <c r="Q58" s="38">
        <v>1437</v>
      </c>
      <c r="R58" s="56" t="s">
        <v>520</v>
      </c>
      <c r="S58" s="85" t="s">
        <v>152</v>
      </c>
      <c r="T58" s="38">
        <v>1656</v>
      </c>
      <c r="U58" s="99">
        <f>H57+K58+N58+Q58+T58</f>
        <v>7416</v>
      </c>
    </row>
    <row r="59" spans="1:23" ht="242.25">
      <c r="A59" s="96" t="s">
        <v>443</v>
      </c>
      <c r="B59" s="97" t="s">
        <v>471</v>
      </c>
      <c r="C59" s="37" t="s">
        <v>99</v>
      </c>
      <c r="D59" s="37" t="s">
        <v>85</v>
      </c>
      <c r="E59" s="37" t="s">
        <v>3</v>
      </c>
      <c r="F59" s="85" t="s">
        <v>397</v>
      </c>
      <c r="G59" s="85" t="s">
        <v>302</v>
      </c>
      <c r="H59" s="38">
        <f>86-31</f>
        <v>55</v>
      </c>
      <c r="I59" s="85" t="s">
        <v>490</v>
      </c>
      <c r="J59" s="85" t="s">
        <v>491</v>
      </c>
      <c r="K59" s="38">
        <v>70</v>
      </c>
      <c r="L59" s="85" t="s">
        <v>490</v>
      </c>
      <c r="M59" s="85" t="s">
        <v>491</v>
      </c>
      <c r="N59" s="38">
        <v>70</v>
      </c>
      <c r="O59" s="85" t="s">
        <v>490</v>
      </c>
      <c r="P59" s="85" t="s">
        <v>491</v>
      </c>
      <c r="Q59" s="38">
        <v>70</v>
      </c>
      <c r="R59" s="85" t="s">
        <v>490</v>
      </c>
      <c r="S59" s="85" t="s">
        <v>302</v>
      </c>
      <c r="T59" s="38">
        <v>86</v>
      </c>
      <c r="U59" s="99">
        <f>H59+K59+N59+Q59+T59</f>
        <v>351</v>
      </c>
    </row>
    <row r="60" spans="1:23" s="104" customFormat="1" ht="16.5">
      <c r="A60" s="476" t="s">
        <v>0</v>
      </c>
      <c r="B60" s="477"/>
      <c r="C60" s="477"/>
      <c r="D60" s="477"/>
      <c r="E60" s="477"/>
      <c r="F60" s="229"/>
      <c r="G60" s="230"/>
      <c r="H60" s="231">
        <f>SUM(H61:H62)</f>
        <v>1504</v>
      </c>
      <c r="I60" s="232"/>
      <c r="J60" s="233"/>
      <c r="K60" s="231">
        <f>SUM(K61:K62)</f>
        <v>1507</v>
      </c>
      <c r="L60" s="232"/>
      <c r="M60" s="233"/>
      <c r="N60" s="231">
        <f>N61+N62</f>
        <v>1507</v>
      </c>
      <c r="O60" s="231"/>
      <c r="P60" s="231"/>
      <c r="Q60" s="231">
        <f>Q58+Q59</f>
        <v>1507</v>
      </c>
      <c r="R60" s="231"/>
      <c r="S60" s="231"/>
      <c r="T60" s="231">
        <f>SUM(T61:T62)</f>
        <v>1742</v>
      </c>
      <c r="U60" s="231">
        <f>H60+K60+N60+Q60+T60</f>
        <v>7767</v>
      </c>
    </row>
    <row r="61" spans="1:23" ht="16.5">
      <c r="A61" s="478" t="s">
        <v>95</v>
      </c>
      <c r="B61" s="478"/>
      <c r="C61" s="478"/>
      <c r="D61" s="478"/>
      <c r="E61" s="478"/>
      <c r="F61" s="234"/>
      <c r="G61" s="235"/>
      <c r="H61" s="236">
        <f>SUM(H57,)</f>
        <v>1449</v>
      </c>
      <c r="I61" s="237"/>
      <c r="J61" s="237"/>
      <c r="K61" s="236">
        <v>0</v>
      </c>
      <c r="L61" s="237"/>
      <c r="M61" s="237"/>
      <c r="N61" s="236">
        <v>0</v>
      </c>
      <c r="O61" s="236"/>
      <c r="P61" s="236"/>
      <c r="Q61" s="236">
        <v>0</v>
      </c>
      <c r="R61" s="236"/>
      <c r="S61" s="236"/>
      <c r="T61" s="236">
        <v>0</v>
      </c>
      <c r="U61" s="245">
        <f>H61+K61+N61+Q61+T61</f>
        <v>1449</v>
      </c>
    </row>
    <row r="62" spans="1:23" ht="16.5">
      <c r="A62" s="478" t="s">
        <v>6</v>
      </c>
      <c r="B62" s="478"/>
      <c r="C62" s="478"/>
      <c r="D62" s="478"/>
      <c r="E62" s="478"/>
      <c r="F62" s="234"/>
      <c r="G62" s="235"/>
      <c r="H62" s="236">
        <f>H59</f>
        <v>55</v>
      </c>
      <c r="I62" s="237"/>
      <c r="J62" s="237"/>
      <c r="K62" s="236">
        <f>K58+K59</f>
        <v>1507</v>
      </c>
      <c r="L62" s="237"/>
      <c r="M62" s="237"/>
      <c r="N62" s="236">
        <f>N58+N59</f>
        <v>1507</v>
      </c>
      <c r="O62" s="236"/>
      <c r="P62" s="236"/>
      <c r="Q62" s="236">
        <f>Q58+Q59</f>
        <v>1507</v>
      </c>
      <c r="R62" s="236"/>
      <c r="S62" s="236"/>
      <c r="T62" s="236">
        <f>T58+T59</f>
        <v>1742</v>
      </c>
      <c r="U62" s="245">
        <f>H62+K62+N62+Q62+T62</f>
        <v>6318</v>
      </c>
    </row>
    <row r="63" spans="1:23" ht="18.75">
      <c r="A63" s="252" t="s">
        <v>444</v>
      </c>
      <c r="B63" s="488" t="s">
        <v>521</v>
      </c>
      <c r="C63" s="490"/>
      <c r="D63" s="490"/>
      <c r="E63" s="490"/>
      <c r="F63" s="490"/>
      <c r="G63" s="490"/>
      <c r="H63" s="490"/>
      <c r="I63" s="490"/>
      <c r="J63" s="490"/>
      <c r="K63" s="490"/>
      <c r="L63" s="490"/>
      <c r="M63" s="490"/>
      <c r="N63" s="490"/>
      <c r="O63" s="490"/>
      <c r="P63" s="490"/>
      <c r="Q63" s="490"/>
      <c r="R63" s="490"/>
      <c r="S63" s="490"/>
      <c r="T63" s="490"/>
      <c r="U63" s="490"/>
    </row>
    <row r="64" spans="1:23" ht="108" customHeight="1">
      <c r="A64" s="253" t="s">
        <v>446</v>
      </c>
      <c r="B64" s="254" t="s">
        <v>193</v>
      </c>
      <c r="C64" s="223" t="s">
        <v>8</v>
      </c>
      <c r="D64" s="218" t="s">
        <v>85</v>
      </c>
      <c r="E64" s="99" t="s">
        <v>91</v>
      </c>
      <c r="F64" s="85" t="s">
        <v>158</v>
      </c>
      <c r="G64" s="85" t="s">
        <v>466</v>
      </c>
      <c r="H64" s="195">
        <f>409+357</f>
        <v>766</v>
      </c>
      <c r="I64" s="85" t="s">
        <v>158</v>
      </c>
      <c r="J64" s="85" t="s">
        <v>466</v>
      </c>
      <c r="K64" s="195">
        <v>655</v>
      </c>
      <c r="L64" s="85" t="s">
        <v>33</v>
      </c>
      <c r="M64" s="225" t="s">
        <v>33</v>
      </c>
      <c r="N64" s="38">
        <v>0</v>
      </c>
      <c r="O64" s="85" t="s">
        <v>33</v>
      </c>
      <c r="P64" s="225" t="s">
        <v>33</v>
      </c>
      <c r="Q64" s="38">
        <v>0</v>
      </c>
      <c r="R64" s="85" t="s">
        <v>158</v>
      </c>
      <c r="S64" s="85" t="s">
        <v>466</v>
      </c>
      <c r="T64" s="195">
        <v>510</v>
      </c>
      <c r="U64" s="99">
        <f>H64+K64+N64+Q64+T64</f>
        <v>1931</v>
      </c>
      <c r="V64" s="100" t="s">
        <v>219</v>
      </c>
      <c r="W64" s="100" t="s">
        <v>218</v>
      </c>
    </row>
    <row r="65" spans="1:21" s="104" customFormat="1" ht="16.5">
      <c r="A65" s="476" t="s">
        <v>2</v>
      </c>
      <c r="B65" s="477"/>
      <c r="C65" s="477"/>
      <c r="D65" s="477"/>
      <c r="E65" s="477"/>
      <c r="F65" s="229"/>
      <c r="G65" s="230"/>
      <c r="H65" s="231">
        <f>SUM(H66:H66)</f>
        <v>766</v>
      </c>
      <c r="I65" s="232"/>
      <c r="J65" s="233"/>
      <c r="K65" s="231">
        <f>SUM(K66:K66)</f>
        <v>655</v>
      </c>
      <c r="L65" s="232"/>
      <c r="M65" s="233"/>
      <c r="N65" s="231">
        <f>SUM(N66:N66)</f>
        <v>0</v>
      </c>
      <c r="O65" s="231"/>
      <c r="P65" s="231"/>
      <c r="Q65" s="231">
        <f>SUM(Q66:Q66)</f>
        <v>0</v>
      </c>
      <c r="R65" s="231"/>
      <c r="S65" s="231"/>
      <c r="T65" s="231">
        <f>SUM(T66:T66)</f>
        <v>510</v>
      </c>
      <c r="U65" s="231">
        <f>H65+K65+N65+Q65+T65</f>
        <v>1931</v>
      </c>
    </row>
    <row r="66" spans="1:21" ht="16.5">
      <c r="A66" s="478" t="s">
        <v>95</v>
      </c>
      <c r="B66" s="478"/>
      <c r="C66" s="478"/>
      <c r="D66" s="478"/>
      <c r="E66" s="478"/>
      <c r="F66" s="234"/>
      <c r="G66" s="235"/>
      <c r="H66" s="236">
        <f>SUM(H63:H64)</f>
        <v>766</v>
      </c>
      <c r="I66" s="237"/>
      <c r="J66" s="237"/>
      <c r="K66" s="236">
        <f>SUM(K63:K64)</f>
        <v>655</v>
      </c>
      <c r="L66" s="237"/>
      <c r="M66" s="237"/>
      <c r="N66" s="236">
        <f>SUM(N63:N64)</f>
        <v>0</v>
      </c>
      <c r="O66" s="236"/>
      <c r="P66" s="236"/>
      <c r="Q66" s="236">
        <f>SUM(Q63:Q64)</f>
        <v>0</v>
      </c>
      <c r="R66" s="236"/>
      <c r="S66" s="236"/>
      <c r="T66" s="236">
        <f>SUM(T63:T64)</f>
        <v>510</v>
      </c>
      <c r="U66" s="245">
        <f>H66+K66+N66+Q66+T66</f>
        <v>1931</v>
      </c>
    </row>
    <row r="67" spans="1:21" ht="18.75">
      <c r="A67" s="255" t="s">
        <v>447</v>
      </c>
      <c r="B67" s="488" t="s">
        <v>522</v>
      </c>
      <c r="C67" s="464"/>
      <c r="D67" s="464"/>
      <c r="E67" s="464"/>
      <c r="F67" s="464"/>
      <c r="G67" s="464"/>
      <c r="H67" s="464"/>
      <c r="I67" s="464"/>
      <c r="J67" s="464"/>
      <c r="K67" s="464"/>
      <c r="L67" s="464"/>
      <c r="M67" s="464"/>
      <c r="N67" s="464"/>
      <c r="O67" s="464"/>
      <c r="P67" s="464"/>
      <c r="Q67" s="464"/>
      <c r="R67" s="464"/>
      <c r="S67" s="464"/>
      <c r="T67" s="464"/>
      <c r="U67" s="465"/>
    </row>
    <row r="68" spans="1:21" ht="127.5">
      <c r="A68" s="96" t="s">
        <v>68</v>
      </c>
      <c r="B68" s="72" t="s">
        <v>199</v>
      </c>
      <c r="C68" s="223" t="s">
        <v>191</v>
      </c>
      <c r="D68" s="223" t="s">
        <v>85</v>
      </c>
      <c r="E68" s="37" t="s">
        <v>91</v>
      </c>
      <c r="F68" s="85" t="s">
        <v>469</v>
      </c>
      <c r="G68" s="85" t="s">
        <v>470</v>
      </c>
      <c r="H68" s="38">
        <f>27786-2500</f>
        <v>25286</v>
      </c>
      <c r="I68" s="39" t="s">
        <v>539</v>
      </c>
      <c r="J68" s="39" t="s">
        <v>540</v>
      </c>
      <c r="K68" s="40">
        <f>40120-110</f>
        <v>40010</v>
      </c>
      <c r="L68" s="85" t="s">
        <v>33</v>
      </c>
      <c r="M68" s="225" t="s">
        <v>33</v>
      </c>
      <c r="N68" s="38">
        <v>0</v>
      </c>
      <c r="O68" s="85" t="s">
        <v>33</v>
      </c>
      <c r="P68" s="225" t="s">
        <v>33</v>
      </c>
      <c r="Q68" s="38">
        <v>0</v>
      </c>
      <c r="R68" s="85" t="s">
        <v>140</v>
      </c>
      <c r="S68" s="85" t="s">
        <v>142</v>
      </c>
      <c r="T68" s="38">
        <v>40120</v>
      </c>
      <c r="U68" s="99">
        <f>H68+K68+N68+Q68+T68</f>
        <v>105416</v>
      </c>
    </row>
    <row r="69" spans="1:21" s="104" customFormat="1" ht="16.5">
      <c r="A69" s="476" t="s">
        <v>4</v>
      </c>
      <c r="B69" s="477"/>
      <c r="C69" s="477"/>
      <c r="D69" s="477"/>
      <c r="E69" s="491"/>
      <c r="F69" s="256"/>
      <c r="G69" s="256"/>
      <c r="H69" s="257">
        <f>H70</f>
        <v>25286</v>
      </c>
      <c r="I69" s="256"/>
      <c r="J69" s="256"/>
      <c r="K69" s="257">
        <f>K70</f>
        <v>40010</v>
      </c>
      <c r="L69" s="229"/>
      <c r="M69" s="230"/>
      <c r="N69" s="257">
        <f>N70</f>
        <v>0</v>
      </c>
      <c r="O69" s="257"/>
      <c r="P69" s="257"/>
      <c r="Q69" s="257">
        <f>Q70</f>
        <v>0</v>
      </c>
      <c r="R69" s="257"/>
      <c r="S69" s="257"/>
      <c r="T69" s="257">
        <f>T70</f>
        <v>40120</v>
      </c>
      <c r="U69" s="231">
        <f>H69+K69+N69+Q69+T69</f>
        <v>105416</v>
      </c>
    </row>
    <row r="70" spans="1:21" ht="16.5">
      <c r="A70" s="478" t="s">
        <v>95</v>
      </c>
      <c r="B70" s="478"/>
      <c r="C70" s="478"/>
      <c r="D70" s="478"/>
      <c r="E70" s="478"/>
      <c r="F70" s="85"/>
      <c r="G70" s="85"/>
      <c r="H70" s="38">
        <f>H68</f>
        <v>25286</v>
      </c>
      <c r="I70" s="85"/>
      <c r="J70" s="85"/>
      <c r="K70" s="38">
        <f>K68</f>
        <v>40010</v>
      </c>
      <c r="L70" s="234"/>
      <c r="M70" s="235"/>
      <c r="N70" s="38">
        <f>N68</f>
        <v>0</v>
      </c>
      <c r="O70" s="38"/>
      <c r="P70" s="38"/>
      <c r="Q70" s="38">
        <f>Q68</f>
        <v>0</v>
      </c>
      <c r="R70" s="38"/>
      <c r="S70" s="38"/>
      <c r="T70" s="38">
        <f>T68</f>
        <v>40120</v>
      </c>
      <c r="U70" s="245">
        <f>H70+K70+N70+Q70+T70</f>
        <v>105416</v>
      </c>
    </row>
    <row r="71" spans="1:21" ht="18.75">
      <c r="A71" s="255" t="s">
        <v>181</v>
      </c>
      <c r="B71" s="488" t="s">
        <v>523</v>
      </c>
      <c r="C71" s="464"/>
      <c r="D71" s="464"/>
      <c r="E71" s="464"/>
      <c r="F71" s="464"/>
      <c r="G71" s="464"/>
      <c r="H71" s="464"/>
      <c r="I71" s="464"/>
      <c r="J71" s="464"/>
      <c r="K71" s="464"/>
      <c r="L71" s="464"/>
      <c r="M71" s="464"/>
      <c r="N71" s="464"/>
      <c r="O71" s="464"/>
      <c r="P71" s="464"/>
      <c r="Q71" s="464"/>
      <c r="R71" s="464"/>
      <c r="S71" s="464"/>
      <c r="T71" s="464"/>
      <c r="U71" s="465"/>
    </row>
    <row r="72" spans="1:21" ht="75">
      <c r="A72" s="247" t="s">
        <v>450</v>
      </c>
      <c r="B72" s="226" t="s">
        <v>162</v>
      </c>
      <c r="C72" s="480" t="s">
        <v>8</v>
      </c>
      <c r="D72" s="223" t="s">
        <v>85</v>
      </c>
      <c r="E72" s="223" t="s">
        <v>91</v>
      </c>
      <c r="F72" s="192" t="s">
        <v>406</v>
      </c>
      <c r="G72" s="193" t="s">
        <v>411</v>
      </c>
      <c r="H72" s="194">
        <f>6486+934</f>
        <v>7420</v>
      </c>
      <c r="I72" s="192" t="s">
        <v>485</v>
      </c>
      <c r="J72" s="193" t="s">
        <v>486</v>
      </c>
      <c r="K72" s="194">
        <v>7350</v>
      </c>
      <c r="L72" s="85" t="s">
        <v>33</v>
      </c>
      <c r="M72" s="225" t="s">
        <v>33</v>
      </c>
      <c r="N72" s="38">
        <v>0</v>
      </c>
      <c r="O72" s="85" t="s">
        <v>33</v>
      </c>
      <c r="P72" s="225" t="s">
        <v>33</v>
      </c>
      <c r="Q72" s="38">
        <v>0</v>
      </c>
      <c r="R72" s="192" t="s">
        <v>277</v>
      </c>
      <c r="S72" s="193" t="s">
        <v>276</v>
      </c>
      <c r="T72" s="194">
        <v>6486</v>
      </c>
      <c r="U72" s="99">
        <f>H72+K72+N72+Q72+T72</f>
        <v>21256</v>
      </c>
    </row>
    <row r="73" spans="1:21" ht="94.5">
      <c r="A73" s="258" t="s">
        <v>451</v>
      </c>
      <c r="B73" s="227" t="s">
        <v>289</v>
      </c>
      <c r="C73" s="496"/>
      <c r="D73" s="37" t="s">
        <v>85</v>
      </c>
      <c r="E73" s="37" t="s">
        <v>91</v>
      </c>
      <c r="F73" s="85" t="s">
        <v>319</v>
      </c>
      <c r="G73" s="85" t="s">
        <v>309</v>
      </c>
      <c r="H73" s="38">
        <v>681</v>
      </c>
      <c r="I73" s="85" t="s">
        <v>488</v>
      </c>
      <c r="J73" s="85" t="s">
        <v>524</v>
      </c>
      <c r="K73" s="38">
        <v>684</v>
      </c>
      <c r="L73" s="85" t="s">
        <v>33</v>
      </c>
      <c r="M73" s="225" t="s">
        <v>33</v>
      </c>
      <c r="N73" s="38">
        <v>0</v>
      </c>
      <c r="O73" s="85" t="s">
        <v>33</v>
      </c>
      <c r="P73" s="225" t="s">
        <v>33</v>
      </c>
      <c r="Q73" s="38">
        <v>0</v>
      </c>
      <c r="R73" s="85">
        <v>110</v>
      </c>
      <c r="S73" s="85" t="s">
        <v>524</v>
      </c>
      <c r="T73" s="38">
        <v>660</v>
      </c>
      <c r="U73" s="99">
        <f>H73+K73+N73+Q73+T73</f>
        <v>2025</v>
      </c>
    </row>
    <row r="74" spans="1:21" ht="126">
      <c r="A74" s="258" t="s">
        <v>452</v>
      </c>
      <c r="B74" s="259" t="s">
        <v>473</v>
      </c>
      <c r="C74" s="260" t="s">
        <v>467</v>
      </c>
      <c r="D74" s="36" t="s">
        <v>85</v>
      </c>
      <c r="E74" s="37" t="s">
        <v>159</v>
      </c>
      <c r="F74" s="85" t="s">
        <v>160</v>
      </c>
      <c r="G74" s="85" t="s">
        <v>161</v>
      </c>
      <c r="H74" s="38">
        <f>774</f>
        <v>774</v>
      </c>
      <c r="I74" s="85" t="s">
        <v>533</v>
      </c>
      <c r="J74" s="85" t="s">
        <v>474</v>
      </c>
      <c r="K74" s="38">
        <v>350</v>
      </c>
      <c r="L74" s="85" t="s">
        <v>33</v>
      </c>
      <c r="M74" s="225" t="s">
        <v>33</v>
      </c>
      <c r="N74" s="38">
        <v>0</v>
      </c>
      <c r="O74" s="85" t="s">
        <v>33</v>
      </c>
      <c r="P74" s="225" t="s">
        <v>33</v>
      </c>
      <c r="Q74" s="38">
        <v>0</v>
      </c>
      <c r="R74" s="85" t="s">
        <v>160</v>
      </c>
      <c r="S74" s="85" t="s">
        <v>161</v>
      </c>
      <c r="T74" s="38">
        <v>774</v>
      </c>
      <c r="U74" s="99">
        <f>H74+K74+N74+Q74+T74</f>
        <v>1898</v>
      </c>
    </row>
    <row r="75" spans="1:21" s="104" customFormat="1" ht="16.5">
      <c r="A75" s="476" t="s">
        <v>7</v>
      </c>
      <c r="B75" s="477"/>
      <c r="C75" s="477"/>
      <c r="D75" s="477"/>
      <c r="E75" s="491"/>
      <c r="F75" s="256"/>
      <c r="G75" s="256"/>
      <c r="H75" s="257">
        <f>H72+H73+H74</f>
        <v>8875</v>
      </c>
      <c r="I75" s="256"/>
      <c r="J75" s="256"/>
      <c r="K75" s="257">
        <f>K72+K73+K74</f>
        <v>8384</v>
      </c>
      <c r="L75" s="229"/>
      <c r="M75" s="230"/>
      <c r="N75" s="257">
        <f>N76</f>
        <v>0</v>
      </c>
      <c r="O75" s="257"/>
      <c r="P75" s="257"/>
      <c r="Q75" s="257">
        <f>Q72+Q73+Q74</f>
        <v>0</v>
      </c>
      <c r="R75" s="257"/>
      <c r="S75" s="257"/>
      <c r="T75" s="257">
        <f>T72+T73+T74</f>
        <v>7920</v>
      </c>
      <c r="U75" s="231">
        <f>H75+K75+N75+Q75+T75</f>
        <v>25179</v>
      </c>
    </row>
    <row r="76" spans="1:21" ht="16.5">
      <c r="A76" s="478" t="s">
        <v>95</v>
      </c>
      <c r="B76" s="478"/>
      <c r="C76" s="478"/>
      <c r="D76" s="478"/>
      <c r="E76" s="478"/>
      <c r="F76" s="234"/>
      <c r="G76" s="235"/>
      <c r="H76" s="38">
        <f>H72+H73+H74</f>
        <v>8875</v>
      </c>
      <c r="I76" s="85"/>
      <c r="J76" s="85"/>
      <c r="K76" s="38">
        <f>K72+K73+K74</f>
        <v>8384</v>
      </c>
      <c r="L76" s="234"/>
      <c r="M76" s="235"/>
      <c r="N76" s="38">
        <f>N72+N73+N74</f>
        <v>0</v>
      </c>
      <c r="O76" s="38"/>
      <c r="P76" s="38"/>
      <c r="Q76" s="38">
        <f>Q72+Q73+Q74</f>
        <v>0</v>
      </c>
      <c r="R76" s="38"/>
      <c r="S76" s="38"/>
      <c r="T76" s="38">
        <f>T72+T73+T74</f>
        <v>7920</v>
      </c>
      <c r="U76" s="245">
        <f>H76+K76+N76+Q76+T76</f>
        <v>25179</v>
      </c>
    </row>
    <row r="77" spans="1:21" ht="18.75">
      <c r="A77" s="252" t="s">
        <v>166</v>
      </c>
      <c r="B77" s="488" t="s">
        <v>525</v>
      </c>
      <c r="C77" s="490"/>
      <c r="D77" s="490"/>
      <c r="E77" s="490"/>
      <c r="F77" s="490"/>
      <c r="G77" s="490"/>
      <c r="H77" s="490"/>
      <c r="I77" s="490"/>
      <c r="J77" s="490"/>
      <c r="K77" s="490"/>
      <c r="L77" s="490"/>
      <c r="M77" s="490"/>
      <c r="N77" s="490"/>
      <c r="O77" s="490"/>
      <c r="P77" s="490"/>
      <c r="Q77" s="490"/>
      <c r="R77" s="490"/>
      <c r="S77" s="490"/>
      <c r="T77" s="490"/>
      <c r="U77" s="490"/>
    </row>
    <row r="78" spans="1:21" ht="189">
      <c r="A78" s="253" t="s">
        <v>183</v>
      </c>
      <c r="B78" s="72" t="s">
        <v>454</v>
      </c>
      <c r="C78" s="223" t="s">
        <v>6</v>
      </c>
      <c r="D78" s="218" t="s">
        <v>85</v>
      </c>
      <c r="E78" s="99" t="s">
        <v>33</v>
      </c>
      <c r="F78" s="195" t="s">
        <v>33</v>
      </c>
      <c r="G78" s="195" t="s">
        <v>33</v>
      </c>
      <c r="H78" s="195">
        <v>136.19999999999999</v>
      </c>
      <c r="I78" s="195" t="s">
        <v>455</v>
      </c>
      <c r="J78" s="99" t="s">
        <v>33</v>
      </c>
      <c r="K78" s="195">
        <v>142</v>
      </c>
      <c r="L78" s="195" t="s">
        <v>455</v>
      </c>
      <c r="M78" s="99" t="s">
        <v>33</v>
      </c>
      <c r="N78" s="195">
        <v>142</v>
      </c>
      <c r="O78" s="195" t="s">
        <v>455</v>
      </c>
      <c r="P78" s="99" t="s">
        <v>33</v>
      </c>
      <c r="Q78" s="195">
        <v>142</v>
      </c>
      <c r="R78" s="195" t="s">
        <v>455</v>
      </c>
      <c r="S78" s="99" t="s">
        <v>33</v>
      </c>
      <c r="T78" s="195">
        <v>145</v>
      </c>
      <c r="U78" s="99">
        <f>H78+K78+N78+Q78+T78</f>
        <v>707.2</v>
      </c>
    </row>
    <row r="79" spans="1:21" s="104" customFormat="1" ht="16.5">
      <c r="A79" s="497" t="s">
        <v>456</v>
      </c>
      <c r="B79" s="498"/>
      <c r="C79" s="498"/>
      <c r="D79" s="498"/>
      <c r="E79" s="499"/>
      <c r="F79" s="284"/>
      <c r="G79" s="284"/>
      <c r="H79" s="284">
        <f>H78</f>
        <v>136.19999999999999</v>
      </c>
      <c r="I79" s="284"/>
      <c r="J79" s="284"/>
      <c r="K79" s="284">
        <f>K78</f>
        <v>142</v>
      </c>
      <c r="L79" s="284"/>
      <c r="M79" s="284"/>
      <c r="N79" s="284">
        <f>N78</f>
        <v>142</v>
      </c>
      <c r="O79" s="284"/>
      <c r="P79" s="284"/>
      <c r="Q79" s="284">
        <f>Q78</f>
        <v>142</v>
      </c>
      <c r="R79" s="284"/>
      <c r="S79" s="284"/>
      <c r="T79" s="284">
        <f>T78</f>
        <v>145</v>
      </c>
      <c r="U79" s="262">
        <f>H79+K79+N79+Q79+T79</f>
        <v>707.2</v>
      </c>
    </row>
    <row r="80" spans="1:21" ht="16.5">
      <c r="A80" s="263" t="s">
        <v>6</v>
      </c>
      <c r="B80" s="264"/>
      <c r="C80" s="265"/>
      <c r="D80" s="266"/>
      <c r="E80" s="267"/>
      <c r="F80" s="195"/>
      <c r="G80" s="38"/>
      <c r="H80" s="38">
        <f>H78</f>
        <v>136.19999999999999</v>
      </c>
      <c r="I80" s="38"/>
      <c r="J80" s="99"/>
      <c r="K80" s="195">
        <f>K78</f>
        <v>142</v>
      </c>
      <c r="L80" s="38"/>
      <c r="M80" s="99"/>
      <c r="N80" s="195">
        <f>N78</f>
        <v>142</v>
      </c>
      <c r="O80" s="38"/>
      <c r="P80" s="99"/>
      <c r="Q80" s="195">
        <f>Q78</f>
        <v>142</v>
      </c>
      <c r="R80" s="38"/>
      <c r="S80" s="99"/>
      <c r="T80" s="195">
        <f>T78</f>
        <v>145</v>
      </c>
      <c r="U80" s="99">
        <f>U78</f>
        <v>707.2</v>
      </c>
    </row>
    <row r="81" spans="1:21" s="104" customFormat="1" ht="18.75">
      <c r="A81" s="263" t="s">
        <v>70</v>
      </c>
      <c r="B81" s="488" t="s">
        <v>526</v>
      </c>
      <c r="C81" s="490"/>
      <c r="D81" s="490"/>
      <c r="E81" s="490"/>
      <c r="F81" s="490"/>
      <c r="G81" s="490"/>
      <c r="H81" s="490"/>
      <c r="I81" s="490"/>
      <c r="J81" s="490"/>
      <c r="K81" s="490"/>
      <c r="L81" s="490"/>
      <c r="M81" s="490"/>
      <c r="N81" s="490"/>
      <c r="O81" s="490"/>
      <c r="P81" s="490"/>
      <c r="Q81" s="490"/>
      <c r="R81" s="490"/>
      <c r="S81" s="490"/>
      <c r="T81" s="490"/>
      <c r="U81" s="490"/>
    </row>
    <row r="82" spans="1:21" s="104" customFormat="1" ht="181.5">
      <c r="A82" s="101" t="s">
        <v>167</v>
      </c>
      <c r="B82" s="75" t="s">
        <v>263</v>
      </c>
      <c r="C82" s="75" t="s">
        <v>205</v>
      </c>
      <c r="D82" s="37" t="s">
        <v>85</v>
      </c>
      <c r="E82" s="37" t="s">
        <v>91</v>
      </c>
      <c r="F82" s="85" t="s">
        <v>303</v>
      </c>
      <c r="G82" s="85" t="s">
        <v>240</v>
      </c>
      <c r="H82" s="268">
        <v>500</v>
      </c>
      <c r="I82" s="85" t="s">
        <v>482</v>
      </c>
      <c r="J82" s="85" t="s">
        <v>110</v>
      </c>
      <c r="K82" s="268">
        <v>24</v>
      </c>
      <c r="L82" s="85" t="s">
        <v>33</v>
      </c>
      <c r="M82" s="225" t="s">
        <v>33</v>
      </c>
      <c r="N82" s="38">
        <v>0</v>
      </c>
      <c r="O82" s="85" t="s">
        <v>33</v>
      </c>
      <c r="P82" s="225" t="s">
        <v>33</v>
      </c>
      <c r="Q82" s="38">
        <v>0</v>
      </c>
      <c r="R82" s="85" t="s">
        <v>244</v>
      </c>
      <c r="S82" s="85" t="s">
        <v>240</v>
      </c>
      <c r="T82" s="268">
        <f>(540*1000*12)/1000</f>
        <v>6480</v>
      </c>
      <c r="U82" s="99">
        <f>H82+K82+N82+Q82+T82</f>
        <v>7004</v>
      </c>
    </row>
    <row r="83" spans="1:21" s="104" customFormat="1" ht="115.5">
      <c r="A83" s="101" t="s">
        <v>184</v>
      </c>
      <c r="B83" s="75" t="s">
        <v>246</v>
      </c>
      <c r="C83" s="75" t="s">
        <v>205</v>
      </c>
      <c r="D83" s="37" t="s">
        <v>85</v>
      </c>
      <c r="E83" s="37" t="s">
        <v>91</v>
      </c>
      <c r="F83" s="85" t="s">
        <v>242</v>
      </c>
      <c r="G83" s="85" t="s">
        <v>292</v>
      </c>
      <c r="H83" s="195">
        <v>2880</v>
      </c>
      <c r="I83" s="85" t="s">
        <v>242</v>
      </c>
      <c r="J83" s="85" t="s">
        <v>292</v>
      </c>
      <c r="K83" s="195">
        <v>2880</v>
      </c>
      <c r="L83" s="85" t="s">
        <v>33</v>
      </c>
      <c r="M83" s="225" t="s">
        <v>33</v>
      </c>
      <c r="N83" s="38">
        <v>0</v>
      </c>
      <c r="O83" s="85" t="s">
        <v>33</v>
      </c>
      <c r="P83" s="225" t="s">
        <v>33</v>
      </c>
      <c r="Q83" s="38">
        <v>0</v>
      </c>
      <c r="R83" s="85" t="s">
        <v>242</v>
      </c>
      <c r="S83" s="85" t="s">
        <v>245</v>
      </c>
      <c r="T83" s="195">
        <f>(8*60000*12)/1000</f>
        <v>5760</v>
      </c>
      <c r="U83" s="99">
        <f>H83+K83+N83+Q83+T83</f>
        <v>11520</v>
      </c>
    </row>
    <row r="84" spans="1:21" s="104" customFormat="1" ht="16.5">
      <c r="A84" s="263" t="s">
        <v>95</v>
      </c>
      <c r="B84" s="269"/>
      <c r="C84" s="75"/>
      <c r="D84" s="37"/>
      <c r="E84" s="37"/>
      <c r="F84" s="85"/>
      <c r="G84" s="85"/>
      <c r="H84" s="195">
        <f>H82+H83</f>
        <v>3380</v>
      </c>
      <c r="I84" s="85"/>
      <c r="J84" s="85"/>
      <c r="K84" s="195">
        <f>K82+K83</f>
        <v>2904</v>
      </c>
      <c r="L84" s="85"/>
      <c r="M84" s="85"/>
      <c r="N84" s="195">
        <f>N82+N83</f>
        <v>0</v>
      </c>
      <c r="O84" s="85"/>
      <c r="P84" s="85"/>
      <c r="Q84" s="195">
        <f>Q82+Q83</f>
        <v>0</v>
      </c>
      <c r="R84" s="85"/>
      <c r="S84" s="85"/>
      <c r="T84" s="195">
        <f>T82+T83</f>
        <v>12240</v>
      </c>
      <c r="U84" s="99">
        <f>H84+K84+N84+Q84+T84</f>
        <v>18524</v>
      </c>
    </row>
    <row r="85" spans="1:21" ht="20.25">
      <c r="A85" s="500" t="s">
        <v>527</v>
      </c>
      <c r="B85" s="501"/>
      <c r="C85" s="501"/>
      <c r="D85" s="501"/>
      <c r="E85" s="501"/>
      <c r="F85" s="460">
        <f>F86+F87+F88</f>
        <v>157092.37</v>
      </c>
      <c r="G85" s="461"/>
      <c r="H85" s="462"/>
      <c r="I85" s="460">
        <f>I86+I87+I88</f>
        <v>124788</v>
      </c>
      <c r="J85" s="461"/>
      <c r="K85" s="462"/>
      <c r="L85" s="460">
        <f>SUM(L86:N88)</f>
        <v>2036</v>
      </c>
      <c r="M85" s="461"/>
      <c r="N85" s="462"/>
      <c r="O85" s="460">
        <f>O86+O87+O88</f>
        <v>2036</v>
      </c>
      <c r="P85" s="461"/>
      <c r="Q85" s="462"/>
      <c r="R85" s="460">
        <f>R86+R87+R88</f>
        <v>130728.3</v>
      </c>
      <c r="S85" s="461"/>
      <c r="T85" s="462"/>
      <c r="U85" s="270">
        <f>F85+I85+L85+O85+R85</f>
        <v>416680.67</v>
      </c>
    </row>
    <row r="86" spans="1:21" ht="18.75">
      <c r="A86" s="503" t="s">
        <v>164</v>
      </c>
      <c r="B86" s="503"/>
      <c r="C86" s="503"/>
      <c r="D86" s="503"/>
      <c r="E86" s="503"/>
      <c r="F86" s="502">
        <f>H28+H50+H62+H80</f>
        <v>23882</v>
      </c>
      <c r="G86" s="502"/>
      <c r="H86" s="502"/>
      <c r="I86" s="502">
        <f>K28+K50+K60+K79</f>
        <v>26254</v>
      </c>
      <c r="J86" s="502"/>
      <c r="K86" s="502"/>
      <c r="L86" s="502">
        <f>N28+N50+N60+N80</f>
        <v>2036</v>
      </c>
      <c r="M86" s="502"/>
      <c r="N86" s="502"/>
      <c r="O86" s="502">
        <f>Q28+Q50+Q62+Q80</f>
        <v>2036</v>
      </c>
      <c r="P86" s="502"/>
      <c r="Q86" s="502"/>
      <c r="R86" s="502">
        <f>T28+T50+T62+T80</f>
        <v>2273</v>
      </c>
      <c r="S86" s="502"/>
      <c r="T86" s="502"/>
      <c r="U86" s="271">
        <f>F86+I86+L86+O86+R86</f>
        <v>56481</v>
      </c>
    </row>
    <row r="87" spans="1:21" ht="18.75">
      <c r="A87" s="503" t="s">
        <v>20</v>
      </c>
      <c r="B87" s="503"/>
      <c r="C87" s="503"/>
      <c r="D87" s="503"/>
      <c r="E87" s="503"/>
      <c r="F87" s="502">
        <f>H27+H32+H51+H55+H61+H66+H70+H76+H84</f>
        <v>96915</v>
      </c>
      <c r="G87" s="502"/>
      <c r="H87" s="502"/>
      <c r="I87" s="502">
        <f>K27+K32+K51+K55+K66+K70+K76+K84</f>
        <v>78812</v>
      </c>
      <c r="J87" s="502"/>
      <c r="K87" s="502"/>
      <c r="L87" s="502">
        <f>N27+N32+N51+N55+N66+N70+N76+N84</f>
        <v>0</v>
      </c>
      <c r="M87" s="502"/>
      <c r="N87" s="502"/>
      <c r="O87" s="502">
        <f>Q27+Q32+Q51+Q55+Q61+Q66+Q70+Q76+Q84</f>
        <v>0</v>
      </c>
      <c r="P87" s="502"/>
      <c r="Q87" s="502"/>
      <c r="R87" s="502">
        <f>T27+T32+T51+T55+T61+T66+T70+T76+T84</f>
        <v>92955.3</v>
      </c>
      <c r="S87" s="502"/>
      <c r="T87" s="502"/>
      <c r="U87" s="271">
        <f>F87+I87+L87+O87+R87</f>
        <v>268682.3</v>
      </c>
    </row>
    <row r="88" spans="1:21" ht="18.75">
      <c r="A88" s="506" t="s">
        <v>21</v>
      </c>
      <c r="B88" s="507"/>
      <c r="C88" s="507"/>
      <c r="D88" s="507"/>
      <c r="E88" s="508"/>
      <c r="F88" s="502">
        <f>H26</f>
        <v>36295.370000000003</v>
      </c>
      <c r="G88" s="502"/>
      <c r="H88" s="502"/>
      <c r="I88" s="502">
        <f>K26</f>
        <v>19722</v>
      </c>
      <c r="J88" s="502"/>
      <c r="K88" s="502"/>
      <c r="L88" s="502">
        <v>0</v>
      </c>
      <c r="M88" s="502"/>
      <c r="N88" s="502"/>
      <c r="O88" s="502">
        <f>Q26</f>
        <v>0</v>
      </c>
      <c r="P88" s="502"/>
      <c r="Q88" s="502"/>
      <c r="R88" s="502">
        <f>T26</f>
        <v>35500</v>
      </c>
      <c r="S88" s="502"/>
      <c r="T88" s="502"/>
      <c r="U88" s="271">
        <f>F88+I88+L88+O88+R88</f>
        <v>91517.37</v>
      </c>
    </row>
    <row r="89" spans="1:21" ht="16.5">
      <c r="A89" s="504" t="s">
        <v>459</v>
      </c>
      <c r="B89" s="504"/>
      <c r="C89" s="504"/>
      <c r="D89" s="504"/>
      <c r="E89" s="504"/>
      <c r="F89" s="504"/>
      <c r="G89" s="504"/>
      <c r="H89" s="504"/>
      <c r="I89" s="504"/>
      <c r="J89" s="504"/>
      <c r="K89" s="504"/>
      <c r="L89" s="504"/>
      <c r="M89" s="504"/>
      <c r="N89" s="504"/>
      <c r="O89" s="504"/>
      <c r="P89" s="504"/>
      <c r="Q89" s="504"/>
      <c r="R89" s="504"/>
      <c r="S89" s="504"/>
      <c r="T89" s="504"/>
      <c r="U89" s="504"/>
    </row>
    <row r="90" spans="1:21" ht="16.5">
      <c r="A90" s="505" t="s">
        <v>23</v>
      </c>
      <c r="B90" s="505"/>
      <c r="C90" s="505"/>
      <c r="D90" s="505"/>
      <c r="E90" s="272"/>
      <c r="F90" s="273"/>
      <c r="G90" s="273"/>
      <c r="H90" s="273"/>
      <c r="I90" s="273"/>
      <c r="J90" s="273"/>
      <c r="K90" s="273"/>
      <c r="L90" s="273"/>
      <c r="M90" s="273"/>
      <c r="N90" s="273"/>
      <c r="O90" s="273"/>
      <c r="P90" s="273"/>
      <c r="Q90" s="273"/>
      <c r="R90" s="273"/>
      <c r="S90" s="273"/>
      <c r="T90" s="273"/>
      <c r="U90" s="273"/>
    </row>
    <row r="91" spans="1:21" ht="16.5">
      <c r="A91" s="504" t="s">
        <v>24</v>
      </c>
      <c r="B91" s="504"/>
      <c r="C91" s="504"/>
      <c r="D91" s="504"/>
      <c r="E91" s="283"/>
      <c r="F91" s="283"/>
      <c r="G91" s="283"/>
      <c r="H91" s="283"/>
      <c r="I91" s="283"/>
      <c r="J91" s="283"/>
      <c r="K91" s="283"/>
      <c r="L91" s="283"/>
      <c r="M91" s="283"/>
      <c r="N91" s="283"/>
      <c r="O91" s="283"/>
      <c r="P91" s="283"/>
      <c r="Q91" s="283"/>
      <c r="R91" s="283"/>
      <c r="S91" s="283"/>
      <c r="T91" s="283"/>
      <c r="U91" s="275"/>
    </row>
    <row r="97" spans="4:4">
      <c r="D97" s="276"/>
    </row>
  </sheetData>
  <mergeCells count="78">
    <mergeCell ref="A89:U89"/>
    <mergeCell ref="A90:D90"/>
    <mergeCell ref="A91:D91"/>
    <mergeCell ref="A88:E88"/>
    <mergeCell ref="F88:H88"/>
    <mergeCell ref="I88:K88"/>
    <mergeCell ref="L88:N88"/>
    <mergeCell ref="O88:Q88"/>
    <mergeCell ref="R88:T88"/>
    <mergeCell ref="R87:T87"/>
    <mergeCell ref="A86:E86"/>
    <mergeCell ref="F86:H86"/>
    <mergeCell ref="I86:K86"/>
    <mergeCell ref="L86:N86"/>
    <mergeCell ref="O86:Q86"/>
    <mergeCell ref="R86:T86"/>
    <mergeCell ref="A87:E87"/>
    <mergeCell ref="F87:H87"/>
    <mergeCell ref="I87:K87"/>
    <mergeCell ref="L87:N87"/>
    <mergeCell ref="O87:Q87"/>
    <mergeCell ref="A76:E76"/>
    <mergeCell ref="B77:U77"/>
    <mergeCell ref="A79:E79"/>
    <mergeCell ref="B81:U81"/>
    <mergeCell ref="A85:E85"/>
    <mergeCell ref="F85:H85"/>
    <mergeCell ref="I85:K85"/>
    <mergeCell ref="L85:N85"/>
    <mergeCell ref="O85:Q85"/>
    <mergeCell ref="R85:T85"/>
    <mergeCell ref="A75:E75"/>
    <mergeCell ref="A60:E60"/>
    <mergeCell ref="A61:E61"/>
    <mergeCell ref="A62:E62"/>
    <mergeCell ref="B63:U63"/>
    <mergeCell ref="A65:E65"/>
    <mergeCell ref="A66:E66"/>
    <mergeCell ref="B67:U67"/>
    <mergeCell ref="A69:E69"/>
    <mergeCell ref="A70:E70"/>
    <mergeCell ref="B71:U71"/>
    <mergeCell ref="C72:C73"/>
    <mergeCell ref="A57:A58"/>
    <mergeCell ref="B57:B58"/>
    <mergeCell ref="A32:E32"/>
    <mergeCell ref="B33:U33"/>
    <mergeCell ref="C37:C38"/>
    <mergeCell ref="C40:C44"/>
    <mergeCell ref="A49:E49"/>
    <mergeCell ref="A50:B50"/>
    <mergeCell ref="A51:E51"/>
    <mergeCell ref="B52:U52"/>
    <mergeCell ref="A54:E54"/>
    <mergeCell ref="A55:E55"/>
    <mergeCell ref="B56:U56"/>
    <mergeCell ref="A31:E31"/>
    <mergeCell ref="L6:N6"/>
    <mergeCell ref="O6:Q6"/>
    <mergeCell ref="R6:T6"/>
    <mergeCell ref="U6:U7"/>
    <mergeCell ref="A9:U9"/>
    <mergeCell ref="B10:U10"/>
    <mergeCell ref="C11:C12"/>
    <mergeCell ref="A25:E25"/>
    <mergeCell ref="A26:E26"/>
    <mergeCell ref="A27:E27"/>
    <mergeCell ref="B29:U29"/>
    <mergeCell ref="R1:U2"/>
    <mergeCell ref="R3:U3"/>
    <mergeCell ref="A4:U4"/>
    <mergeCell ref="A6:A7"/>
    <mergeCell ref="B6:B7"/>
    <mergeCell ref="C6:C7"/>
    <mergeCell ref="D6:D7"/>
    <mergeCell ref="E6:E7"/>
    <mergeCell ref="F6:H6"/>
    <mergeCell ref="I6:K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W108"/>
  <sheetViews>
    <sheetView tabSelected="1" view="pageBreakPreview" topLeftCell="A79" zoomScale="60" workbookViewId="0">
      <selection sqref="A1:XFD1048576"/>
    </sheetView>
  </sheetViews>
  <sheetFormatPr defaultRowHeight="30" customHeight="1"/>
  <cols>
    <col min="1" max="1" width="6.28515625" style="296" customWidth="1"/>
    <col min="2" max="2" width="61.85546875" style="296" customWidth="1"/>
    <col min="3" max="3" width="26" style="296" customWidth="1"/>
    <col min="4" max="4" width="17.7109375" style="296" customWidth="1"/>
    <col min="5" max="5" width="30.5703125" style="296" customWidth="1"/>
    <col min="6" max="6" width="26.140625" style="296" customWidth="1"/>
    <col min="7" max="7" width="21" style="296" customWidth="1"/>
    <col min="8" max="8" width="15.42578125" style="296" customWidth="1"/>
    <col min="9" max="9" width="21.5703125" style="296" customWidth="1"/>
    <col min="10" max="10" width="18.42578125" style="296" customWidth="1"/>
    <col min="11" max="11" width="12.28515625" style="296" customWidth="1"/>
    <col min="12" max="12" width="16.85546875" style="7" customWidth="1"/>
    <col min="13" max="13" width="21.5703125" style="7" customWidth="1"/>
    <col min="14" max="14" width="17.140625" style="7" customWidth="1"/>
    <col min="15" max="15" width="17.42578125" style="100" customWidth="1"/>
    <col min="16" max="16" width="21.5703125" style="100" customWidth="1"/>
    <col min="17" max="17" width="16.140625" style="100" customWidth="1"/>
    <col min="18" max="18" width="21.42578125" style="296" customWidth="1"/>
    <col min="19" max="19" width="22.42578125" style="296" customWidth="1"/>
    <col min="20" max="20" width="25.7109375" style="296" customWidth="1"/>
    <col min="21" max="21" width="18.140625" style="296" customWidth="1"/>
    <col min="22" max="22" width="8.7109375" style="296" customWidth="1"/>
    <col min="23" max="16384" width="9.140625" style="296"/>
  </cols>
  <sheetData>
    <row r="1" spans="1:21" ht="15">
      <c r="R1" s="556" t="s">
        <v>323</v>
      </c>
      <c r="S1" s="557"/>
      <c r="T1" s="557"/>
      <c r="U1" s="557"/>
    </row>
    <row r="2" spans="1:21" ht="15">
      <c r="R2" s="557"/>
      <c r="S2" s="557"/>
      <c r="T2" s="557"/>
      <c r="U2" s="557"/>
    </row>
    <row r="3" spans="1:21" ht="15">
      <c r="A3" s="297"/>
      <c r="B3" s="297"/>
      <c r="C3" s="297"/>
      <c r="D3" s="297"/>
      <c r="E3" s="297"/>
      <c r="F3" s="297"/>
      <c r="G3" s="297"/>
      <c r="H3" s="297"/>
      <c r="I3" s="297"/>
      <c r="J3" s="297"/>
      <c r="K3" s="297"/>
      <c r="L3" s="27"/>
      <c r="M3" s="27"/>
      <c r="N3" s="27"/>
      <c r="O3" s="214"/>
      <c r="P3" s="214"/>
      <c r="Q3" s="214"/>
      <c r="R3" s="556" t="s">
        <v>322</v>
      </c>
      <c r="S3" s="558"/>
      <c r="T3" s="558"/>
      <c r="U3" s="558"/>
    </row>
    <row r="4" spans="1:21" ht="18.75">
      <c r="A4" s="559" t="s">
        <v>133</v>
      </c>
      <c r="B4" s="559"/>
      <c r="C4" s="559"/>
      <c r="D4" s="559"/>
      <c r="E4" s="559"/>
      <c r="F4" s="559"/>
      <c r="G4" s="559"/>
      <c r="H4" s="559"/>
      <c r="I4" s="559"/>
      <c r="J4" s="559"/>
      <c r="K4" s="559"/>
      <c r="L4" s="559"/>
      <c r="M4" s="559"/>
      <c r="N4" s="559"/>
      <c r="O4" s="559"/>
      <c r="P4" s="559"/>
      <c r="Q4" s="559"/>
      <c r="R4" s="559"/>
      <c r="S4" s="559"/>
      <c r="T4" s="559"/>
      <c r="U4" s="559"/>
    </row>
    <row r="5" spans="1:21" ht="18.75">
      <c r="A5" s="382"/>
      <c r="B5" s="382"/>
      <c r="C5" s="382"/>
      <c r="D5" s="382"/>
      <c r="E5" s="382"/>
      <c r="F5" s="382"/>
      <c r="G5" s="382"/>
      <c r="H5" s="382"/>
      <c r="I5" s="382"/>
      <c r="J5" s="382"/>
      <c r="K5" s="382"/>
      <c r="L5" s="378"/>
      <c r="M5" s="378"/>
      <c r="N5" s="378"/>
      <c r="O5" s="379"/>
      <c r="P5" s="379"/>
      <c r="Q5" s="379"/>
      <c r="R5" s="382"/>
      <c r="S5" s="382"/>
      <c r="T5" s="382"/>
      <c r="U5" s="382"/>
    </row>
    <row r="6" spans="1:21" s="298" customFormat="1" ht="15">
      <c r="A6" s="551" t="s">
        <v>25</v>
      </c>
      <c r="B6" s="551" t="s">
        <v>177</v>
      </c>
      <c r="C6" s="551" t="s">
        <v>178</v>
      </c>
      <c r="D6" s="551" t="s">
        <v>78</v>
      </c>
      <c r="E6" s="551" t="s">
        <v>79</v>
      </c>
      <c r="F6" s="550" t="s">
        <v>134</v>
      </c>
      <c r="G6" s="550"/>
      <c r="H6" s="550"/>
      <c r="I6" s="550" t="s">
        <v>135</v>
      </c>
      <c r="J6" s="550"/>
      <c r="K6" s="550"/>
      <c r="L6" s="455" t="s">
        <v>136</v>
      </c>
      <c r="M6" s="455"/>
      <c r="N6" s="455"/>
      <c r="O6" s="472" t="s">
        <v>171</v>
      </c>
      <c r="P6" s="472"/>
      <c r="Q6" s="472"/>
      <c r="R6" s="550" t="s">
        <v>172</v>
      </c>
      <c r="S6" s="550"/>
      <c r="T6" s="550"/>
      <c r="U6" s="551" t="s">
        <v>492</v>
      </c>
    </row>
    <row r="7" spans="1:21" s="298" customFormat="1" ht="60">
      <c r="A7" s="552"/>
      <c r="B7" s="552"/>
      <c r="C7" s="552"/>
      <c r="D7" s="552"/>
      <c r="E7" s="552"/>
      <c r="F7" s="299" t="s">
        <v>81</v>
      </c>
      <c r="G7" s="299" t="s">
        <v>493</v>
      </c>
      <c r="H7" s="299" t="s">
        <v>494</v>
      </c>
      <c r="I7" s="299" t="s">
        <v>81</v>
      </c>
      <c r="J7" s="299" t="s">
        <v>495</v>
      </c>
      <c r="K7" s="299" t="s">
        <v>494</v>
      </c>
      <c r="L7" s="28" t="s">
        <v>81</v>
      </c>
      <c r="M7" s="28" t="s">
        <v>82</v>
      </c>
      <c r="N7" s="28" t="s">
        <v>83</v>
      </c>
      <c r="O7" s="217" t="s">
        <v>81</v>
      </c>
      <c r="P7" s="217" t="s">
        <v>495</v>
      </c>
      <c r="Q7" s="217" t="s">
        <v>494</v>
      </c>
      <c r="R7" s="299" t="s">
        <v>81</v>
      </c>
      <c r="S7" s="299" t="s">
        <v>495</v>
      </c>
      <c r="T7" s="299" t="s">
        <v>494</v>
      </c>
      <c r="U7" s="552"/>
    </row>
    <row r="8" spans="1:21" s="298" customFormat="1" ht="15.75">
      <c r="A8" s="300">
        <v>1</v>
      </c>
      <c r="B8" s="301">
        <v>2</v>
      </c>
      <c r="C8" s="301">
        <v>3</v>
      </c>
      <c r="D8" s="301">
        <v>4</v>
      </c>
      <c r="E8" s="301">
        <v>5</v>
      </c>
      <c r="F8" s="301">
        <v>6</v>
      </c>
      <c r="G8" s="301">
        <v>7</v>
      </c>
      <c r="H8" s="301">
        <v>8</v>
      </c>
      <c r="I8" s="301">
        <v>9</v>
      </c>
      <c r="J8" s="301">
        <v>10</v>
      </c>
      <c r="K8" s="301">
        <v>11</v>
      </c>
      <c r="L8" s="29">
        <v>12</v>
      </c>
      <c r="M8" s="29">
        <v>13</v>
      </c>
      <c r="N8" s="29">
        <v>14</v>
      </c>
      <c r="O8" s="219">
        <v>15</v>
      </c>
      <c r="P8" s="219">
        <v>16</v>
      </c>
      <c r="Q8" s="219">
        <v>17</v>
      </c>
      <c r="R8" s="301">
        <v>18</v>
      </c>
      <c r="S8" s="301">
        <v>19</v>
      </c>
      <c r="T8" s="301">
        <v>20</v>
      </c>
      <c r="U8" s="301">
        <v>21</v>
      </c>
    </row>
    <row r="9" spans="1:21" s="298" customFormat="1" ht="18.75">
      <c r="A9" s="553" t="s">
        <v>26</v>
      </c>
      <c r="B9" s="554"/>
      <c r="C9" s="554"/>
      <c r="D9" s="554"/>
      <c r="E9" s="554"/>
      <c r="F9" s="554"/>
      <c r="G9" s="554"/>
      <c r="H9" s="554"/>
      <c r="I9" s="554"/>
      <c r="J9" s="554"/>
      <c r="K9" s="554"/>
      <c r="L9" s="554"/>
      <c r="M9" s="554"/>
      <c r="N9" s="554"/>
      <c r="O9" s="554"/>
      <c r="P9" s="554"/>
      <c r="Q9" s="554"/>
      <c r="R9" s="554"/>
      <c r="S9" s="554"/>
      <c r="T9" s="554"/>
      <c r="U9" s="555"/>
    </row>
    <row r="10" spans="1:21" ht="18.75">
      <c r="A10" s="302" t="s">
        <v>496</v>
      </c>
      <c r="B10" s="549" t="s">
        <v>457</v>
      </c>
      <c r="C10" s="527"/>
      <c r="D10" s="527"/>
      <c r="E10" s="527"/>
      <c r="F10" s="527"/>
      <c r="G10" s="527"/>
      <c r="H10" s="527"/>
      <c r="I10" s="527"/>
      <c r="J10" s="527"/>
      <c r="K10" s="527"/>
      <c r="L10" s="527"/>
      <c r="M10" s="527"/>
      <c r="N10" s="527"/>
      <c r="O10" s="527"/>
      <c r="P10" s="527"/>
      <c r="Q10" s="527"/>
      <c r="R10" s="527"/>
      <c r="S10" s="527"/>
      <c r="T10" s="527"/>
      <c r="U10" s="528"/>
    </row>
    <row r="11" spans="1:21" ht="126">
      <c r="A11" s="387" t="s">
        <v>28</v>
      </c>
      <c r="B11" s="303" t="s">
        <v>29</v>
      </c>
      <c r="C11" s="532" t="s">
        <v>84</v>
      </c>
      <c r="D11" s="304" t="s">
        <v>85</v>
      </c>
      <c r="E11" s="305" t="s">
        <v>86</v>
      </c>
      <c r="F11" s="295" t="s">
        <v>497</v>
      </c>
      <c r="G11" s="306" t="s">
        <v>498</v>
      </c>
      <c r="H11" s="291">
        <f>43350-15000</f>
        <v>28350</v>
      </c>
      <c r="I11" s="295" t="s">
        <v>568</v>
      </c>
      <c r="J11" s="306" t="s">
        <v>532</v>
      </c>
      <c r="K11" s="291">
        <f>19722+15778-9208</f>
        <v>26292</v>
      </c>
      <c r="L11" s="11" t="s">
        <v>591</v>
      </c>
      <c r="M11" s="26" t="s">
        <v>592</v>
      </c>
      <c r="N11" s="1">
        <f>42513-15240</f>
        <v>27273</v>
      </c>
      <c r="O11" s="85" t="s">
        <v>595</v>
      </c>
      <c r="P11" s="225" t="s">
        <v>596</v>
      </c>
      <c r="Q11" s="38">
        <v>36216</v>
      </c>
      <c r="R11" s="295" t="s">
        <v>33</v>
      </c>
      <c r="S11" s="306" t="s">
        <v>33</v>
      </c>
      <c r="T11" s="291">
        <v>0</v>
      </c>
      <c r="U11" s="292">
        <f t="shared" ref="U11:U24" si="0">H11+K11+N11+Q11+T11</f>
        <v>118131</v>
      </c>
    </row>
    <row r="12" spans="1:21" ht="141.75">
      <c r="A12" s="307" t="s">
        <v>30</v>
      </c>
      <c r="B12" s="308" t="s">
        <v>460</v>
      </c>
      <c r="C12" s="545"/>
      <c r="D12" s="309" t="s">
        <v>88</v>
      </c>
      <c r="E12" s="305" t="s">
        <v>89</v>
      </c>
      <c r="F12" s="295" t="s">
        <v>500</v>
      </c>
      <c r="G12" s="306" t="s">
        <v>498</v>
      </c>
      <c r="H12" s="291">
        <f>17350-5387-2544-2060</f>
        <v>7359</v>
      </c>
      <c r="I12" s="295">
        <v>0</v>
      </c>
      <c r="J12" s="310">
        <v>0</v>
      </c>
      <c r="K12" s="291">
        <v>0</v>
      </c>
      <c r="L12" s="2">
        <v>0</v>
      </c>
      <c r="M12" s="2">
        <v>0</v>
      </c>
      <c r="N12" s="2">
        <v>0</v>
      </c>
      <c r="O12" s="85" t="s">
        <v>33</v>
      </c>
      <c r="P12" s="225" t="s">
        <v>33</v>
      </c>
      <c r="Q12" s="38">
        <v>0</v>
      </c>
      <c r="R12" s="295" t="s">
        <v>33</v>
      </c>
      <c r="S12" s="306" t="s">
        <v>33</v>
      </c>
      <c r="T12" s="291">
        <v>0</v>
      </c>
      <c r="U12" s="292">
        <f t="shared" si="0"/>
        <v>7359</v>
      </c>
    </row>
    <row r="13" spans="1:21" ht="94.5">
      <c r="A13" s="307" t="s">
        <v>31</v>
      </c>
      <c r="B13" s="308" t="s">
        <v>414</v>
      </c>
      <c r="C13" s="300" t="s">
        <v>90</v>
      </c>
      <c r="D13" s="311" t="s">
        <v>85</v>
      </c>
      <c r="E13" s="309" t="s">
        <v>316</v>
      </c>
      <c r="F13" s="295" t="s">
        <v>329</v>
      </c>
      <c r="G13" s="295" t="s">
        <v>267</v>
      </c>
      <c r="H13" s="291">
        <f>8260</f>
        <v>8260</v>
      </c>
      <c r="I13" s="295" t="s">
        <v>478</v>
      </c>
      <c r="J13" s="295" t="s">
        <v>267</v>
      </c>
      <c r="K13" s="291">
        <v>11513</v>
      </c>
      <c r="L13" s="11">
        <v>1362</v>
      </c>
      <c r="M13" s="11" t="s">
        <v>267</v>
      </c>
      <c r="N13" s="1">
        <v>10547</v>
      </c>
      <c r="O13" s="85">
        <v>1330</v>
      </c>
      <c r="P13" s="85" t="s">
        <v>597</v>
      </c>
      <c r="Q13" s="38">
        <v>11663</v>
      </c>
      <c r="R13" s="295" t="s">
        <v>33</v>
      </c>
      <c r="S13" s="306" t="s">
        <v>33</v>
      </c>
      <c r="T13" s="291">
        <v>0</v>
      </c>
      <c r="U13" s="292">
        <f t="shared" si="0"/>
        <v>41983</v>
      </c>
    </row>
    <row r="14" spans="1:21" ht="94.5">
      <c r="A14" s="307" t="s">
        <v>32</v>
      </c>
      <c r="B14" s="312" t="s">
        <v>472</v>
      </c>
      <c r="C14" s="300" t="s">
        <v>84</v>
      </c>
      <c r="D14" s="311" t="s">
        <v>88</v>
      </c>
      <c r="E14" s="309" t="s">
        <v>92</v>
      </c>
      <c r="F14" s="295" t="s">
        <v>463</v>
      </c>
      <c r="G14" s="295" t="s">
        <v>314</v>
      </c>
      <c r="H14" s="291">
        <f>4075-2825.3-663.33</f>
        <v>586.36999999999978</v>
      </c>
      <c r="I14" s="295" t="s">
        <v>33</v>
      </c>
      <c r="J14" s="295" t="s">
        <v>33</v>
      </c>
      <c r="K14" s="291">
        <v>0</v>
      </c>
      <c r="L14" s="11" t="s">
        <v>33</v>
      </c>
      <c r="M14" s="11" t="s">
        <v>33</v>
      </c>
      <c r="N14" s="1">
        <v>0</v>
      </c>
      <c r="O14" s="85" t="s">
        <v>33</v>
      </c>
      <c r="P14" s="225" t="s">
        <v>33</v>
      </c>
      <c r="Q14" s="38">
        <v>0</v>
      </c>
      <c r="R14" s="295" t="s">
        <v>33</v>
      </c>
      <c r="S14" s="295" t="s">
        <v>33</v>
      </c>
      <c r="T14" s="291">
        <v>0</v>
      </c>
      <c r="U14" s="292">
        <f t="shared" si="0"/>
        <v>586.36999999999978</v>
      </c>
    </row>
    <row r="15" spans="1:21" ht="63">
      <c r="A15" s="307" t="s">
        <v>165</v>
      </c>
      <c r="B15" s="313" t="s">
        <v>290</v>
      </c>
      <c r="C15" s="300" t="s">
        <v>90</v>
      </c>
      <c r="D15" s="309" t="s">
        <v>85</v>
      </c>
      <c r="E15" s="309" t="s">
        <v>100</v>
      </c>
      <c r="F15" s="295" t="s">
        <v>318</v>
      </c>
      <c r="G15" s="295" t="s">
        <v>309</v>
      </c>
      <c r="H15" s="291">
        <f>1192</f>
        <v>1192</v>
      </c>
      <c r="I15" s="314" t="s">
        <v>33</v>
      </c>
      <c r="J15" s="295">
        <v>0</v>
      </c>
      <c r="K15" s="291">
        <v>0</v>
      </c>
      <c r="L15" s="84" t="s">
        <v>33</v>
      </c>
      <c r="M15" s="11" t="s">
        <v>33</v>
      </c>
      <c r="N15" s="1">
        <v>0</v>
      </c>
      <c r="O15" s="85" t="s">
        <v>33</v>
      </c>
      <c r="P15" s="225" t="s">
        <v>33</v>
      </c>
      <c r="Q15" s="38">
        <v>0</v>
      </c>
      <c r="R15" s="294" t="s">
        <v>33</v>
      </c>
      <c r="S15" s="295" t="s">
        <v>33</v>
      </c>
      <c r="T15" s="291">
        <v>0</v>
      </c>
      <c r="U15" s="292">
        <f t="shared" si="0"/>
        <v>1192</v>
      </c>
    </row>
    <row r="16" spans="1:21" ht="63">
      <c r="A16" s="307" t="s">
        <v>247</v>
      </c>
      <c r="B16" s="315" t="s">
        <v>216</v>
      </c>
      <c r="C16" s="385" t="s">
        <v>90</v>
      </c>
      <c r="D16" s="316" t="s">
        <v>85</v>
      </c>
      <c r="E16" s="292" t="s">
        <v>91</v>
      </c>
      <c r="F16" s="291" t="s">
        <v>399</v>
      </c>
      <c r="G16" s="292" t="s">
        <v>118</v>
      </c>
      <c r="H16" s="293">
        <f>6183-123</f>
        <v>6060</v>
      </c>
      <c r="I16" s="291" t="s">
        <v>557</v>
      </c>
      <c r="J16" s="292" t="s">
        <v>118</v>
      </c>
      <c r="K16" s="293">
        <f>5832-126-120</f>
        <v>5586</v>
      </c>
      <c r="L16" s="390" t="s">
        <v>579</v>
      </c>
      <c r="M16" s="2" t="s">
        <v>118</v>
      </c>
      <c r="N16" s="1">
        <f>5760-60-390</f>
        <v>5310</v>
      </c>
      <c r="O16" s="85" t="s">
        <v>598</v>
      </c>
      <c r="P16" s="2" t="s">
        <v>118</v>
      </c>
      <c r="Q16" s="38">
        <v>5004</v>
      </c>
      <c r="R16" s="314" t="s">
        <v>33</v>
      </c>
      <c r="S16" s="295" t="s">
        <v>33</v>
      </c>
      <c r="T16" s="291">
        <v>0</v>
      </c>
      <c r="U16" s="292">
        <f t="shared" si="0"/>
        <v>21960</v>
      </c>
    </row>
    <row r="17" spans="1:21" ht="63">
      <c r="A17" s="307" t="s">
        <v>257</v>
      </c>
      <c r="B17" s="315" t="s">
        <v>207</v>
      </c>
      <c r="C17" s="385" t="s">
        <v>90</v>
      </c>
      <c r="D17" s="316" t="s">
        <v>85</v>
      </c>
      <c r="E17" s="317">
        <v>2020</v>
      </c>
      <c r="F17" s="292" t="s">
        <v>278</v>
      </c>
      <c r="G17" s="292" t="s">
        <v>10</v>
      </c>
      <c r="H17" s="292">
        <f>785</f>
        <v>785</v>
      </c>
      <c r="I17" s="292" t="s">
        <v>477</v>
      </c>
      <c r="J17" s="292" t="s">
        <v>10</v>
      </c>
      <c r="K17" s="292">
        <f>18*5</f>
        <v>90</v>
      </c>
      <c r="L17" s="84" t="s">
        <v>33</v>
      </c>
      <c r="M17" s="11" t="s">
        <v>33</v>
      </c>
      <c r="N17" s="1">
        <v>0</v>
      </c>
      <c r="O17" s="99" t="s">
        <v>33</v>
      </c>
      <c r="P17" s="99" t="s">
        <v>33</v>
      </c>
      <c r="Q17" s="99">
        <v>0</v>
      </c>
      <c r="R17" s="292" t="s">
        <v>33</v>
      </c>
      <c r="S17" s="292" t="s">
        <v>33</v>
      </c>
      <c r="T17" s="292">
        <v>0</v>
      </c>
      <c r="U17" s="292">
        <f t="shared" si="0"/>
        <v>875</v>
      </c>
    </row>
    <row r="18" spans="1:21" ht="63">
      <c r="A18" s="307" t="s">
        <v>416</v>
      </c>
      <c r="B18" s="315" t="s">
        <v>208</v>
      </c>
      <c r="C18" s="385" t="s">
        <v>90</v>
      </c>
      <c r="D18" s="316" t="s">
        <v>85</v>
      </c>
      <c r="E18" s="317">
        <v>2020</v>
      </c>
      <c r="F18" s="292" t="s">
        <v>400</v>
      </c>
      <c r="G18" s="292" t="s">
        <v>12</v>
      </c>
      <c r="H18" s="292">
        <f>110</f>
        <v>110</v>
      </c>
      <c r="I18" s="292" t="s">
        <v>33</v>
      </c>
      <c r="J18" s="292" t="s">
        <v>33</v>
      </c>
      <c r="K18" s="292">
        <v>0</v>
      </c>
      <c r="L18" s="84" t="s">
        <v>33</v>
      </c>
      <c r="M18" s="11" t="s">
        <v>33</v>
      </c>
      <c r="N18" s="1">
        <v>0</v>
      </c>
      <c r="O18" s="99" t="s">
        <v>33</v>
      </c>
      <c r="P18" s="99" t="s">
        <v>33</v>
      </c>
      <c r="Q18" s="99">
        <v>0</v>
      </c>
      <c r="R18" s="292" t="s">
        <v>33</v>
      </c>
      <c r="S18" s="292" t="s">
        <v>33</v>
      </c>
      <c r="T18" s="292">
        <v>0</v>
      </c>
      <c r="U18" s="292">
        <f t="shared" si="0"/>
        <v>110</v>
      </c>
    </row>
    <row r="19" spans="1:21" ht="78.75">
      <c r="A19" s="307" t="s">
        <v>417</v>
      </c>
      <c r="B19" s="315" t="s">
        <v>209</v>
      </c>
      <c r="C19" s="385" t="s">
        <v>90</v>
      </c>
      <c r="D19" s="316" t="s">
        <v>85</v>
      </c>
      <c r="E19" s="317">
        <v>2020</v>
      </c>
      <c r="F19" s="292" t="s">
        <v>280</v>
      </c>
      <c r="G19" s="292" t="s">
        <v>13</v>
      </c>
      <c r="H19" s="292">
        <f>53</f>
        <v>53</v>
      </c>
      <c r="I19" s="292" t="s">
        <v>33</v>
      </c>
      <c r="J19" s="292" t="s">
        <v>33</v>
      </c>
      <c r="K19" s="292">
        <v>0</v>
      </c>
      <c r="L19" s="84" t="s">
        <v>33</v>
      </c>
      <c r="M19" s="11" t="s">
        <v>33</v>
      </c>
      <c r="N19" s="1">
        <v>0</v>
      </c>
      <c r="O19" s="99" t="s">
        <v>33</v>
      </c>
      <c r="P19" s="99" t="s">
        <v>33</v>
      </c>
      <c r="Q19" s="99">
        <v>0</v>
      </c>
      <c r="R19" s="292" t="s">
        <v>33</v>
      </c>
      <c r="S19" s="292" t="s">
        <v>33</v>
      </c>
      <c r="T19" s="292">
        <v>0</v>
      </c>
      <c r="U19" s="292">
        <f t="shared" si="0"/>
        <v>53</v>
      </c>
    </row>
    <row r="20" spans="1:21" ht="78.75">
      <c r="A20" s="307" t="s">
        <v>418</v>
      </c>
      <c r="B20" s="315" t="s">
        <v>210</v>
      </c>
      <c r="C20" s="385" t="s">
        <v>90</v>
      </c>
      <c r="D20" s="316" t="s">
        <v>85</v>
      </c>
      <c r="E20" s="317">
        <v>2020</v>
      </c>
      <c r="F20" s="292" t="s">
        <v>412</v>
      </c>
      <c r="G20" s="292" t="s">
        <v>12</v>
      </c>
      <c r="H20" s="292">
        <f>112+18</f>
        <v>130</v>
      </c>
      <c r="I20" s="292" t="s">
        <v>33</v>
      </c>
      <c r="J20" s="292" t="s">
        <v>33</v>
      </c>
      <c r="K20" s="292">
        <v>0</v>
      </c>
      <c r="L20" s="84" t="s">
        <v>33</v>
      </c>
      <c r="M20" s="11" t="s">
        <v>33</v>
      </c>
      <c r="N20" s="1">
        <v>0</v>
      </c>
      <c r="O20" s="99" t="s">
        <v>33</v>
      </c>
      <c r="P20" s="99" t="s">
        <v>33</v>
      </c>
      <c r="Q20" s="99">
        <v>0</v>
      </c>
      <c r="R20" s="292" t="s">
        <v>33</v>
      </c>
      <c r="S20" s="292" t="s">
        <v>33</v>
      </c>
      <c r="T20" s="292">
        <v>0</v>
      </c>
      <c r="U20" s="292">
        <f t="shared" si="0"/>
        <v>130</v>
      </c>
    </row>
    <row r="21" spans="1:21" ht="78.75">
      <c r="A21" s="307" t="s">
        <v>419</v>
      </c>
      <c r="B21" s="315" t="s">
        <v>211</v>
      </c>
      <c r="C21" s="385" t="s">
        <v>90</v>
      </c>
      <c r="D21" s="316" t="s">
        <v>85</v>
      </c>
      <c r="E21" s="317">
        <v>2020</v>
      </c>
      <c r="F21" s="292" t="s">
        <v>324</v>
      </c>
      <c r="G21" s="318" t="s">
        <v>14</v>
      </c>
      <c r="H21" s="292">
        <v>120</v>
      </c>
      <c r="I21" s="292" t="s">
        <v>33</v>
      </c>
      <c r="J21" s="292" t="s">
        <v>33</v>
      </c>
      <c r="K21" s="292">
        <v>0</v>
      </c>
      <c r="L21" s="2" t="s">
        <v>324</v>
      </c>
      <c r="M21" s="2">
        <v>30</v>
      </c>
      <c r="N21" s="2">
        <f>60+60</f>
        <v>120</v>
      </c>
      <c r="O21" s="99" t="s">
        <v>307</v>
      </c>
      <c r="P21" s="99">
        <v>30</v>
      </c>
      <c r="Q21" s="99">
        <v>30</v>
      </c>
      <c r="R21" s="292" t="s">
        <v>33</v>
      </c>
      <c r="S21" s="292" t="s">
        <v>33</v>
      </c>
      <c r="T21" s="292">
        <v>0</v>
      </c>
      <c r="U21" s="292">
        <f t="shared" si="0"/>
        <v>270</v>
      </c>
    </row>
    <row r="22" spans="1:21" ht="78.75">
      <c r="A22" s="307" t="s">
        <v>420</v>
      </c>
      <c r="B22" s="315" t="s">
        <v>328</v>
      </c>
      <c r="C22" s="385" t="s">
        <v>6</v>
      </c>
      <c r="D22" s="316" t="s">
        <v>132</v>
      </c>
      <c r="E22" s="292" t="s">
        <v>91</v>
      </c>
      <c r="F22" s="291" t="s">
        <v>321</v>
      </c>
      <c r="G22" s="318" t="s">
        <v>320</v>
      </c>
      <c r="H22" s="293">
        <v>23068</v>
      </c>
      <c r="I22" s="291" t="s">
        <v>558</v>
      </c>
      <c r="J22" s="318" t="s">
        <v>537</v>
      </c>
      <c r="K22" s="293">
        <f>23742-1150</f>
        <v>22592</v>
      </c>
      <c r="L22" s="1" t="s">
        <v>536</v>
      </c>
      <c r="M22" s="23" t="s">
        <v>594</v>
      </c>
      <c r="N22" s="3">
        <f>24077+1018.52</f>
        <v>25095.52</v>
      </c>
      <c r="O22" s="1" t="s">
        <v>599</v>
      </c>
      <c r="P22" s="23" t="s">
        <v>600</v>
      </c>
      <c r="Q22" s="3">
        <v>25952</v>
      </c>
      <c r="R22" s="1" t="s">
        <v>599</v>
      </c>
      <c r="S22" s="23" t="s">
        <v>600</v>
      </c>
      <c r="T22" s="3">
        <v>25952</v>
      </c>
      <c r="U22" s="292">
        <f>H22+K22+N22+Q22+T22</f>
        <v>122659.52</v>
      </c>
    </row>
    <row r="23" spans="1:21" ht="47.25">
      <c r="A23" s="307" t="s">
        <v>421</v>
      </c>
      <c r="B23" s="315" t="s">
        <v>313</v>
      </c>
      <c r="C23" s="385" t="s">
        <v>6</v>
      </c>
      <c r="D23" s="316" t="s">
        <v>306</v>
      </c>
      <c r="E23" s="292" t="s">
        <v>535</v>
      </c>
      <c r="F23" s="291" t="s">
        <v>307</v>
      </c>
      <c r="G23" s="292" t="s">
        <v>308</v>
      </c>
      <c r="H23" s="293">
        <v>238</v>
      </c>
      <c r="I23" s="291" t="s">
        <v>479</v>
      </c>
      <c r="J23" s="292" t="s">
        <v>308</v>
      </c>
      <c r="K23" s="293">
        <f>2*238</f>
        <v>476</v>
      </c>
      <c r="L23" s="1" t="s">
        <v>593</v>
      </c>
      <c r="M23" s="2" t="s">
        <v>308</v>
      </c>
      <c r="N23" s="3">
        <f>10*238</f>
        <v>2380</v>
      </c>
      <c r="O23" s="99" t="s">
        <v>601</v>
      </c>
      <c r="P23" s="99" t="s">
        <v>602</v>
      </c>
      <c r="Q23" s="99">
        <v>2142</v>
      </c>
      <c r="R23" s="99" t="s">
        <v>603</v>
      </c>
      <c r="S23" s="99" t="s">
        <v>602</v>
      </c>
      <c r="T23" s="292">
        <v>1428</v>
      </c>
      <c r="U23" s="292">
        <f>H23+K23+N23+Q23+T23</f>
        <v>6664</v>
      </c>
    </row>
    <row r="24" spans="1:21" ht="63">
      <c r="A24" s="307" t="s">
        <v>422</v>
      </c>
      <c r="B24" s="315" t="s">
        <v>415</v>
      </c>
      <c r="C24" s="385" t="s">
        <v>90</v>
      </c>
      <c r="D24" s="309" t="s">
        <v>85</v>
      </c>
      <c r="E24" s="292" t="s">
        <v>156</v>
      </c>
      <c r="F24" s="293" t="s">
        <v>413</v>
      </c>
      <c r="G24" s="291" t="s">
        <v>157</v>
      </c>
      <c r="H24" s="291">
        <f>300-180</f>
        <v>120</v>
      </c>
      <c r="I24" s="291">
        <v>0</v>
      </c>
      <c r="J24" s="318">
        <v>0</v>
      </c>
      <c r="K24" s="293">
        <v>0</v>
      </c>
      <c r="L24" s="1">
        <v>0</v>
      </c>
      <c r="M24" s="23">
        <v>0</v>
      </c>
      <c r="N24" s="3">
        <v>0</v>
      </c>
      <c r="O24" s="38" t="s">
        <v>33</v>
      </c>
      <c r="P24" s="103" t="s">
        <v>33</v>
      </c>
      <c r="Q24" s="195">
        <v>0</v>
      </c>
      <c r="R24" s="291" t="s">
        <v>33</v>
      </c>
      <c r="S24" s="318" t="s">
        <v>33</v>
      </c>
      <c r="T24" s="293">
        <v>0</v>
      </c>
      <c r="U24" s="292">
        <f t="shared" si="0"/>
        <v>120</v>
      </c>
    </row>
    <row r="25" spans="1:21" s="324" customFormat="1" ht="16.5">
      <c r="A25" s="529" t="s">
        <v>94</v>
      </c>
      <c r="B25" s="530"/>
      <c r="C25" s="548"/>
      <c r="D25" s="530"/>
      <c r="E25" s="530"/>
      <c r="F25" s="319"/>
      <c r="G25" s="320"/>
      <c r="H25" s="321">
        <f>H26+H27+H28</f>
        <v>76431.37</v>
      </c>
      <c r="I25" s="322"/>
      <c r="J25" s="323"/>
      <c r="K25" s="321">
        <f>K26+K27+K28</f>
        <v>66549</v>
      </c>
      <c r="L25" s="44"/>
      <c r="M25" s="45"/>
      <c r="N25" s="43">
        <f>N26+N27+N28</f>
        <v>70725.52</v>
      </c>
      <c r="O25" s="231"/>
      <c r="P25" s="231"/>
      <c r="Q25" s="231">
        <f>Q26+Q27+Q28</f>
        <v>81007</v>
      </c>
      <c r="R25" s="321"/>
      <c r="S25" s="321"/>
      <c r="T25" s="321">
        <f>T26+T27+T28</f>
        <v>27380</v>
      </c>
      <c r="U25" s="321">
        <f>H25+K25+N25+Q25+T25</f>
        <v>322092.89</v>
      </c>
    </row>
    <row r="26" spans="1:21" ht="16.5">
      <c r="A26" s="519" t="s">
        <v>84</v>
      </c>
      <c r="B26" s="519"/>
      <c r="C26" s="519"/>
      <c r="D26" s="519"/>
      <c r="E26" s="519"/>
      <c r="F26" s="325"/>
      <c r="G26" s="326"/>
      <c r="H26" s="327">
        <f>H11+H12+H14</f>
        <v>36295.370000000003</v>
      </c>
      <c r="I26" s="328"/>
      <c r="J26" s="328"/>
      <c r="K26" s="327">
        <f>K11+K12+K14</f>
        <v>26292</v>
      </c>
      <c r="L26" s="49"/>
      <c r="M26" s="49"/>
      <c r="N26" s="48">
        <f>N11+N12+N14</f>
        <v>27273</v>
      </c>
      <c r="O26" s="236"/>
      <c r="P26" s="236"/>
      <c r="Q26" s="236">
        <f>Q11+Q12+Q14</f>
        <v>36216</v>
      </c>
      <c r="R26" s="327"/>
      <c r="S26" s="327"/>
      <c r="T26" s="327">
        <f>T11+T12+T14</f>
        <v>0</v>
      </c>
      <c r="U26" s="327">
        <f>SUM(H26:T26)</f>
        <v>126076.37</v>
      </c>
    </row>
    <row r="27" spans="1:21" ht="16.5">
      <c r="A27" s="519" t="s">
        <v>95</v>
      </c>
      <c r="B27" s="519"/>
      <c r="C27" s="519"/>
      <c r="D27" s="519"/>
      <c r="E27" s="519"/>
      <c r="F27" s="325"/>
      <c r="G27" s="326"/>
      <c r="H27" s="327">
        <f>H13+H15+H16+H17+H18+H19+H20+H21+H24</f>
        <v>16830</v>
      </c>
      <c r="I27" s="328"/>
      <c r="J27" s="328"/>
      <c r="K27" s="327">
        <f>K13+K15+K16+K17+K18+K19+K20+K21+K24</f>
        <v>17189</v>
      </c>
      <c r="L27" s="49"/>
      <c r="M27" s="49"/>
      <c r="N27" s="48">
        <f>N13+N15+N16+N17+N18+N19+N20+N21+N24</f>
        <v>15977</v>
      </c>
      <c r="O27" s="236"/>
      <c r="P27" s="236"/>
      <c r="Q27" s="236">
        <f>Q13+Q15+Q16+Q17+Q18+Q19+Q20+Q21+Q24</f>
        <v>16697</v>
      </c>
      <c r="R27" s="327"/>
      <c r="S27" s="327"/>
      <c r="T27" s="327">
        <f>T13+T15+T16+T17+T18+T19+T20+T21+T24</f>
        <v>0</v>
      </c>
      <c r="U27" s="327">
        <f>H27+K27+N27+Q27+T27</f>
        <v>66693</v>
      </c>
    </row>
    <row r="28" spans="1:21" ht="16.5">
      <c r="A28" s="386" t="s">
        <v>6</v>
      </c>
      <c r="B28" s="329"/>
      <c r="C28" s="330"/>
      <c r="D28" s="330"/>
      <c r="E28" s="330"/>
      <c r="F28" s="325"/>
      <c r="G28" s="326"/>
      <c r="H28" s="327">
        <f>H22+H23</f>
        <v>23306</v>
      </c>
      <c r="I28" s="328"/>
      <c r="J28" s="328"/>
      <c r="K28" s="327">
        <f>K22+K23</f>
        <v>23068</v>
      </c>
      <c r="L28" s="49"/>
      <c r="M28" s="49"/>
      <c r="N28" s="48">
        <f>N22+N23</f>
        <v>27475.52</v>
      </c>
      <c r="O28" s="236"/>
      <c r="P28" s="236"/>
      <c r="Q28" s="236">
        <f>Q22+Q23</f>
        <v>28094</v>
      </c>
      <c r="R28" s="327"/>
      <c r="S28" s="327"/>
      <c r="T28" s="327">
        <f>T22+T23</f>
        <v>27380</v>
      </c>
      <c r="U28" s="327">
        <f>H28+K28+N28+Q28+27380</f>
        <v>129323.52</v>
      </c>
    </row>
    <row r="29" spans="1:21" ht="18.75">
      <c r="A29" s="331" t="s">
        <v>501</v>
      </c>
      <c r="B29" s="549" t="s">
        <v>223</v>
      </c>
      <c r="C29" s="527"/>
      <c r="D29" s="527"/>
      <c r="E29" s="527"/>
      <c r="F29" s="527"/>
      <c r="G29" s="527"/>
      <c r="H29" s="527"/>
      <c r="I29" s="527"/>
      <c r="J29" s="527"/>
      <c r="K29" s="527"/>
      <c r="L29" s="527"/>
      <c r="M29" s="527"/>
      <c r="N29" s="527"/>
      <c r="O29" s="527"/>
      <c r="P29" s="527"/>
      <c r="Q29" s="527"/>
      <c r="R29" s="527"/>
      <c r="S29" s="527"/>
      <c r="T29" s="527"/>
      <c r="U29" s="528"/>
    </row>
    <row r="30" spans="1:21" ht="110.25">
      <c r="A30" s="307" t="s">
        <v>35</v>
      </c>
      <c r="B30" s="332" t="s">
        <v>291</v>
      </c>
      <c r="C30" s="309"/>
      <c r="D30" s="309" t="s">
        <v>85</v>
      </c>
      <c r="E30" s="311" t="s">
        <v>502</v>
      </c>
      <c r="F30" s="295" t="s">
        <v>503</v>
      </c>
      <c r="G30" s="295" t="s">
        <v>386</v>
      </c>
      <c r="H30" s="291">
        <f>2664-772</f>
        <v>1892</v>
      </c>
      <c r="I30" s="294" t="s">
        <v>559</v>
      </c>
      <c r="J30" s="295" t="s">
        <v>380</v>
      </c>
      <c r="K30" s="291">
        <f>1892-286-534</f>
        <v>1072</v>
      </c>
      <c r="L30" s="13" t="s">
        <v>580</v>
      </c>
      <c r="M30" s="11" t="s">
        <v>571</v>
      </c>
      <c r="N30" s="1">
        <f>1633-465-849</f>
        <v>319</v>
      </c>
      <c r="O30" s="38" t="s">
        <v>33</v>
      </c>
      <c r="P30" s="103" t="s">
        <v>33</v>
      </c>
      <c r="Q30" s="195">
        <v>0</v>
      </c>
      <c r="R30" s="291" t="s">
        <v>33</v>
      </c>
      <c r="S30" s="318" t="s">
        <v>33</v>
      </c>
      <c r="T30" s="293">
        <v>0</v>
      </c>
      <c r="U30" s="292">
        <f>H30+K30+N30+Q30+T30</f>
        <v>3283</v>
      </c>
    </row>
    <row r="31" spans="1:21" ht="16.5">
      <c r="A31" s="529" t="s">
        <v>97</v>
      </c>
      <c r="B31" s="530"/>
      <c r="C31" s="530"/>
      <c r="D31" s="530"/>
      <c r="E31" s="530"/>
      <c r="F31" s="325"/>
      <c r="G31" s="326"/>
      <c r="H31" s="321">
        <f>SUM(H32:H32)</f>
        <v>1892</v>
      </c>
      <c r="I31" s="333"/>
      <c r="J31" s="334"/>
      <c r="K31" s="321">
        <f>SUM(K32:K32)</f>
        <v>1072</v>
      </c>
      <c r="L31" s="52"/>
      <c r="M31" s="53"/>
      <c r="N31" s="43">
        <f>N32</f>
        <v>319</v>
      </c>
      <c r="O31" s="245"/>
      <c r="P31" s="245"/>
      <c r="Q31" s="231">
        <f>SUM(Q32:Q32)</f>
        <v>0</v>
      </c>
      <c r="R31" s="335"/>
      <c r="S31" s="335"/>
      <c r="T31" s="321">
        <f>SUM(T32:T32)</f>
        <v>0</v>
      </c>
      <c r="U31" s="321">
        <f>H31+K31+N31+Q31+T31</f>
        <v>3283</v>
      </c>
    </row>
    <row r="32" spans="1:21" ht="16.5">
      <c r="A32" s="519" t="s">
        <v>95</v>
      </c>
      <c r="B32" s="519"/>
      <c r="C32" s="519"/>
      <c r="D32" s="519"/>
      <c r="E32" s="519"/>
      <c r="F32" s="325"/>
      <c r="G32" s="326"/>
      <c r="H32" s="327">
        <f>SUM(,H30,)</f>
        <v>1892</v>
      </c>
      <c r="I32" s="328"/>
      <c r="J32" s="328"/>
      <c r="K32" s="327">
        <f>SUM(,K30,)</f>
        <v>1072</v>
      </c>
      <c r="L32" s="49"/>
      <c r="M32" s="49"/>
      <c r="N32" s="48">
        <f>SUM(,N30,)</f>
        <v>319</v>
      </c>
      <c r="O32" s="236"/>
      <c r="P32" s="236"/>
      <c r="Q32" s="236">
        <f>SUM(,Q30,)</f>
        <v>0</v>
      </c>
      <c r="R32" s="327"/>
      <c r="S32" s="327"/>
      <c r="T32" s="327">
        <f>SUM(,T30,)</f>
        <v>0</v>
      </c>
      <c r="U32" s="335">
        <f>H32+K32+N32+Q32+T32</f>
        <v>3283</v>
      </c>
    </row>
    <row r="33" spans="1:21" ht="18.75">
      <c r="A33" s="331" t="s">
        <v>504</v>
      </c>
      <c r="B33" s="542" t="s">
        <v>423</v>
      </c>
      <c r="C33" s="542"/>
      <c r="D33" s="542"/>
      <c r="E33" s="542"/>
      <c r="F33" s="542"/>
      <c r="G33" s="542"/>
      <c r="H33" s="542"/>
      <c r="I33" s="542"/>
      <c r="J33" s="542"/>
      <c r="K33" s="542"/>
      <c r="L33" s="542"/>
      <c r="M33" s="542"/>
      <c r="N33" s="542"/>
      <c r="O33" s="542"/>
      <c r="P33" s="542"/>
      <c r="Q33" s="542"/>
      <c r="R33" s="542"/>
      <c r="S33" s="542"/>
      <c r="T33" s="542"/>
      <c r="U33" s="542"/>
    </row>
    <row r="34" spans="1:21" ht="102">
      <c r="A34" s="307" t="s">
        <v>37</v>
      </c>
      <c r="B34" s="332" t="s">
        <v>476</v>
      </c>
      <c r="C34" s="384" t="s">
        <v>90</v>
      </c>
      <c r="D34" s="304" t="s">
        <v>85</v>
      </c>
      <c r="E34" s="304" t="s">
        <v>102</v>
      </c>
      <c r="F34" s="295" t="s">
        <v>396</v>
      </c>
      <c r="G34" s="295" t="s">
        <v>33</v>
      </c>
      <c r="H34" s="291">
        <v>2949</v>
      </c>
      <c r="I34" s="295" t="s">
        <v>560</v>
      </c>
      <c r="J34" s="295" t="s">
        <v>550</v>
      </c>
      <c r="K34" s="291">
        <f>1775+587-49</f>
        <v>2313</v>
      </c>
      <c r="L34" s="11" t="s">
        <v>581</v>
      </c>
      <c r="M34" s="11" t="s">
        <v>590</v>
      </c>
      <c r="N34" s="1">
        <f>2362-240-210</f>
        <v>1912</v>
      </c>
      <c r="O34" s="11" t="s">
        <v>604</v>
      </c>
      <c r="P34" s="11" t="s">
        <v>605</v>
      </c>
      <c r="Q34" s="1">
        <v>2022</v>
      </c>
      <c r="R34" s="291" t="s">
        <v>33</v>
      </c>
      <c r="S34" s="318" t="s">
        <v>33</v>
      </c>
      <c r="T34" s="293">
        <v>0</v>
      </c>
      <c r="U34" s="292">
        <f>H34+K34+N34+Q34+T34</f>
        <v>9196</v>
      </c>
    </row>
    <row r="35" spans="1:21" ht="189">
      <c r="A35" s="307" t="s">
        <v>312</v>
      </c>
      <c r="B35" s="313" t="s">
        <v>49</v>
      </c>
      <c r="C35" s="384" t="s">
        <v>90</v>
      </c>
      <c r="D35" s="309" t="s">
        <v>85</v>
      </c>
      <c r="E35" s="309" t="s">
        <v>91</v>
      </c>
      <c r="F35" s="295" t="s">
        <v>506</v>
      </c>
      <c r="G35" s="295" t="s">
        <v>105</v>
      </c>
      <c r="H35" s="291">
        <v>9</v>
      </c>
      <c r="I35" s="295" t="s">
        <v>506</v>
      </c>
      <c r="J35" s="295" t="s">
        <v>105</v>
      </c>
      <c r="K35" s="291">
        <v>9</v>
      </c>
      <c r="L35" s="11" t="s">
        <v>104</v>
      </c>
      <c r="M35" s="11" t="s">
        <v>105</v>
      </c>
      <c r="N35" s="1">
        <v>9</v>
      </c>
      <c r="O35" s="38" t="s">
        <v>33</v>
      </c>
      <c r="P35" s="103" t="s">
        <v>33</v>
      </c>
      <c r="Q35" s="195">
        <v>0</v>
      </c>
      <c r="R35" s="291" t="s">
        <v>33</v>
      </c>
      <c r="S35" s="318" t="s">
        <v>33</v>
      </c>
      <c r="T35" s="293">
        <v>0</v>
      </c>
      <c r="U35" s="292">
        <f t="shared" ref="U35:U50" si="1">H35+K35+N35+Q35+T35</f>
        <v>27</v>
      </c>
    </row>
    <row r="36" spans="1:21" ht="63">
      <c r="A36" s="307" t="s">
        <v>428</v>
      </c>
      <c r="B36" s="313" t="s">
        <v>51</v>
      </c>
      <c r="C36" s="300" t="s">
        <v>90</v>
      </c>
      <c r="D36" s="309" t="s">
        <v>85</v>
      </c>
      <c r="E36" s="309" t="s">
        <v>91</v>
      </c>
      <c r="F36" s="295" t="s">
        <v>147</v>
      </c>
      <c r="G36" s="295" t="s">
        <v>381</v>
      </c>
      <c r="H36" s="291">
        <f>426</f>
        <v>426</v>
      </c>
      <c r="I36" s="295" t="s">
        <v>33</v>
      </c>
      <c r="J36" s="295">
        <v>0</v>
      </c>
      <c r="K36" s="291">
        <v>0</v>
      </c>
      <c r="L36" s="1">
        <v>0</v>
      </c>
      <c r="M36" s="23">
        <v>0</v>
      </c>
      <c r="N36" s="3">
        <v>0</v>
      </c>
      <c r="O36" s="38" t="s">
        <v>33</v>
      </c>
      <c r="P36" s="103" t="s">
        <v>33</v>
      </c>
      <c r="Q36" s="195">
        <v>0</v>
      </c>
      <c r="R36" s="291" t="s">
        <v>33</v>
      </c>
      <c r="S36" s="318" t="s">
        <v>33</v>
      </c>
      <c r="T36" s="293">
        <v>0</v>
      </c>
      <c r="U36" s="292">
        <f>H36+K36+N36+Q36+T36</f>
        <v>426</v>
      </c>
    </row>
    <row r="37" spans="1:21" ht="47.25">
      <c r="A37" s="307" t="s">
        <v>429</v>
      </c>
      <c r="B37" s="313" t="s">
        <v>201</v>
      </c>
      <c r="C37" s="543" t="s">
        <v>191</v>
      </c>
      <c r="D37" s="309" t="s">
        <v>85</v>
      </c>
      <c r="E37" s="309" t="s">
        <v>507</v>
      </c>
      <c r="F37" s="295" t="s">
        <v>508</v>
      </c>
      <c r="G37" s="295" t="s">
        <v>107</v>
      </c>
      <c r="H37" s="291">
        <v>3304</v>
      </c>
      <c r="I37" s="295" t="s">
        <v>551</v>
      </c>
      <c r="J37" s="295" t="s">
        <v>107</v>
      </c>
      <c r="K37" s="291">
        <f>3304-224</f>
        <v>3080</v>
      </c>
      <c r="L37" s="11" t="s">
        <v>606</v>
      </c>
      <c r="M37" s="11" t="s">
        <v>107</v>
      </c>
      <c r="N37" s="1">
        <f>2968-126</f>
        <v>2842</v>
      </c>
      <c r="O37" s="11" t="s">
        <v>607</v>
      </c>
      <c r="P37" s="11" t="s">
        <v>107</v>
      </c>
      <c r="Q37" s="1">
        <v>3136</v>
      </c>
      <c r="R37" s="291" t="s">
        <v>33</v>
      </c>
      <c r="S37" s="318" t="s">
        <v>33</v>
      </c>
      <c r="T37" s="293">
        <v>0</v>
      </c>
      <c r="U37" s="292">
        <f>H37+K37+N37+Q37+T37</f>
        <v>12362</v>
      </c>
    </row>
    <row r="38" spans="1:21" ht="94.5">
      <c r="A38" s="307" t="s">
        <v>430</v>
      </c>
      <c r="B38" s="313" t="s">
        <v>296</v>
      </c>
      <c r="C38" s="543"/>
      <c r="D38" s="309" t="s">
        <v>85</v>
      </c>
      <c r="E38" s="309" t="s">
        <v>108</v>
      </c>
      <c r="F38" s="295" t="s">
        <v>137</v>
      </c>
      <c r="G38" s="295" t="s">
        <v>509</v>
      </c>
      <c r="H38" s="291">
        <v>378</v>
      </c>
      <c r="I38" s="295" t="s">
        <v>547</v>
      </c>
      <c r="J38" s="295" t="s">
        <v>509</v>
      </c>
      <c r="K38" s="291">
        <f>324+95</f>
        <v>419</v>
      </c>
      <c r="L38" s="11" t="s">
        <v>547</v>
      </c>
      <c r="M38" s="11" t="s">
        <v>109</v>
      </c>
      <c r="N38" s="1">
        <f>495-27</f>
        <v>468</v>
      </c>
      <c r="O38" s="11" t="s">
        <v>547</v>
      </c>
      <c r="P38" s="11" t="s">
        <v>109</v>
      </c>
      <c r="Q38" s="1">
        <v>432</v>
      </c>
      <c r="R38" s="291" t="s">
        <v>33</v>
      </c>
      <c r="S38" s="318" t="s">
        <v>33</v>
      </c>
      <c r="T38" s="293">
        <v>0</v>
      </c>
      <c r="U38" s="292">
        <f>H38+K38+N38+Q38+T38</f>
        <v>1697</v>
      </c>
    </row>
    <row r="39" spans="1:21" ht="110.25">
      <c r="A39" s="307" t="s">
        <v>431</v>
      </c>
      <c r="B39" s="313" t="s">
        <v>297</v>
      </c>
      <c r="C39" s="300" t="s">
        <v>90</v>
      </c>
      <c r="D39" s="309" t="s">
        <v>85</v>
      </c>
      <c r="E39" s="309" t="s">
        <v>91</v>
      </c>
      <c r="F39" s="295" t="s">
        <v>146</v>
      </c>
      <c r="G39" s="295" t="s">
        <v>110</v>
      </c>
      <c r="H39" s="291">
        <v>12</v>
      </c>
      <c r="I39" s="295" t="s">
        <v>146</v>
      </c>
      <c r="J39" s="295" t="s">
        <v>110</v>
      </c>
      <c r="K39" s="291">
        <v>12</v>
      </c>
      <c r="L39" s="11" t="s">
        <v>146</v>
      </c>
      <c r="M39" s="11" t="s">
        <v>110</v>
      </c>
      <c r="N39" s="1">
        <v>12</v>
      </c>
      <c r="O39" s="38" t="s">
        <v>33</v>
      </c>
      <c r="P39" s="103" t="s">
        <v>33</v>
      </c>
      <c r="Q39" s="195">
        <v>0</v>
      </c>
      <c r="R39" s="291" t="s">
        <v>33</v>
      </c>
      <c r="S39" s="318" t="s">
        <v>33</v>
      </c>
      <c r="T39" s="293">
        <v>0</v>
      </c>
      <c r="U39" s="292">
        <f t="shared" si="1"/>
        <v>36</v>
      </c>
    </row>
    <row r="40" spans="1:21" ht="110.25">
      <c r="A40" s="307" t="s">
        <v>432</v>
      </c>
      <c r="B40" s="313" t="s">
        <v>465</v>
      </c>
      <c r="C40" s="532" t="s">
        <v>191</v>
      </c>
      <c r="D40" s="309" t="s">
        <v>85</v>
      </c>
      <c r="E40" s="309" t="s">
        <v>102</v>
      </c>
      <c r="F40" s="295" t="s">
        <v>506</v>
      </c>
      <c r="G40" s="295" t="s">
        <v>510</v>
      </c>
      <c r="H40" s="291">
        <v>50</v>
      </c>
      <c r="I40" s="295" t="s">
        <v>33</v>
      </c>
      <c r="J40" s="295" t="s">
        <v>33</v>
      </c>
      <c r="K40" s="291">
        <v>0</v>
      </c>
      <c r="L40" s="11" t="s">
        <v>33</v>
      </c>
      <c r="M40" s="11" t="s">
        <v>33</v>
      </c>
      <c r="N40" s="1">
        <v>0</v>
      </c>
      <c r="O40" s="85" t="s">
        <v>33</v>
      </c>
      <c r="P40" s="85" t="s">
        <v>33</v>
      </c>
      <c r="Q40" s="38">
        <v>0</v>
      </c>
      <c r="R40" s="295" t="s">
        <v>33</v>
      </c>
      <c r="S40" s="295" t="s">
        <v>33</v>
      </c>
      <c r="T40" s="291">
        <v>0</v>
      </c>
      <c r="U40" s="292">
        <f t="shared" si="1"/>
        <v>50</v>
      </c>
    </row>
    <row r="41" spans="1:21" ht="94.5">
      <c r="A41" s="307" t="s">
        <v>433</v>
      </c>
      <c r="B41" s="313" t="s">
        <v>195</v>
      </c>
      <c r="C41" s="544"/>
      <c r="D41" s="309" t="s">
        <v>85</v>
      </c>
      <c r="E41" s="309" t="s">
        <v>102</v>
      </c>
      <c r="F41" s="295" t="s">
        <v>506</v>
      </c>
      <c r="G41" s="295" t="s">
        <v>511</v>
      </c>
      <c r="H41" s="291">
        <v>50</v>
      </c>
      <c r="I41" s="295">
        <v>1</v>
      </c>
      <c r="J41" s="295">
        <v>50</v>
      </c>
      <c r="K41" s="291">
        <f>J41*I41</f>
        <v>50</v>
      </c>
      <c r="L41" s="11">
        <v>2</v>
      </c>
      <c r="M41" s="11">
        <v>50</v>
      </c>
      <c r="N41" s="1">
        <f>M41*L41</f>
        <v>100</v>
      </c>
      <c r="O41" s="85">
        <v>1</v>
      </c>
      <c r="P41" s="85">
        <v>50</v>
      </c>
      <c r="Q41" s="38">
        <v>50</v>
      </c>
      <c r="R41" s="295" t="s">
        <v>33</v>
      </c>
      <c r="S41" s="295" t="s">
        <v>33</v>
      </c>
      <c r="T41" s="291">
        <v>0</v>
      </c>
      <c r="U41" s="292">
        <f t="shared" si="1"/>
        <v>250</v>
      </c>
    </row>
    <row r="42" spans="1:21" ht="126">
      <c r="A42" s="307" t="s">
        <v>434</v>
      </c>
      <c r="B42" s="313" t="s">
        <v>196</v>
      </c>
      <c r="C42" s="544"/>
      <c r="D42" s="309" t="s">
        <v>85</v>
      </c>
      <c r="E42" s="309" t="s">
        <v>91</v>
      </c>
      <c r="F42" s="295" t="s">
        <v>408</v>
      </c>
      <c r="G42" s="295" t="s">
        <v>409</v>
      </c>
      <c r="H42" s="291">
        <f>480+330</f>
        <v>810</v>
      </c>
      <c r="I42" s="295" t="s">
        <v>408</v>
      </c>
      <c r="J42" s="295" t="s">
        <v>582</v>
      </c>
      <c r="K42" s="291">
        <f>720+50</f>
        <v>770</v>
      </c>
      <c r="L42" s="11" t="s">
        <v>608</v>
      </c>
      <c r="M42" s="11" t="s">
        <v>609</v>
      </c>
      <c r="N42" s="1">
        <f>720-130</f>
        <v>590</v>
      </c>
      <c r="O42" s="11" t="s">
        <v>608</v>
      </c>
      <c r="P42" s="11" t="s">
        <v>610</v>
      </c>
      <c r="Q42" s="1">
        <v>600</v>
      </c>
      <c r="R42" s="291" t="s">
        <v>33</v>
      </c>
      <c r="S42" s="318" t="s">
        <v>33</v>
      </c>
      <c r="T42" s="293">
        <v>0</v>
      </c>
      <c r="U42" s="292">
        <f>H42+K42+N42+Q42+T42</f>
        <v>2770</v>
      </c>
    </row>
    <row r="43" spans="1:21" ht="157.5">
      <c r="A43" s="317" t="s">
        <v>435</v>
      </c>
      <c r="B43" s="313" t="s">
        <v>197</v>
      </c>
      <c r="C43" s="544"/>
      <c r="D43" s="309" t="s">
        <v>85</v>
      </c>
      <c r="E43" s="309" t="s">
        <v>102</v>
      </c>
      <c r="F43" s="295" t="s">
        <v>131</v>
      </c>
      <c r="G43" s="295" t="s">
        <v>409</v>
      </c>
      <c r="H43" s="291">
        <v>30</v>
      </c>
      <c r="I43" s="295">
        <v>1</v>
      </c>
      <c r="J43" s="295">
        <v>10</v>
      </c>
      <c r="K43" s="291">
        <f>I43*J43</f>
        <v>10</v>
      </c>
      <c r="L43" s="11">
        <v>1</v>
      </c>
      <c r="M43" s="11">
        <v>10</v>
      </c>
      <c r="N43" s="1">
        <f>L43*M43</f>
        <v>10</v>
      </c>
      <c r="O43" s="11">
        <v>1</v>
      </c>
      <c r="P43" s="11">
        <v>10</v>
      </c>
      <c r="Q43" s="1">
        <f>O43*P43</f>
        <v>10</v>
      </c>
      <c r="R43" s="295" t="s">
        <v>33</v>
      </c>
      <c r="S43" s="295" t="s">
        <v>33</v>
      </c>
      <c r="T43" s="291">
        <v>0</v>
      </c>
      <c r="U43" s="292">
        <f t="shared" si="1"/>
        <v>60</v>
      </c>
    </row>
    <row r="44" spans="1:21" ht="78.75">
      <c r="A44" s="336" t="s">
        <v>436</v>
      </c>
      <c r="B44" s="313" t="s">
        <v>198</v>
      </c>
      <c r="C44" s="545"/>
      <c r="D44" s="309" t="s">
        <v>85</v>
      </c>
      <c r="E44" s="309" t="s">
        <v>102</v>
      </c>
      <c r="F44" s="295">
        <v>1</v>
      </c>
      <c r="G44" s="295" t="s">
        <v>511</v>
      </c>
      <c r="H44" s="291">
        <v>50</v>
      </c>
      <c r="I44" s="295">
        <v>1</v>
      </c>
      <c r="J44" s="295">
        <v>50</v>
      </c>
      <c r="K44" s="291">
        <f>I44*J44</f>
        <v>50</v>
      </c>
      <c r="L44" s="11">
        <v>2</v>
      </c>
      <c r="M44" s="11">
        <v>50</v>
      </c>
      <c r="N44" s="1">
        <f>L44*M44</f>
        <v>100</v>
      </c>
      <c r="O44" s="85">
        <v>1</v>
      </c>
      <c r="P44" s="85">
        <v>50</v>
      </c>
      <c r="Q44" s="38">
        <v>50</v>
      </c>
      <c r="R44" s="295" t="s">
        <v>33</v>
      </c>
      <c r="S44" s="295" t="s">
        <v>33</v>
      </c>
      <c r="T44" s="291">
        <v>0</v>
      </c>
      <c r="U44" s="292">
        <f t="shared" si="1"/>
        <v>250</v>
      </c>
    </row>
    <row r="45" spans="1:21" ht="78.75">
      <c r="A45" s="336" t="s">
        <v>437</v>
      </c>
      <c r="B45" s="313" t="s">
        <v>61</v>
      </c>
      <c r="C45" s="300" t="s">
        <v>90</v>
      </c>
      <c r="D45" s="309" t="s">
        <v>85</v>
      </c>
      <c r="E45" s="309" t="s">
        <v>91</v>
      </c>
      <c r="F45" s="295" t="s">
        <v>395</v>
      </c>
      <c r="G45" s="295" t="s">
        <v>270</v>
      </c>
      <c r="H45" s="291">
        <f>96</f>
        <v>96</v>
      </c>
      <c r="I45" s="295" t="s">
        <v>552</v>
      </c>
      <c r="J45" s="295" t="s">
        <v>553</v>
      </c>
      <c r="K45" s="291">
        <f>68-25</f>
        <v>43</v>
      </c>
      <c r="L45" s="13" t="s">
        <v>482</v>
      </c>
      <c r="M45" s="11" t="s">
        <v>583</v>
      </c>
      <c r="N45" s="1">
        <f>53-17</f>
        <v>36</v>
      </c>
      <c r="O45" s="13" t="s">
        <v>482</v>
      </c>
      <c r="P45" s="11" t="s">
        <v>611</v>
      </c>
      <c r="Q45" s="1">
        <v>39</v>
      </c>
      <c r="R45" s="295" t="s">
        <v>33</v>
      </c>
      <c r="S45" s="295" t="s">
        <v>33</v>
      </c>
      <c r="T45" s="291">
        <v>0</v>
      </c>
      <c r="U45" s="292">
        <f>H45+K45+N45+Q45+T45</f>
        <v>214</v>
      </c>
    </row>
    <row r="46" spans="1:21" ht="126">
      <c r="A46" s="336" t="s">
        <v>438</v>
      </c>
      <c r="B46" s="313" t="s">
        <v>234</v>
      </c>
      <c r="C46" s="300" t="s">
        <v>90</v>
      </c>
      <c r="D46" s="309" t="s">
        <v>113</v>
      </c>
      <c r="E46" s="309" t="s">
        <v>102</v>
      </c>
      <c r="F46" s="295" t="s">
        <v>327</v>
      </c>
      <c r="G46" s="295" t="s">
        <v>298</v>
      </c>
      <c r="H46" s="291">
        <f>515*55</f>
        <v>28325</v>
      </c>
      <c r="I46" s="295" t="s">
        <v>546</v>
      </c>
      <c r="J46" s="295" t="s">
        <v>149</v>
      </c>
      <c r="K46" s="291">
        <f>550+341+3564</f>
        <v>4455</v>
      </c>
      <c r="L46" s="11">
        <v>50</v>
      </c>
      <c r="M46" s="11" t="s">
        <v>149</v>
      </c>
      <c r="N46" s="1">
        <v>550</v>
      </c>
      <c r="O46" s="85" t="s">
        <v>33</v>
      </c>
      <c r="P46" s="85" t="s">
        <v>33</v>
      </c>
      <c r="Q46" s="38">
        <v>0</v>
      </c>
      <c r="R46" s="295" t="s">
        <v>33</v>
      </c>
      <c r="S46" s="295" t="s">
        <v>33</v>
      </c>
      <c r="T46" s="291">
        <v>0</v>
      </c>
      <c r="U46" s="292">
        <f>H46+K46+N46+Q46+T46</f>
        <v>33330</v>
      </c>
    </row>
    <row r="47" spans="1:21" ht="63">
      <c r="A47" s="307" t="s">
        <v>439</v>
      </c>
      <c r="B47" s="308" t="s">
        <v>122</v>
      </c>
      <c r="C47" s="304" t="s">
        <v>99</v>
      </c>
      <c r="D47" s="309" t="s">
        <v>85</v>
      </c>
      <c r="E47" s="309" t="s">
        <v>5</v>
      </c>
      <c r="F47" s="295" t="s">
        <v>410</v>
      </c>
      <c r="G47" s="337" t="s">
        <v>383</v>
      </c>
      <c r="H47" s="291">
        <f>387-2.2</f>
        <v>384.8</v>
      </c>
      <c r="I47" s="295" t="s">
        <v>541</v>
      </c>
      <c r="J47" s="314" t="s">
        <v>561</v>
      </c>
      <c r="K47" s="291">
        <f>387-24.9</f>
        <v>362.1</v>
      </c>
      <c r="L47" s="11" t="s">
        <v>589</v>
      </c>
      <c r="M47" s="84" t="s">
        <v>588</v>
      </c>
      <c r="N47" s="1">
        <f>387-8</f>
        <v>379</v>
      </c>
      <c r="O47" s="85" t="s">
        <v>33</v>
      </c>
      <c r="P47" s="85" t="s">
        <v>33</v>
      </c>
      <c r="Q47" s="38">
        <v>0</v>
      </c>
      <c r="R47" s="295" t="s">
        <v>33</v>
      </c>
      <c r="S47" s="295" t="s">
        <v>33</v>
      </c>
      <c r="T47" s="291">
        <v>0</v>
      </c>
      <c r="U47" s="292">
        <f t="shared" si="1"/>
        <v>1125.9000000000001</v>
      </c>
    </row>
    <row r="48" spans="1:21" ht="94.5">
      <c r="A48" s="307" t="s">
        <v>440</v>
      </c>
      <c r="B48" s="338" t="s">
        <v>220</v>
      </c>
      <c r="C48" s="304" t="s">
        <v>192</v>
      </c>
      <c r="D48" s="339" t="s">
        <v>85</v>
      </c>
      <c r="E48" s="339" t="s">
        <v>91</v>
      </c>
      <c r="F48" s="340">
        <v>75</v>
      </c>
      <c r="G48" s="340" t="s">
        <v>464</v>
      </c>
      <c r="H48" s="341">
        <v>1248</v>
      </c>
      <c r="I48" s="340" t="s">
        <v>33</v>
      </c>
      <c r="J48" s="340" t="s">
        <v>33</v>
      </c>
      <c r="K48" s="341">
        <v>0</v>
      </c>
      <c r="L48" s="391" t="s">
        <v>33</v>
      </c>
      <c r="M48" s="391" t="s">
        <v>33</v>
      </c>
      <c r="N48" s="392">
        <v>0</v>
      </c>
      <c r="O48" s="190" t="s">
        <v>33</v>
      </c>
      <c r="P48" s="190" t="s">
        <v>33</v>
      </c>
      <c r="Q48" s="191">
        <v>0</v>
      </c>
      <c r="R48" s="340" t="s">
        <v>33</v>
      </c>
      <c r="S48" s="340" t="s">
        <v>33</v>
      </c>
      <c r="T48" s="341">
        <v>0</v>
      </c>
      <c r="U48" s="292">
        <f>H48+K48+N48+Q48+T48</f>
        <v>1248</v>
      </c>
    </row>
    <row r="49" spans="1:23" s="324" customFormat="1" ht="30" customHeight="1">
      <c r="A49" s="529" t="s">
        <v>101</v>
      </c>
      <c r="B49" s="530"/>
      <c r="C49" s="530"/>
      <c r="D49" s="530"/>
      <c r="E49" s="530"/>
      <c r="F49" s="319"/>
      <c r="G49" s="320"/>
      <c r="H49" s="321">
        <f>H50+H51</f>
        <v>38121.800000000003</v>
      </c>
      <c r="I49" s="322"/>
      <c r="J49" s="323"/>
      <c r="K49" s="321">
        <f>K50+K51</f>
        <v>11573.1</v>
      </c>
      <c r="L49" s="44"/>
      <c r="M49" s="45"/>
      <c r="N49" s="43">
        <f>N50+N51</f>
        <v>7008</v>
      </c>
      <c r="O49" s="231"/>
      <c r="P49" s="231"/>
      <c r="Q49" s="231">
        <f>SUM(Q34:Q48)</f>
        <v>6339</v>
      </c>
      <c r="R49" s="321"/>
      <c r="S49" s="321"/>
      <c r="T49" s="321">
        <f>T50+T51</f>
        <v>0</v>
      </c>
      <c r="U49" s="321">
        <f t="shared" si="1"/>
        <v>63041.9</v>
      </c>
    </row>
    <row r="50" spans="1:23" s="324" customFormat="1" ht="30" customHeight="1">
      <c r="A50" s="546" t="s">
        <v>6</v>
      </c>
      <c r="B50" s="547"/>
      <c r="C50" s="383"/>
      <c r="D50" s="383"/>
      <c r="E50" s="383"/>
      <c r="F50" s="319"/>
      <c r="G50" s="320"/>
      <c r="H50" s="335">
        <f>H47</f>
        <v>384.8</v>
      </c>
      <c r="I50" s="333"/>
      <c r="J50" s="334"/>
      <c r="K50" s="335">
        <f>K47</f>
        <v>362.1</v>
      </c>
      <c r="L50" s="52"/>
      <c r="M50" s="53"/>
      <c r="N50" s="54">
        <f>N47</f>
        <v>379</v>
      </c>
      <c r="O50" s="245"/>
      <c r="P50" s="245"/>
      <c r="Q50" s="245">
        <f>Q47</f>
        <v>0</v>
      </c>
      <c r="R50" s="321"/>
      <c r="S50" s="321"/>
      <c r="T50" s="335">
        <f>T47</f>
        <v>0</v>
      </c>
      <c r="U50" s="335">
        <f t="shared" si="1"/>
        <v>1125.9000000000001</v>
      </c>
    </row>
    <row r="51" spans="1:23" ht="30" customHeight="1">
      <c r="A51" s="519" t="s">
        <v>95</v>
      </c>
      <c r="B51" s="519"/>
      <c r="C51" s="519"/>
      <c r="D51" s="519"/>
      <c r="E51" s="519"/>
      <c r="F51" s="325"/>
      <c r="G51" s="326"/>
      <c r="H51" s="327">
        <f>H34+H35+H36+H37+H38+H39+H40+H41+H42+H43+H44+H45+H46+H48</f>
        <v>37737</v>
      </c>
      <c r="I51" s="328"/>
      <c r="J51" s="328"/>
      <c r="K51" s="327">
        <f>K34+K35+K36+K37+K38+K39+K40+K41+K42+K43+K44+K45+K46+K48</f>
        <v>11211</v>
      </c>
      <c r="L51" s="49"/>
      <c r="M51" s="49"/>
      <c r="N51" s="48">
        <f>N34+N35+N36+N37+N38+N39+N40+N41+N42+N43+N44+N45+N46+N48</f>
        <v>6629</v>
      </c>
      <c r="O51" s="236"/>
      <c r="P51" s="236"/>
      <c r="Q51" s="236">
        <f>Q34+Q35+Q36+Q37+Q38+Q39+Q40+Q41+Q42+Q43+Q44+Q45+Q46+Q47+Q48</f>
        <v>6339</v>
      </c>
      <c r="R51" s="327"/>
      <c r="S51" s="327"/>
      <c r="T51" s="327">
        <f>T34+T35+T36+T37+T38+T39+T40+T41+T42+T43+T44+T45+T46+T48</f>
        <v>0</v>
      </c>
      <c r="U51" s="335">
        <f>SUM(H51:T51)</f>
        <v>61916</v>
      </c>
    </row>
    <row r="52" spans="1:23" ht="30" customHeight="1">
      <c r="A52" s="342" t="s">
        <v>517</v>
      </c>
      <c r="B52" s="534" t="s">
        <v>441</v>
      </c>
      <c r="C52" s="535"/>
      <c r="D52" s="535"/>
      <c r="E52" s="535"/>
      <c r="F52" s="535"/>
      <c r="G52" s="535"/>
      <c r="H52" s="535"/>
      <c r="I52" s="535"/>
      <c r="J52" s="535"/>
      <c r="K52" s="535"/>
      <c r="L52" s="535"/>
      <c r="M52" s="535"/>
      <c r="N52" s="535"/>
      <c r="O52" s="535"/>
      <c r="P52" s="535"/>
      <c r="Q52" s="535"/>
      <c r="R52" s="535"/>
      <c r="S52" s="535"/>
      <c r="T52" s="535"/>
      <c r="U52" s="536"/>
    </row>
    <row r="53" spans="1:23" ht="66" customHeight="1">
      <c r="A53" s="307" t="s">
        <v>39</v>
      </c>
      <c r="B53" s="313" t="s">
        <v>203</v>
      </c>
      <c r="C53" s="304" t="s">
        <v>90</v>
      </c>
      <c r="D53" s="309" t="s">
        <v>85</v>
      </c>
      <c r="E53" s="309" t="s">
        <v>518</v>
      </c>
      <c r="F53" s="295" t="s">
        <v>124</v>
      </c>
      <c r="G53" s="295" t="s">
        <v>123</v>
      </c>
      <c r="H53" s="291">
        <f>700</f>
        <v>700</v>
      </c>
      <c r="I53" s="295" t="s">
        <v>569</v>
      </c>
      <c r="J53" s="295" t="s">
        <v>123</v>
      </c>
      <c r="K53" s="291">
        <f>600-102</f>
        <v>498</v>
      </c>
      <c r="L53" s="11" t="s">
        <v>584</v>
      </c>
      <c r="M53" s="11" t="s">
        <v>123</v>
      </c>
      <c r="N53" s="1">
        <f>600-46</f>
        <v>554</v>
      </c>
      <c r="O53" s="11" t="s">
        <v>612</v>
      </c>
      <c r="P53" s="11" t="s">
        <v>123</v>
      </c>
      <c r="Q53" s="1">
        <v>555</v>
      </c>
      <c r="R53" s="340" t="s">
        <v>33</v>
      </c>
      <c r="S53" s="340" t="s">
        <v>33</v>
      </c>
      <c r="T53" s="341">
        <v>0</v>
      </c>
      <c r="U53" s="292">
        <f>H53+K53+N53+Q53+T53</f>
        <v>2307</v>
      </c>
    </row>
    <row r="54" spans="1:23" s="324" customFormat="1" ht="30" customHeight="1">
      <c r="A54" s="529" t="s">
        <v>114</v>
      </c>
      <c r="B54" s="530"/>
      <c r="C54" s="530"/>
      <c r="D54" s="530"/>
      <c r="E54" s="530"/>
      <c r="F54" s="319"/>
      <c r="G54" s="320"/>
      <c r="H54" s="321">
        <f>SUM(H55:H55)</f>
        <v>700</v>
      </c>
      <c r="I54" s="322"/>
      <c r="J54" s="323"/>
      <c r="K54" s="321">
        <f>SUM(K55:K55)</f>
        <v>498</v>
      </c>
      <c r="L54" s="44"/>
      <c r="M54" s="45"/>
      <c r="N54" s="43">
        <f>SUM(N55:N55)</f>
        <v>554</v>
      </c>
      <c r="O54" s="231"/>
      <c r="P54" s="231"/>
      <c r="Q54" s="231">
        <f>SUM(Q55:Q55)</f>
        <v>555</v>
      </c>
      <c r="R54" s="321"/>
      <c r="S54" s="321"/>
      <c r="T54" s="321">
        <f>SUM(T55:T55)</f>
        <v>0</v>
      </c>
      <c r="U54" s="321">
        <f>H54+K54+N54+Q54+T54</f>
        <v>2307</v>
      </c>
    </row>
    <row r="55" spans="1:23" ht="30" customHeight="1">
      <c r="A55" s="519" t="s">
        <v>95</v>
      </c>
      <c r="B55" s="519"/>
      <c r="C55" s="519"/>
      <c r="D55" s="519"/>
      <c r="E55" s="519"/>
      <c r="F55" s="325"/>
      <c r="G55" s="326"/>
      <c r="H55" s="327">
        <f>SUM(H53:H53)</f>
        <v>700</v>
      </c>
      <c r="I55" s="328"/>
      <c r="J55" s="328"/>
      <c r="K55" s="327">
        <f>SUM(K53:K53)</f>
        <v>498</v>
      </c>
      <c r="L55" s="49"/>
      <c r="M55" s="49"/>
      <c r="N55" s="48">
        <f>SUM(N53:N53)</f>
        <v>554</v>
      </c>
      <c r="O55" s="236"/>
      <c r="P55" s="236"/>
      <c r="Q55" s="236">
        <f>SUM(Q53:Q53)</f>
        <v>555</v>
      </c>
      <c r="R55" s="327"/>
      <c r="S55" s="327"/>
      <c r="T55" s="327">
        <f>SUM(T53:T53)</f>
        <v>0</v>
      </c>
      <c r="U55" s="335">
        <f>H55+K55+N55+Q55+T55</f>
        <v>2307</v>
      </c>
    </row>
    <row r="56" spans="1:23" ht="30" customHeight="1">
      <c r="A56" s="342" t="s">
        <v>519</v>
      </c>
      <c r="B56" s="537" t="s">
        <v>442</v>
      </c>
      <c r="C56" s="537"/>
      <c r="D56" s="537"/>
      <c r="E56" s="537"/>
      <c r="F56" s="537"/>
      <c r="G56" s="537"/>
      <c r="H56" s="537"/>
      <c r="I56" s="537"/>
      <c r="J56" s="537"/>
      <c r="K56" s="537"/>
      <c r="L56" s="537"/>
      <c r="M56" s="537"/>
      <c r="N56" s="537"/>
      <c r="O56" s="537"/>
      <c r="P56" s="537"/>
      <c r="Q56" s="537"/>
      <c r="R56" s="537"/>
      <c r="S56" s="537"/>
      <c r="T56" s="537"/>
      <c r="U56" s="537"/>
    </row>
    <row r="57" spans="1:23" ht="30" customHeight="1">
      <c r="A57" s="538" t="s">
        <v>64</v>
      </c>
      <c r="B57" s="540" t="s">
        <v>544</v>
      </c>
      <c r="C57" s="331" t="s">
        <v>528</v>
      </c>
      <c r="D57" s="309" t="s">
        <v>85</v>
      </c>
      <c r="E57" s="309" t="s">
        <v>91</v>
      </c>
      <c r="F57" s="295" t="s">
        <v>405</v>
      </c>
      <c r="G57" s="295" t="s">
        <v>152</v>
      </c>
      <c r="H57" s="291">
        <f>1656-207</f>
        <v>1449</v>
      </c>
      <c r="I57" s="302" t="s">
        <v>33</v>
      </c>
      <c r="J57" s="343" t="s">
        <v>33</v>
      </c>
      <c r="K57" s="343">
        <v>0</v>
      </c>
      <c r="L57" s="30" t="s">
        <v>33</v>
      </c>
      <c r="M57" s="393" t="s">
        <v>33</v>
      </c>
      <c r="N57" s="393">
        <v>0</v>
      </c>
      <c r="O57" s="220" t="s">
        <v>33</v>
      </c>
      <c r="P57" s="278" t="s">
        <v>33</v>
      </c>
      <c r="Q57" s="278">
        <v>0</v>
      </c>
      <c r="R57" s="302" t="s">
        <v>33</v>
      </c>
      <c r="S57" s="343" t="s">
        <v>33</v>
      </c>
      <c r="T57" s="343">
        <v>0</v>
      </c>
      <c r="U57" s="344">
        <f>H57+K57+N57+Q57+T57</f>
        <v>1449</v>
      </c>
    </row>
    <row r="58" spans="1:23" ht="70.5" customHeight="1">
      <c r="A58" s="539"/>
      <c r="B58" s="541"/>
      <c r="C58" s="309" t="s">
        <v>529</v>
      </c>
      <c r="D58" s="309" t="s">
        <v>85</v>
      </c>
      <c r="E58" s="309" t="s">
        <v>91</v>
      </c>
      <c r="F58" s="345" t="s">
        <v>33</v>
      </c>
      <c r="G58" s="295">
        <v>0</v>
      </c>
      <c r="H58" s="295"/>
      <c r="I58" s="295" t="s">
        <v>534</v>
      </c>
      <c r="J58" s="295" t="s">
        <v>562</v>
      </c>
      <c r="K58" s="291">
        <f>1437-237-350</f>
        <v>850</v>
      </c>
      <c r="L58" s="11" t="s">
        <v>613</v>
      </c>
      <c r="M58" s="11" t="s">
        <v>585</v>
      </c>
      <c r="N58" s="1">
        <f>1437-175-3-262</f>
        <v>997</v>
      </c>
      <c r="O58" s="85" t="s">
        <v>534</v>
      </c>
      <c r="P58" s="85" t="s">
        <v>614</v>
      </c>
      <c r="Q58" s="38">
        <v>2022</v>
      </c>
      <c r="R58" s="85" t="s">
        <v>534</v>
      </c>
      <c r="S58" s="85" t="s">
        <v>614</v>
      </c>
      <c r="T58" s="38">
        <v>2022</v>
      </c>
      <c r="U58" s="292">
        <f>G58+K58+N58+Q58+T58</f>
        <v>5891</v>
      </c>
    </row>
    <row r="59" spans="1:23" ht="192.75" customHeight="1">
      <c r="A59" s="307" t="s">
        <v>443</v>
      </c>
      <c r="B59" s="313" t="s">
        <v>543</v>
      </c>
      <c r="C59" s="309" t="s">
        <v>99</v>
      </c>
      <c r="D59" s="309" t="s">
        <v>85</v>
      </c>
      <c r="E59" s="309" t="s">
        <v>3</v>
      </c>
      <c r="F59" s="295" t="s">
        <v>397</v>
      </c>
      <c r="G59" s="295" t="s">
        <v>302</v>
      </c>
      <c r="H59" s="291">
        <f>86-31</f>
        <v>55</v>
      </c>
      <c r="I59" s="295" t="s">
        <v>563</v>
      </c>
      <c r="J59" s="295" t="s">
        <v>556</v>
      </c>
      <c r="K59" s="291">
        <f>70-9.5</f>
        <v>60.5</v>
      </c>
      <c r="L59" s="11" t="s">
        <v>545</v>
      </c>
      <c r="M59" s="11" t="s">
        <v>570</v>
      </c>
      <c r="N59" s="1">
        <f>153-18.8+3-3</f>
        <v>134.19999999999999</v>
      </c>
      <c r="O59" s="85" t="s">
        <v>615</v>
      </c>
      <c r="P59" s="85" t="s">
        <v>616</v>
      </c>
      <c r="Q59" s="38">
        <v>146</v>
      </c>
      <c r="R59" s="85" t="s">
        <v>615</v>
      </c>
      <c r="S59" s="85" t="s">
        <v>616</v>
      </c>
      <c r="T59" s="38">
        <v>146</v>
      </c>
      <c r="U59" s="292">
        <f>H59+K59+N59+Q59+T59</f>
        <v>541.70000000000005</v>
      </c>
    </row>
    <row r="60" spans="1:23" s="324" customFormat="1" ht="30" customHeight="1">
      <c r="A60" s="529" t="s">
        <v>567</v>
      </c>
      <c r="B60" s="530"/>
      <c r="C60" s="530"/>
      <c r="D60" s="530"/>
      <c r="E60" s="530"/>
      <c r="F60" s="319"/>
      <c r="G60" s="320"/>
      <c r="H60" s="321">
        <f>SUM(H61:H62)</f>
        <v>1504</v>
      </c>
      <c r="I60" s="322"/>
      <c r="J60" s="323"/>
      <c r="K60" s="321">
        <f>SUM(K61:K62)</f>
        <v>910.5</v>
      </c>
      <c r="L60" s="44"/>
      <c r="M60" s="45"/>
      <c r="N60" s="43">
        <f>N61+N62</f>
        <v>1131.2</v>
      </c>
      <c r="O60" s="231"/>
      <c r="P60" s="231"/>
      <c r="Q60" s="231">
        <f>Q62</f>
        <v>2168</v>
      </c>
      <c r="R60" s="321"/>
      <c r="S60" s="321"/>
      <c r="T60" s="321">
        <f>SUM(T61:T62)</f>
        <v>2168</v>
      </c>
      <c r="U60" s="321">
        <f>H60+K60+N60+Q60+T60</f>
        <v>7881.7</v>
      </c>
    </row>
    <row r="61" spans="1:23" ht="30" customHeight="1">
      <c r="A61" s="519" t="s">
        <v>95</v>
      </c>
      <c r="B61" s="519"/>
      <c r="C61" s="519"/>
      <c r="D61" s="519"/>
      <c r="E61" s="519"/>
      <c r="F61" s="325"/>
      <c r="G61" s="326"/>
      <c r="H61" s="327">
        <f>SUM(H57,)</f>
        <v>1449</v>
      </c>
      <c r="I61" s="328"/>
      <c r="J61" s="328"/>
      <c r="K61" s="327">
        <v>0</v>
      </c>
      <c r="L61" s="49"/>
      <c r="M61" s="49"/>
      <c r="N61" s="48">
        <v>0</v>
      </c>
      <c r="O61" s="236"/>
      <c r="P61" s="236"/>
      <c r="Q61" s="236">
        <v>0</v>
      </c>
      <c r="R61" s="327"/>
      <c r="S61" s="327"/>
      <c r="T61" s="327">
        <v>0</v>
      </c>
      <c r="U61" s="335">
        <f>H61+K61+N61+Q61+T61</f>
        <v>1449</v>
      </c>
    </row>
    <row r="62" spans="1:23" ht="30" customHeight="1">
      <c r="A62" s="519" t="s">
        <v>6</v>
      </c>
      <c r="B62" s="519"/>
      <c r="C62" s="519"/>
      <c r="D62" s="519"/>
      <c r="E62" s="519"/>
      <c r="F62" s="325"/>
      <c r="G62" s="326"/>
      <c r="H62" s="327">
        <f>H59</f>
        <v>55</v>
      </c>
      <c r="I62" s="328"/>
      <c r="J62" s="328"/>
      <c r="K62" s="327">
        <f>K58+K59</f>
        <v>910.5</v>
      </c>
      <c r="L62" s="49"/>
      <c r="M62" s="49"/>
      <c r="N62" s="48">
        <f>N58+N59</f>
        <v>1131.2</v>
      </c>
      <c r="O62" s="236"/>
      <c r="P62" s="236"/>
      <c r="Q62" s="236">
        <f>Q58+Q59</f>
        <v>2168</v>
      </c>
      <c r="R62" s="327"/>
      <c r="S62" s="327"/>
      <c r="T62" s="327">
        <f>T58+T59</f>
        <v>2168</v>
      </c>
      <c r="U62" s="335">
        <f>H62+K62+N62+Q62+2168</f>
        <v>6432.7</v>
      </c>
    </row>
    <row r="63" spans="1:23" ht="30" customHeight="1">
      <c r="A63" s="346" t="s">
        <v>444</v>
      </c>
      <c r="B63" s="520" t="s">
        <v>521</v>
      </c>
      <c r="C63" s="521"/>
      <c r="D63" s="521"/>
      <c r="E63" s="521"/>
      <c r="F63" s="521"/>
      <c r="G63" s="521"/>
      <c r="H63" s="521"/>
      <c r="I63" s="521"/>
      <c r="J63" s="521"/>
      <c r="K63" s="521"/>
      <c r="L63" s="521"/>
      <c r="M63" s="521"/>
      <c r="N63" s="521"/>
      <c r="O63" s="521"/>
      <c r="P63" s="521"/>
      <c r="Q63" s="521"/>
      <c r="R63" s="521"/>
      <c r="S63" s="521"/>
      <c r="T63" s="521"/>
      <c r="U63" s="521"/>
    </row>
    <row r="64" spans="1:23" ht="102.75" customHeight="1">
      <c r="A64" s="347" t="s">
        <v>446</v>
      </c>
      <c r="B64" s="348" t="s">
        <v>193</v>
      </c>
      <c r="C64" s="304" t="s">
        <v>8</v>
      </c>
      <c r="D64" s="300" t="s">
        <v>85</v>
      </c>
      <c r="E64" s="292" t="s">
        <v>91</v>
      </c>
      <c r="F64" s="295" t="s">
        <v>158</v>
      </c>
      <c r="G64" s="295" t="s">
        <v>466</v>
      </c>
      <c r="H64" s="293">
        <f>409+357</f>
        <v>766</v>
      </c>
      <c r="I64" s="295" t="s">
        <v>158</v>
      </c>
      <c r="J64" s="295" t="s">
        <v>466</v>
      </c>
      <c r="K64" s="293">
        <f>655-27</f>
        <v>628</v>
      </c>
      <c r="L64" s="11" t="s">
        <v>158</v>
      </c>
      <c r="M64" s="11" t="s">
        <v>466</v>
      </c>
      <c r="N64" s="1">
        <f>533-23.2+34-35</f>
        <v>508.79999999999995</v>
      </c>
      <c r="O64" s="11" t="s">
        <v>158</v>
      </c>
      <c r="P64" s="11" t="s">
        <v>466</v>
      </c>
      <c r="Q64" s="1">
        <v>503</v>
      </c>
      <c r="R64" s="295" t="s">
        <v>33</v>
      </c>
      <c r="S64" s="306" t="s">
        <v>33</v>
      </c>
      <c r="T64" s="291">
        <v>0</v>
      </c>
      <c r="U64" s="292">
        <f>H64+K64+N64+Q64+T64</f>
        <v>2405.8000000000002</v>
      </c>
      <c r="V64" s="296" t="s">
        <v>219</v>
      </c>
      <c r="W64" s="296" t="s">
        <v>218</v>
      </c>
    </row>
    <row r="65" spans="1:21" s="324" customFormat="1" ht="16.5">
      <c r="A65" s="529" t="s">
        <v>2</v>
      </c>
      <c r="B65" s="530"/>
      <c r="C65" s="530"/>
      <c r="D65" s="530"/>
      <c r="E65" s="530"/>
      <c r="F65" s="319"/>
      <c r="G65" s="320"/>
      <c r="H65" s="321">
        <f>SUM(H66:H66)</f>
        <v>766</v>
      </c>
      <c r="I65" s="322"/>
      <c r="J65" s="323"/>
      <c r="K65" s="321">
        <f>SUM(K66:K66)</f>
        <v>628</v>
      </c>
      <c r="L65" s="44"/>
      <c r="M65" s="45"/>
      <c r="N65" s="43" t="s">
        <v>564</v>
      </c>
      <c r="O65" s="231"/>
      <c r="P65" s="231"/>
      <c r="Q65" s="231">
        <f>SUM(Q66:Q66)</f>
        <v>503</v>
      </c>
      <c r="R65" s="321"/>
      <c r="S65" s="321"/>
      <c r="T65" s="321">
        <f>SUM(T66:T66)</f>
        <v>0</v>
      </c>
      <c r="U65" s="321">
        <f>U66</f>
        <v>2405.8000000000002</v>
      </c>
    </row>
    <row r="66" spans="1:21" ht="16.5">
      <c r="A66" s="519" t="s">
        <v>95</v>
      </c>
      <c r="B66" s="519"/>
      <c r="C66" s="519"/>
      <c r="D66" s="519"/>
      <c r="E66" s="519"/>
      <c r="F66" s="325"/>
      <c r="G66" s="326"/>
      <c r="H66" s="327">
        <f>SUM(H63:H64)</f>
        <v>766</v>
      </c>
      <c r="I66" s="328"/>
      <c r="J66" s="328"/>
      <c r="K66" s="327">
        <f>SUM(K63:K64)</f>
        <v>628</v>
      </c>
      <c r="L66" s="49"/>
      <c r="M66" s="49"/>
      <c r="N66" s="48">
        <f>SUM(N63:N64)</f>
        <v>508.79999999999995</v>
      </c>
      <c r="O66" s="236"/>
      <c r="P66" s="236"/>
      <c r="Q66" s="236">
        <f>SUM(Q63:Q64)</f>
        <v>503</v>
      </c>
      <c r="R66" s="327"/>
      <c r="S66" s="327"/>
      <c r="T66" s="327">
        <f>SUM(T63:T64)</f>
        <v>0</v>
      </c>
      <c r="U66" s="335">
        <f>H66+K66+N66+Q66+T66</f>
        <v>2405.8000000000002</v>
      </c>
    </row>
    <row r="67" spans="1:21" ht="18.75">
      <c r="A67" s="349" t="s">
        <v>447</v>
      </c>
      <c r="B67" s="520" t="s">
        <v>522</v>
      </c>
      <c r="C67" s="527"/>
      <c r="D67" s="527"/>
      <c r="E67" s="527"/>
      <c r="F67" s="527"/>
      <c r="G67" s="527"/>
      <c r="H67" s="527"/>
      <c r="I67" s="527"/>
      <c r="J67" s="527"/>
      <c r="K67" s="527"/>
      <c r="L67" s="527"/>
      <c r="M67" s="527"/>
      <c r="N67" s="527"/>
      <c r="O67" s="527"/>
      <c r="P67" s="527"/>
      <c r="Q67" s="527"/>
      <c r="R67" s="527"/>
      <c r="S67" s="527"/>
      <c r="T67" s="527"/>
      <c r="U67" s="528"/>
    </row>
    <row r="68" spans="1:21" ht="126">
      <c r="A68" s="307" t="s">
        <v>68</v>
      </c>
      <c r="B68" s="315" t="s">
        <v>199</v>
      </c>
      <c r="C68" s="304" t="s">
        <v>191</v>
      </c>
      <c r="D68" s="304" t="s">
        <v>85</v>
      </c>
      <c r="E68" s="309" t="s">
        <v>91</v>
      </c>
      <c r="F68" s="295" t="s">
        <v>469</v>
      </c>
      <c r="G68" s="295" t="s">
        <v>470</v>
      </c>
      <c r="H68" s="291">
        <f>27786-2500</f>
        <v>25286</v>
      </c>
      <c r="I68" s="295" t="s">
        <v>548</v>
      </c>
      <c r="J68" s="295" t="s">
        <v>549</v>
      </c>
      <c r="K68" s="291">
        <f>40120-110-10229</f>
        <v>29781</v>
      </c>
      <c r="L68" s="11" t="s">
        <v>578</v>
      </c>
      <c r="M68" s="26" t="s">
        <v>586</v>
      </c>
      <c r="N68" s="1">
        <f>29104-2217.6</f>
        <v>26886.400000000001</v>
      </c>
      <c r="O68" s="11" t="s">
        <v>617</v>
      </c>
      <c r="P68" s="26" t="s">
        <v>618</v>
      </c>
      <c r="Q68" s="1">
        <v>28982</v>
      </c>
      <c r="R68" s="295" t="s">
        <v>33</v>
      </c>
      <c r="S68" s="306" t="s">
        <v>33</v>
      </c>
      <c r="T68" s="291">
        <v>0</v>
      </c>
      <c r="U68" s="292">
        <f>H68+K68+N68+Q68+T68</f>
        <v>110935.4</v>
      </c>
    </row>
    <row r="69" spans="1:21" s="324" customFormat="1" ht="16.5">
      <c r="A69" s="529" t="s">
        <v>4</v>
      </c>
      <c r="B69" s="530"/>
      <c r="C69" s="530"/>
      <c r="D69" s="530"/>
      <c r="E69" s="531"/>
      <c r="F69" s="350"/>
      <c r="G69" s="350"/>
      <c r="H69" s="351">
        <f>H70</f>
        <v>25286</v>
      </c>
      <c r="I69" s="350"/>
      <c r="J69" s="350"/>
      <c r="K69" s="351">
        <f>K70</f>
        <v>29781</v>
      </c>
      <c r="L69" s="41"/>
      <c r="M69" s="42"/>
      <c r="N69" s="63">
        <f>N70</f>
        <v>26886.400000000001</v>
      </c>
      <c r="O69" s="257"/>
      <c r="P69" s="257"/>
      <c r="Q69" s="257">
        <f>Q70</f>
        <v>28982</v>
      </c>
      <c r="R69" s="351"/>
      <c r="S69" s="351"/>
      <c r="T69" s="351">
        <f>T70</f>
        <v>0</v>
      </c>
      <c r="U69" s="321">
        <f>H69+K69+N69+Q69+T69</f>
        <v>110935.4</v>
      </c>
    </row>
    <row r="70" spans="1:21" ht="16.5">
      <c r="A70" s="519" t="s">
        <v>95</v>
      </c>
      <c r="B70" s="519"/>
      <c r="C70" s="519"/>
      <c r="D70" s="519"/>
      <c r="E70" s="519"/>
      <c r="F70" s="295"/>
      <c r="G70" s="295"/>
      <c r="H70" s="291">
        <f>H68</f>
        <v>25286</v>
      </c>
      <c r="I70" s="295"/>
      <c r="J70" s="295"/>
      <c r="K70" s="291">
        <f>K68</f>
        <v>29781</v>
      </c>
      <c r="L70" s="46"/>
      <c r="M70" s="47"/>
      <c r="N70" s="1">
        <f>N68</f>
        <v>26886.400000000001</v>
      </c>
      <c r="O70" s="38"/>
      <c r="P70" s="38"/>
      <c r="Q70" s="38">
        <f>Q68</f>
        <v>28982</v>
      </c>
      <c r="R70" s="291"/>
      <c r="S70" s="291"/>
      <c r="T70" s="291">
        <f>T68</f>
        <v>0</v>
      </c>
      <c r="U70" s="335">
        <f>H70+K70+N70+Q70+T70</f>
        <v>110935.4</v>
      </c>
    </row>
    <row r="71" spans="1:21" ht="18.75">
      <c r="A71" s="349" t="s">
        <v>181</v>
      </c>
      <c r="B71" s="520" t="s">
        <v>523</v>
      </c>
      <c r="C71" s="527"/>
      <c r="D71" s="527"/>
      <c r="E71" s="527"/>
      <c r="F71" s="527"/>
      <c r="G71" s="527"/>
      <c r="H71" s="527"/>
      <c r="I71" s="527"/>
      <c r="J71" s="527"/>
      <c r="K71" s="527"/>
      <c r="L71" s="527"/>
      <c r="M71" s="527"/>
      <c r="N71" s="527"/>
      <c r="O71" s="527"/>
      <c r="P71" s="527"/>
      <c r="Q71" s="527"/>
      <c r="R71" s="527"/>
      <c r="S71" s="527"/>
      <c r="T71" s="527"/>
      <c r="U71" s="528"/>
    </row>
    <row r="72" spans="1:21" ht="60">
      <c r="A72" s="336" t="s">
        <v>450</v>
      </c>
      <c r="B72" s="312" t="s">
        <v>162</v>
      </c>
      <c r="C72" s="532" t="s">
        <v>8</v>
      </c>
      <c r="D72" s="304" t="s">
        <v>85</v>
      </c>
      <c r="E72" s="304" t="s">
        <v>91</v>
      </c>
      <c r="F72" s="352" t="s">
        <v>406</v>
      </c>
      <c r="G72" s="353" t="s">
        <v>411</v>
      </c>
      <c r="H72" s="354">
        <f>6486+934</f>
        <v>7420</v>
      </c>
      <c r="I72" s="352" t="s">
        <v>555</v>
      </c>
      <c r="J72" s="353" t="s">
        <v>486</v>
      </c>
      <c r="K72" s="354">
        <f>7350-300-780</f>
        <v>6270</v>
      </c>
      <c r="L72" s="11">
        <v>195</v>
      </c>
      <c r="M72" s="19" t="s">
        <v>486</v>
      </c>
      <c r="N72" s="1">
        <f>7050-390-810</f>
        <v>5850</v>
      </c>
      <c r="O72" s="11">
        <v>222</v>
      </c>
      <c r="P72" s="19" t="s">
        <v>486</v>
      </c>
      <c r="Q72" s="1">
        <v>6660</v>
      </c>
      <c r="R72" s="295" t="s">
        <v>33</v>
      </c>
      <c r="S72" s="306" t="s">
        <v>33</v>
      </c>
      <c r="T72" s="291">
        <v>0</v>
      </c>
      <c r="U72" s="292">
        <f>H72+K72+N72+Q72+T72</f>
        <v>26200</v>
      </c>
    </row>
    <row r="73" spans="1:21" ht="78.75">
      <c r="A73" s="355" t="s">
        <v>451</v>
      </c>
      <c r="B73" s="316" t="s">
        <v>289</v>
      </c>
      <c r="C73" s="533"/>
      <c r="D73" s="309" t="s">
        <v>85</v>
      </c>
      <c r="E73" s="309" t="s">
        <v>91</v>
      </c>
      <c r="F73" s="295" t="s">
        <v>319</v>
      </c>
      <c r="G73" s="295" t="s">
        <v>309</v>
      </c>
      <c r="H73" s="291">
        <v>681</v>
      </c>
      <c r="I73" s="295" t="s">
        <v>554</v>
      </c>
      <c r="J73" s="295" t="s">
        <v>524</v>
      </c>
      <c r="K73" s="291">
        <f>684-126</f>
        <v>558</v>
      </c>
      <c r="L73" s="11" t="s">
        <v>587</v>
      </c>
      <c r="M73" s="11" t="s">
        <v>98</v>
      </c>
      <c r="N73" s="1">
        <f>612-54-60</f>
        <v>498</v>
      </c>
      <c r="O73" s="11" t="s">
        <v>619</v>
      </c>
      <c r="P73" s="11" t="s">
        <v>98</v>
      </c>
      <c r="Q73" s="1">
        <v>540</v>
      </c>
      <c r="R73" s="295" t="s">
        <v>33</v>
      </c>
      <c r="S73" s="306" t="s">
        <v>33</v>
      </c>
      <c r="T73" s="291">
        <v>0</v>
      </c>
      <c r="U73" s="292">
        <f>H73+K73+N73+Q73+T73</f>
        <v>2277</v>
      </c>
    </row>
    <row r="74" spans="1:21" ht="110.25">
      <c r="A74" s="355" t="s">
        <v>452</v>
      </c>
      <c r="B74" s="356" t="s">
        <v>473</v>
      </c>
      <c r="C74" s="357" t="s">
        <v>467</v>
      </c>
      <c r="D74" s="311" t="s">
        <v>85</v>
      </c>
      <c r="E74" s="309" t="s">
        <v>159</v>
      </c>
      <c r="F74" s="295" t="s">
        <v>160</v>
      </c>
      <c r="G74" s="295" t="s">
        <v>161</v>
      </c>
      <c r="H74" s="291">
        <f>774</f>
        <v>774</v>
      </c>
      <c r="I74" s="295" t="s">
        <v>533</v>
      </c>
      <c r="J74" s="295" t="s">
        <v>474</v>
      </c>
      <c r="K74" s="291">
        <v>350</v>
      </c>
      <c r="L74" s="11" t="s">
        <v>565</v>
      </c>
      <c r="M74" s="11" t="s">
        <v>566</v>
      </c>
      <c r="N74" s="1">
        <v>360</v>
      </c>
      <c r="O74" s="11" t="s">
        <v>565</v>
      </c>
      <c r="P74" s="11" t="s">
        <v>566</v>
      </c>
      <c r="Q74" s="1">
        <v>360</v>
      </c>
      <c r="R74" s="295" t="s">
        <v>33</v>
      </c>
      <c r="S74" s="306" t="s">
        <v>33</v>
      </c>
      <c r="T74" s="291">
        <v>0</v>
      </c>
      <c r="U74" s="292">
        <f>H74+K74+N74+Q74+T74</f>
        <v>1844</v>
      </c>
    </row>
    <row r="75" spans="1:21" s="324" customFormat="1" ht="16.5">
      <c r="A75" s="529" t="s">
        <v>7</v>
      </c>
      <c r="B75" s="530"/>
      <c r="C75" s="530"/>
      <c r="D75" s="530"/>
      <c r="E75" s="531"/>
      <c r="F75" s="350"/>
      <c r="G75" s="350"/>
      <c r="H75" s="351">
        <f>H72+H73+H74</f>
        <v>8875</v>
      </c>
      <c r="I75" s="350"/>
      <c r="J75" s="350"/>
      <c r="K75" s="351">
        <f>K72+K73+K74</f>
        <v>7178</v>
      </c>
      <c r="L75" s="41"/>
      <c r="M75" s="42"/>
      <c r="N75" s="63">
        <f>N76</f>
        <v>6708</v>
      </c>
      <c r="O75" s="257"/>
      <c r="P75" s="257"/>
      <c r="Q75" s="257">
        <f>Q72+Q73+Q74</f>
        <v>7560</v>
      </c>
      <c r="R75" s="351"/>
      <c r="S75" s="351"/>
      <c r="T75" s="351">
        <f>T72+T73+T74</f>
        <v>0</v>
      </c>
      <c r="U75" s="321">
        <f>H75+K75+N75+Q75+T75</f>
        <v>30321</v>
      </c>
    </row>
    <row r="76" spans="1:21" ht="16.5">
      <c r="A76" s="519" t="s">
        <v>95</v>
      </c>
      <c r="B76" s="519"/>
      <c r="C76" s="519"/>
      <c r="D76" s="519"/>
      <c r="E76" s="519"/>
      <c r="F76" s="325"/>
      <c r="G76" s="326"/>
      <c r="H76" s="291">
        <f>H72+H73+H74</f>
        <v>8875</v>
      </c>
      <c r="I76" s="295"/>
      <c r="J76" s="295"/>
      <c r="K76" s="291">
        <f>K72+K73+K74</f>
        <v>7178</v>
      </c>
      <c r="L76" s="46"/>
      <c r="M76" s="47"/>
      <c r="N76" s="1">
        <f>N72+N73+N74</f>
        <v>6708</v>
      </c>
      <c r="O76" s="38"/>
      <c r="P76" s="38"/>
      <c r="Q76" s="38">
        <f>Q72+Q73+Q74</f>
        <v>7560</v>
      </c>
      <c r="R76" s="291"/>
      <c r="S76" s="291"/>
      <c r="T76" s="291">
        <f>T72+T73+T74</f>
        <v>0</v>
      </c>
      <c r="U76" s="335">
        <f>H76+K76+N76+Q76+T76</f>
        <v>30321</v>
      </c>
    </row>
    <row r="77" spans="1:21" ht="18.75">
      <c r="A77" s="346" t="s">
        <v>166</v>
      </c>
      <c r="B77" s="520" t="s">
        <v>525</v>
      </c>
      <c r="C77" s="521"/>
      <c r="D77" s="521"/>
      <c r="E77" s="521"/>
      <c r="F77" s="521"/>
      <c r="G77" s="521"/>
      <c r="H77" s="521"/>
      <c r="I77" s="521"/>
      <c r="J77" s="521"/>
      <c r="K77" s="521"/>
      <c r="L77" s="521"/>
      <c r="M77" s="521"/>
      <c r="N77" s="521"/>
      <c r="O77" s="521"/>
      <c r="P77" s="521"/>
      <c r="Q77" s="521"/>
      <c r="R77" s="521"/>
      <c r="S77" s="521"/>
      <c r="T77" s="521"/>
      <c r="U77" s="521"/>
    </row>
    <row r="78" spans="1:21" ht="173.25">
      <c r="A78" s="347" t="s">
        <v>183</v>
      </c>
      <c r="B78" s="315" t="s">
        <v>542</v>
      </c>
      <c r="C78" s="304" t="s">
        <v>6</v>
      </c>
      <c r="D78" s="300" t="s">
        <v>85</v>
      </c>
      <c r="E78" s="292" t="s">
        <v>33</v>
      </c>
      <c r="F78" s="293" t="s">
        <v>33</v>
      </c>
      <c r="G78" s="293" t="s">
        <v>33</v>
      </c>
      <c r="H78" s="293">
        <v>136.19999999999999</v>
      </c>
      <c r="I78" s="293" t="s">
        <v>455</v>
      </c>
      <c r="J78" s="292" t="s">
        <v>33</v>
      </c>
      <c r="K78" s="293">
        <f>142-4.5</f>
        <v>137.5</v>
      </c>
      <c r="L78" s="3" t="s">
        <v>455</v>
      </c>
      <c r="M78" s="2" t="s">
        <v>33</v>
      </c>
      <c r="N78" s="3">
        <f>142-3</f>
        <v>139</v>
      </c>
      <c r="O78" s="195" t="s">
        <v>455</v>
      </c>
      <c r="P78" s="99" t="s">
        <v>33</v>
      </c>
      <c r="Q78" s="195">
        <v>142</v>
      </c>
      <c r="R78" s="293" t="s">
        <v>455</v>
      </c>
      <c r="S78" s="292" t="s">
        <v>33</v>
      </c>
      <c r="T78" s="293">
        <v>142</v>
      </c>
      <c r="U78" s="292">
        <f>H78+K78+N78+Q78+T78</f>
        <v>696.7</v>
      </c>
    </row>
    <row r="79" spans="1:21" s="324" customFormat="1" ht="16.5">
      <c r="A79" s="522" t="s">
        <v>456</v>
      </c>
      <c r="B79" s="523"/>
      <c r="C79" s="523"/>
      <c r="D79" s="523"/>
      <c r="E79" s="524"/>
      <c r="F79" s="388"/>
      <c r="G79" s="388"/>
      <c r="H79" s="388">
        <f>H78</f>
        <v>136.19999999999999</v>
      </c>
      <c r="I79" s="388"/>
      <c r="J79" s="388"/>
      <c r="K79" s="388">
        <f>K78</f>
        <v>137.5</v>
      </c>
      <c r="L79" s="377"/>
      <c r="M79" s="377"/>
      <c r="N79" s="377">
        <f>N78</f>
        <v>139</v>
      </c>
      <c r="O79" s="380"/>
      <c r="P79" s="380"/>
      <c r="Q79" s="380">
        <f>Q78</f>
        <v>142</v>
      </c>
      <c r="R79" s="388"/>
      <c r="S79" s="388"/>
      <c r="T79" s="388">
        <f>T78</f>
        <v>142</v>
      </c>
      <c r="U79" s="358">
        <f>H79+K79+N79+Q79+T79</f>
        <v>696.7</v>
      </c>
    </row>
    <row r="80" spans="1:21" ht="16.5">
      <c r="A80" s="359" t="s">
        <v>6</v>
      </c>
      <c r="B80" s="360"/>
      <c r="C80" s="361"/>
      <c r="D80" s="362"/>
      <c r="E80" s="363"/>
      <c r="F80" s="293"/>
      <c r="G80" s="291"/>
      <c r="H80" s="291">
        <f>H78</f>
        <v>136.19999999999999</v>
      </c>
      <c r="I80" s="291"/>
      <c r="J80" s="292"/>
      <c r="K80" s="293">
        <f>K78</f>
        <v>137.5</v>
      </c>
      <c r="L80" s="1"/>
      <c r="M80" s="2"/>
      <c r="N80" s="3">
        <f>N78</f>
        <v>139</v>
      </c>
      <c r="O80" s="38"/>
      <c r="P80" s="99"/>
      <c r="Q80" s="195">
        <f>Q78</f>
        <v>142</v>
      </c>
      <c r="R80" s="291"/>
      <c r="S80" s="292"/>
      <c r="T80" s="293">
        <f>T78</f>
        <v>142</v>
      </c>
      <c r="U80" s="292">
        <f>U78</f>
        <v>696.7</v>
      </c>
    </row>
    <row r="81" spans="1:21" s="324" customFormat="1" ht="18.75">
      <c r="A81" s="359" t="s">
        <v>70</v>
      </c>
      <c r="B81" s="520" t="s">
        <v>526</v>
      </c>
      <c r="C81" s="521"/>
      <c r="D81" s="521"/>
      <c r="E81" s="521"/>
      <c r="F81" s="521"/>
      <c r="G81" s="521"/>
      <c r="H81" s="521"/>
      <c r="I81" s="521"/>
      <c r="J81" s="521"/>
      <c r="K81" s="521"/>
      <c r="L81" s="521"/>
      <c r="M81" s="521"/>
      <c r="N81" s="521"/>
      <c r="O81" s="521"/>
      <c r="P81" s="521"/>
      <c r="Q81" s="521"/>
      <c r="R81" s="521"/>
      <c r="S81" s="521"/>
      <c r="T81" s="521"/>
      <c r="U81" s="521"/>
    </row>
    <row r="82" spans="1:21" s="324" customFormat="1" ht="148.5">
      <c r="A82" s="364" t="s">
        <v>167</v>
      </c>
      <c r="B82" s="365" t="s">
        <v>263</v>
      </c>
      <c r="C82" s="365" t="s">
        <v>205</v>
      </c>
      <c r="D82" s="309" t="s">
        <v>85</v>
      </c>
      <c r="E82" s="309" t="s">
        <v>91</v>
      </c>
      <c r="F82" s="295" t="s">
        <v>303</v>
      </c>
      <c r="G82" s="295" t="s">
        <v>240</v>
      </c>
      <c r="H82" s="366">
        <v>500</v>
      </c>
      <c r="I82" s="295" t="s">
        <v>146</v>
      </c>
      <c r="J82" s="295" t="s">
        <v>110</v>
      </c>
      <c r="K82" s="366">
        <f>24-12</f>
        <v>12</v>
      </c>
      <c r="L82" s="11" t="s">
        <v>33</v>
      </c>
      <c r="M82" s="26" t="s">
        <v>33</v>
      </c>
      <c r="N82" s="1">
        <v>0</v>
      </c>
      <c r="O82" s="85" t="s">
        <v>33</v>
      </c>
      <c r="P82" s="225" t="s">
        <v>33</v>
      </c>
      <c r="Q82" s="38">
        <v>0</v>
      </c>
      <c r="R82" s="295" t="s">
        <v>33</v>
      </c>
      <c r="S82" s="306" t="s">
        <v>33</v>
      </c>
      <c r="T82" s="291">
        <v>0</v>
      </c>
      <c r="U82" s="292">
        <f>H82+K82+N82+Q82+T82</f>
        <v>512</v>
      </c>
    </row>
    <row r="83" spans="1:21" s="324" customFormat="1" ht="115.5">
      <c r="A83" s="364" t="s">
        <v>184</v>
      </c>
      <c r="B83" s="365" t="s">
        <v>246</v>
      </c>
      <c r="C83" s="365" t="s">
        <v>205</v>
      </c>
      <c r="D83" s="309" t="s">
        <v>85</v>
      </c>
      <c r="E83" s="309" t="s">
        <v>91</v>
      </c>
      <c r="F83" s="295" t="s">
        <v>242</v>
      </c>
      <c r="G83" s="295" t="s">
        <v>292</v>
      </c>
      <c r="H83" s="293">
        <v>2880</v>
      </c>
      <c r="I83" s="295" t="s">
        <v>242</v>
      </c>
      <c r="J83" s="295" t="s">
        <v>292</v>
      </c>
      <c r="K83" s="293">
        <f>2880-150</f>
        <v>2730</v>
      </c>
      <c r="L83" s="11" t="s">
        <v>33</v>
      </c>
      <c r="M83" s="26" t="s">
        <v>33</v>
      </c>
      <c r="N83" s="1">
        <v>0</v>
      </c>
      <c r="O83" s="85" t="s">
        <v>33</v>
      </c>
      <c r="P83" s="225" t="s">
        <v>33</v>
      </c>
      <c r="Q83" s="38">
        <v>0</v>
      </c>
      <c r="R83" s="295" t="s">
        <v>33</v>
      </c>
      <c r="S83" s="306" t="s">
        <v>33</v>
      </c>
      <c r="T83" s="291">
        <v>0</v>
      </c>
      <c r="U83" s="292">
        <f>H83+K83+N83+Q83+T83</f>
        <v>5610</v>
      </c>
    </row>
    <row r="84" spans="1:21" s="324" customFormat="1" ht="16.5">
      <c r="A84" s="359" t="s">
        <v>95</v>
      </c>
      <c r="B84" s="367"/>
      <c r="C84" s="365"/>
      <c r="D84" s="309"/>
      <c r="E84" s="309"/>
      <c r="F84" s="295"/>
      <c r="G84" s="295"/>
      <c r="H84" s="293">
        <f>H82+H83</f>
        <v>3380</v>
      </c>
      <c r="I84" s="295"/>
      <c r="J84" s="295"/>
      <c r="K84" s="293">
        <f>K82+K83</f>
        <v>2742</v>
      </c>
      <c r="L84" s="11"/>
      <c r="M84" s="11"/>
      <c r="N84" s="3">
        <f>N82+N83</f>
        <v>0</v>
      </c>
      <c r="O84" s="85"/>
      <c r="P84" s="85"/>
      <c r="Q84" s="195">
        <f>Q82+Q83</f>
        <v>0</v>
      </c>
      <c r="R84" s="295"/>
      <c r="S84" s="295"/>
      <c r="T84" s="293">
        <f>T82+T83</f>
        <v>0</v>
      </c>
      <c r="U84" s="292">
        <f>H84+K84+N84+Q84+T84</f>
        <v>6122</v>
      </c>
    </row>
    <row r="85" spans="1:21" s="324" customFormat="1" ht="18.75">
      <c r="A85" s="359" t="s">
        <v>71</v>
      </c>
      <c r="B85" s="520" t="s">
        <v>572</v>
      </c>
      <c r="C85" s="521"/>
      <c r="D85" s="521"/>
      <c r="E85" s="521"/>
      <c r="F85" s="521"/>
      <c r="G85" s="521"/>
      <c r="H85" s="521"/>
      <c r="I85" s="521"/>
      <c r="J85" s="521"/>
      <c r="K85" s="521"/>
      <c r="L85" s="521"/>
      <c r="M85" s="521"/>
      <c r="N85" s="521"/>
      <c r="O85" s="521"/>
      <c r="P85" s="521"/>
      <c r="Q85" s="521"/>
      <c r="R85" s="521"/>
      <c r="S85" s="521"/>
      <c r="T85" s="521"/>
      <c r="U85" s="521"/>
    </row>
    <row r="86" spans="1:21" s="324" customFormat="1" ht="114.75">
      <c r="A86" s="364" t="s">
        <v>72</v>
      </c>
      <c r="B86" s="365" t="s">
        <v>573</v>
      </c>
      <c r="C86" s="365" t="s">
        <v>574</v>
      </c>
      <c r="D86" s="309" t="s">
        <v>85</v>
      </c>
      <c r="E86" s="309" t="s">
        <v>91</v>
      </c>
      <c r="F86" s="295" t="s">
        <v>33</v>
      </c>
      <c r="G86" s="295" t="s">
        <v>33</v>
      </c>
      <c r="H86" s="366">
        <v>0</v>
      </c>
      <c r="I86" s="295" t="s">
        <v>33</v>
      </c>
      <c r="J86" s="295" t="s">
        <v>33</v>
      </c>
      <c r="K86" s="366">
        <v>0</v>
      </c>
      <c r="L86" s="11" t="s">
        <v>575</v>
      </c>
      <c r="M86" s="11" t="s">
        <v>576</v>
      </c>
      <c r="N86" s="26">
        <v>4256</v>
      </c>
      <c r="O86" s="85" t="s">
        <v>33</v>
      </c>
      <c r="P86" s="225" t="s">
        <v>33</v>
      </c>
      <c r="Q86" s="38">
        <v>0</v>
      </c>
      <c r="R86" s="295" t="s">
        <v>33</v>
      </c>
      <c r="S86" s="306" t="s">
        <v>33</v>
      </c>
      <c r="T86" s="291">
        <v>0</v>
      </c>
      <c r="U86" s="317">
        <f>H86+K86+N86+Q86+T86</f>
        <v>4256</v>
      </c>
    </row>
    <row r="87" spans="1:21" s="324" customFormat="1" ht="16.5">
      <c r="A87" s="359" t="s">
        <v>577</v>
      </c>
      <c r="B87" s="367"/>
      <c r="C87" s="374"/>
      <c r="D87" s="375"/>
      <c r="E87" s="375"/>
      <c r="F87" s="295"/>
      <c r="G87" s="295"/>
      <c r="H87" s="293"/>
      <c r="I87" s="295"/>
      <c r="J87" s="295"/>
      <c r="K87" s="293"/>
      <c r="L87" s="11" t="s">
        <v>33</v>
      </c>
      <c r="M87" s="11" t="s">
        <v>33</v>
      </c>
      <c r="N87" s="3">
        <f>N86</f>
        <v>4256</v>
      </c>
      <c r="O87" s="85"/>
      <c r="P87" s="85"/>
      <c r="Q87" s="195"/>
      <c r="R87" s="295"/>
      <c r="S87" s="295"/>
      <c r="T87" s="293"/>
      <c r="U87" s="292"/>
    </row>
    <row r="88" spans="1:21" ht="20.25">
      <c r="A88" s="525" t="s">
        <v>527</v>
      </c>
      <c r="B88" s="526"/>
      <c r="C88" s="526"/>
      <c r="D88" s="526"/>
      <c r="E88" s="526"/>
      <c r="F88" s="516">
        <f>F89+F90+F91</f>
        <v>157092.37</v>
      </c>
      <c r="G88" s="517"/>
      <c r="H88" s="518"/>
      <c r="I88" s="516">
        <f>I89+I90+I91</f>
        <v>121069.1</v>
      </c>
      <c r="J88" s="517"/>
      <c r="K88" s="518"/>
      <c r="L88" s="408">
        <f>SUM(L89:N91)</f>
        <v>118235.92</v>
      </c>
      <c r="M88" s="409"/>
      <c r="N88" s="410"/>
      <c r="O88" s="460">
        <f>O89+O90+O91</f>
        <v>127256</v>
      </c>
      <c r="P88" s="461"/>
      <c r="Q88" s="462"/>
      <c r="R88" s="516">
        <f>R89+R90+R91</f>
        <v>29690</v>
      </c>
      <c r="S88" s="517"/>
      <c r="T88" s="518"/>
      <c r="U88" s="368">
        <f>F88+L88+O88+R88+I88</f>
        <v>553343.39</v>
      </c>
    </row>
    <row r="89" spans="1:21" ht="18.75">
      <c r="A89" s="515" t="s">
        <v>164</v>
      </c>
      <c r="B89" s="515"/>
      <c r="C89" s="515"/>
      <c r="D89" s="515"/>
      <c r="E89" s="515"/>
      <c r="F89" s="514">
        <f>H28+H50+H62+H80</f>
        <v>23882</v>
      </c>
      <c r="G89" s="514"/>
      <c r="H89" s="514"/>
      <c r="I89" s="514">
        <f>K28+K50+K60+K79</f>
        <v>24478.1</v>
      </c>
      <c r="J89" s="514"/>
      <c r="K89" s="514"/>
      <c r="L89" s="399">
        <f>N28+N50+N60+N80</f>
        <v>29124.720000000001</v>
      </c>
      <c r="M89" s="399"/>
      <c r="N89" s="399"/>
      <c r="O89" s="502">
        <f>Q28+Q62+Q80</f>
        <v>30404</v>
      </c>
      <c r="P89" s="502"/>
      <c r="Q89" s="502"/>
      <c r="R89" s="514">
        <f>T28+T50+T62+T80</f>
        <v>29690</v>
      </c>
      <c r="S89" s="514"/>
      <c r="T89" s="514"/>
      <c r="U89" s="369">
        <f>F89+I89+L89+O89+R89</f>
        <v>137578.82</v>
      </c>
    </row>
    <row r="90" spans="1:21" ht="18.75">
      <c r="A90" s="515" t="s">
        <v>20</v>
      </c>
      <c r="B90" s="515"/>
      <c r="C90" s="515"/>
      <c r="D90" s="515"/>
      <c r="E90" s="515"/>
      <c r="F90" s="514">
        <f>H27+H32+H51+H55+H61+H66+H70+H76+H84</f>
        <v>96915</v>
      </c>
      <c r="G90" s="514"/>
      <c r="H90" s="514"/>
      <c r="I90" s="514">
        <f>K27+K32+K51+K55+K66+K70+K76+K84</f>
        <v>70299</v>
      </c>
      <c r="J90" s="514"/>
      <c r="K90" s="514"/>
      <c r="L90" s="399">
        <f>N27+N32+N51+N55+N66+N70+N76+N84+N86</f>
        <v>61838.2</v>
      </c>
      <c r="M90" s="399"/>
      <c r="N90" s="399"/>
      <c r="O90" s="502">
        <f>Q27+Q51+Q55+Q66+Q70+Q76</f>
        <v>60636</v>
      </c>
      <c r="P90" s="502"/>
      <c r="Q90" s="502"/>
      <c r="R90" s="514">
        <f>T27+T32+T51+T55+T61+T66+T70+T76+T84</f>
        <v>0</v>
      </c>
      <c r="S90" s="514"/>
      <c r="T90" s="514"/>
      <c r="U90" s="369">
        <f>F90+I90+L90+O90+R90</f>
        <v>289688.2</v>
      </c>
    </row>
    <row r="91" spans="1:21" ht="18.75">
      <c r="A91" s="511" t="s">
        <v>21</v>
      </c>
      <c r="B91" s="512"/>
      <c r="C91" s="512"/>
      <c r="D91" s="512"/>
      <c r="E91" s="513"/>
      <c r="F91" s="514">
        <f>H26</f>
        <v>36295.370000000003</v>
      </c>
      <c r="G91" s="514"/>
      <c r="H91" s="514"/>
      <c r="I91" s="514">
        <f>K26</f>
        <v>26292</v>
      </c>
      <c r="J91" s="514"/>
      <c r="K91" s="514"/>
      <c r="L91" s="399">
        <f>N26</f>
        <v>27273</v>
      </c>
      <c r="M91" s="399"/>
      <c r="N91" s="399"/>
      <c r="O91" s="502">
        <f>Q26</f>
        <v>36216</v>
      </c>
      <c r="P91" s="502"/>
      <c r="Q91" s="502"/>
      <c r="R91" s="514">
        <f>T26</f>
        <v>0</v>
      </c>
      <c r="S91" s="514"/>
      <c r="T91" s="514"/>
      <c r="U91" s="369">
        <f>F91+I91+L91+O91+R91</f>
        <v>126076.37</v>
      </c>
    </row>
    <row r="92" spans="1:21" ht="16.5">
      <c r="A92" s="509" t="s">
        <v>459</v>
      </c>
      <c r="B92" s="509"/>
      <c r="C92" s="509"/>
      <c r="D92" s="509"/>
      <c r="E92" s="509"/>
      <c r="F92" s="509"/>
      <c r="G92" s="509"/>
      <c r="H92" s="509"/>
      <c r="I92" s="509"/>
      <c r="J92" s="509"/>
      <c r="K92" s="509"/>
      <c r="L92" s="509"/>
      <c r="M92" s="509"/>
      <c r="N92" s="509"/>
      <c r="O92" s="509"/>
      <c r="P92" s="509"/>
      <c r="Q92" s="509"/>
      <c r="R92" s="509"/>
      <c r="S92" s="509"/>
      <c r="T92" s="509"/>
      <c r="U92" s="509"/>
    </row>
    <row r="93" spans="1:21" ht="16.5">
      <c r="A93" s="510" t="s">
        <v>23</v>
      </c>
      <c r="B93" s="510"/>
      <c r="C93" s="510"/>
      <c r="D93" s="510"/>
      <c r="E93" s="370"/>
      <c r="F93" s="371"/>
      <c r="G93" s="371"/>
      <c r="H93" s="371"/>
      <c r="I93" s="371"/>
      <c r="J93" s="371"/>
      <c r="K93" s="371"/>
      <c r="L93" s="81"/>
      <c r="M93" s="81"/>
      <c r="N93" s="81"/>
      <c r="O93" s="273"/>
      <c r="P93" s="273"/>
      <c r="Q93" s="273"/>
      <c r="R93" s="371"/>
      <c r="S93" s="371"/>
      <c r="T93" s="371"/>
      <c r="U93" s="371"/>
    </row>
    <row r="94" spans="1:21" ht="16.5">
      <c r="A94" s="509" t="s">
        <v>24</v>
      </c>
      <c r="B94" s="509"/>
      <c r="C94" s="509"/>
      <c r="D94" s="509"/>
      <c r="E94" s="389"/>
      <c r="F94" s="389"/>
      <c r="G94" s="389"/>
      <c r="H94" s="389"/>
      <c r="I94" s="389"/>
      <c r="J94" s="389"/>
      <c r="K94" s="389"/>
      <c r="L94" s="376"/>
      <c r="M94" s="376"/>
      <c r="N94" s="376"/>
      <c r="O94" s="381"/>
      <c r="P94" s="381"/>
      <c r="Q94" s="381"/>
      <c r="R94" s="389"/>
      <c r="S94" s="389"/>
      <c r="T94" s="389"/>
      <c r="U94" s="372"/>
    </row>
    <row r="95" spans="1:21" ht="15"/>
    <row r="96" spans="1:21" ht="15"/>
    <row r="97" spans="4:4" ht="15"/>
    <row r="98" spans="4:4" ht="15"/>
    <row r="99" spans="4:4" ht="15"/>
    <row r="100" spans="4:4" ht="15">
      <c r="D100" s="373"/>
    </row>
    <row r="101" spans="4:4" ht="15"/>
    <row r="102" spans="4:4" ht="15"/>
    <row r="108" spans="4:4" ht="15"/>
  </sheetData>
  <mergeCells count="79">
    <mergeCell ref="R1:U2"/>
    <mergeCell ref="R3:U3"/>
    <mergeCell ref="A4:U4"/>
    <mergeCell ref="A6:A7"/>
    <mergeCell ref="B6:B7"/>
    <mergeCell ref="C6:C7"/>
    <mergeCell ref="D6:D7"/>
    <mergeCell ref="E6:E7"/>
    <mergeCell ref="F6:H6"/>
    <mergeCell ref="I6:K6"/>
    <mergeCell ref="A31:E31"/>
    <mergeCell ref="L6:N6"/>
    <mergeCell ref="O6:Q6"/>
    <mergeCell ref="R6:T6"/>
    <mergeCell ref="U6:U7"/>
    <mergeCell ref="A9:U9"/>
    <mergeCell ref="B10:U10"/>
    <mergeCell ref="C11:C12"/>
    <mergeCell ref="A25:E25"/>
    <mergeCell ref="A26:E26"/>
    <mergeCell ref="A27:E27"/>
    <mergeCell ref="B29:U29"/>
    <mergeCell ref="A57:A58"/>
    <mergeCell ref="B57:B58"/>
    <mergeCell ref="A32:E32"/>
    <mergeCell ref="B33:U33"/>
    <mergeCell ref="C37:C38"/>
    <mergeCell ref="C40:C44"/>
    <mergeCell ref="A49:E49"/>
    <mergeCell ref="A50:B50"/>
    <mergeCell ref="A51:E51"/>
    <mergeCell ref="B52:U52"/>
    <mergeCell ref="A54:E54"/>
    <mergeCell ref="A55:E55"/>
    <mergeCell ref="B56:U56"/>
    <mergeCell ref="A75:E75"/>
    <mergeCell ref="A60:E60"/>
    <mergeCell ref="A61:E61"/>
    <mergeCell ref="A62:E62"/>
    <mergeCell ref="B63:U63"/>
    <mergeCell ref="A65:E65"/>
    <mergeCell ref="A66:E66"/>
    <mergeCell ref="B67:U67"/>
    <mergeCell ref="A69:E69"/>
    <mergeCell ref="A70:E70"/>
    <mergeCell ref="B71:U71"/>
    <mergeCell ref="C72:C73"/>
    <mergeCell ref="A76:E76"/>
    <mergeCell ref="B77:U77"/>
    <mergeCell ref="A79:E79"/>
    <mergeCell ref="B81:U81"/>
    <mergeCell ref="B85:U85"/>
    <mergeCell ref="R90:T90"/>
    <mergeCell ref="R88:T88"/>
    <mergeCell ref="A89:E89"/>
    <mergeCell ref="F89:H89"/>
    <mergeCell ref="I89:K89"/>
    <mergeCell ref="L89:N89"/>
    <mergeCell ref="O89:Q89"/>
    <mergeCell ref="R89:T89"/>
    <mergeCell ref="A88:E88"/>
    <mergeCell ref="F88:H88"/>
    <mergeCell ref="I88:K88"/>
    <mergeCell ref="L88:N88"/>
    <mergeCell ref="O88:Q88"/>
    <mergeCell ref="A90:E90"/>
    <mergeCell ref="F90:H90"/>
    <mergeCell ref="I90:K90"/>
    <mergeCell ref="L90:N90"/>
    <mergeCell ref="O90:Q90"/>
    <mergeCell ref="A92:U92"/>
    <mergeCell ref="A93:D93"/>
    <mergeCell ref="A94:D94"/>
    <mergeCell ref="A91:E91"/>
    <mergeCell ref="F91:H91"/>
    <mergeCell ref="I91:K91"/>
    <mergeCell ref="L91:N91"/>
    <mergeCell ref="O91:Q91"/>
    <mergeCell ref="R91:T91"/>
  </mergeCells>
  <pageMargins left="0.15748031496062992" right="0.15748031496062992" top="0.74803149606299213" bottom="0.74803149606299213" header="0.31496062992125984" footer="0.31496062992125984"/>
  <pageSetup paperSize="9" scale="30" orientation="landscape" r:id="rId1"/>
  <rowBreaks count="2" manualBreakCount="2">
    <brk id="32" max="20" man="1"/>
    <brk id="51" max="20"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15.07.2020</vt:lpstr>
      <vt:lpstr>06.10.2020 4 изм</vt:lpstr>
      <vt:lpstr>5  изм.</vt:lpstr>
      <vt:lpstr>2021</vt:lpstr>
      <vt:lpstr>1 изм. 2021</vt:lpstr>
      <vt:lpstr>2023</vt:lpstr>
      <vt:lpstr>'15.07.2020'!Область_печати</vt:lpstr>
      <vt:lpstr>'2021'!Область_печати</vt:lpstr>
      <vt:lpstr>'2023'!Область_печати</vt:lpstr>
      <vt:lpstr>'5  изм.'!Область_печати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Смирнова Светлана Викторовна</dc:creator>
  <cp:lastModifiedBy>davitjan.ej</cp:lastModifiedBy>
  <cp:lastPrinted>2022-12-27T09:47:26Z</cp:lastPrinted>
  <dcterms:created xsi:type="dcterms:W3CDTF">2017-12-15T06:16:59Z</dcterms:created>
  <dcterms:modified xsi:type="dcterms:W3CDTF">2022-12-27T09:47:32Z</dcterms:modified>
</cp:coreProperties>
</file>