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340" yWindow="570" windowWidth="19440" windowHeight="14760" tabRatio="601"/>
  </bookViews>
  <sheets>
    <sheet name="Лист1" sheetId="1" r:id="rId1"/>
    <sheet name="Лист3" sheetId="3" r:id="rId2"/>
  </sheets>
  <definedNames>
    <definedName name="_xlnm.Print_Titles" localSheetId="0">Лист1!$A:$D,Лист1!$6:$9</definedName>
    <definedName name="_xlnm.Print_Area" localSheetId="0">Лист1!$A$1:$AD$160</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16" i="1" l="1"/>
  <c r="T146" i="1"/>
  <c r="U146" i="1"/>
  <c r="U133" i="1" l="1"/>
  <c r="U18" i="1"/>
  <c r="X170" i="1" l="1"/>
  <c r="X169" i="1"/>
  <c r="X168" i="1"/>
  <c r="AD135" i="1"/>
  <c r="AD111" i="1"/>
  <c r="AD86" i="1"/>
  <c r="AD53" i="1"/>
  <c r="AD49" i="1"/>
  <c r="AD44" i="1"/>
  <c r="AD47" i="1"/>
  <c r="AD151" i="1"/>
  <c r="AD57" i="1"/>
  <c r="E151" i="1" l="1"/>
  <c r="F153" i="1"/>
  <c r="F151" i="1"/>
  <c r="G151" i="1"/>
  <c r="G150" i="1"/>
  <c r="F148" i="1"/>
  <c r="F147" i="1" l="1"/>
  <c r="G147" i="1"/>
  <c r="E135" i="1" l="1"/>
  <c r="Y116" i="1"/>
  <c r="T116" i="1"/>
  <c r="AD116" i="1" s="1"/>
  <c r="E115" i="1"/>
  <c r="E116" i="1"/>
  <c r="G117" i="1"/>
  <c r="E117" i="1" s="1"/>
  <c r="E57" i="1"/>
  <c r="T53" i="1"/>
  <c r="O53" i="1"/>
  <c r="E53" i="1"/>
  <c r="O47" i="1"/>
  <c r="P46" i="1"/>
  <c r="J23" i="1"/>
  <c r="T111" i="1" l="1"/>
  <c r="Y49" i="1"/>
  <c r="V49" i="1"/>
  <c r="U49" i="1"/>
  <c r="Y47" i="1"/>
  <c r="Z46" i="1"/>
  <c r="T49" i="1" l="1"/>
  <c r="T47" i="1"/>
  <c r="U46" i="1"/>
  <c r="U23" i="1"/>
  <c r="T23" i="1" s="1"/>
  <c r="Y115" i="1" l="1"/>
  <c r="Y117" i="1"/>
  <c r="U141" i="1" l="1"/>
  <c r="U140" i="1"/>
  <c r="U136" i="1"/>
  <c r="U120" i="1"/>
  <c r="T115" i="1"/>
  <c r="AD115" i="1" s="1"/>
  <c r="T117" i="1"/>
  <c r="AD117" i="1" s="1"/>
  <c r="V97" i="1"/>
  <c r="U97" i="1"/>
  <c r="U87" i="1"/>
  <c r="U72" i="1"/>
  <c r="U26" i="1"/>
  <c r="U15" i="1"/>
  <c r="U13" i="1"/>
  <c r="U98" i="1" l="1"/>
  <c r="Z15" i="1" l="1"/>
  <c r="W27" i="1" l="1"/>
  <c r="X27" i="1"/>
  <c r="V27" i="1"/>
  <c r="T26" i="1"/>
  <c r="U20" i="1"/>
  <c r="U16" i="1"/>
  <c r="T78" i="1"/>
  <c r="AD78" i="1" s="1"/>
  <c r="T77" i="1"/>
  <c r="T76" i="1"/>
  <c r="T75" i="1"/>
  <c r="T74" i="1"/>
  <c r="T73" i="1"/>
  <c r="X79" i="1"/>
  <c r="W79" i="1"/>
  <c r="V79" i="1"/>
  <c r="AC27" i="1" l="1"/>
  <c r="AB27" i="1"/>
  <c r="AA27" i="1"/>
  <c r="Y26" i="1"/>
  <c r="AD26" i="1" s="1"/>
  <c r="Q153" i="1" l="1"/>
  <c r="G148" i="1"/>
  <c r="L147" i="1" l="1"/>
  <c r="M147" i="1"/>
  <c r="N147" i="1"/>
  <c r="Q147" i="1"/>
  <c r="R147" i="1"/>
  <c r="V147" i="1"/>
  <c r="W147" i="1"/>
  <c r="X147" i="1"/>
  <c r="AC147" i="1"/>
  <c r="AB147" i="1"/>
  <c r="AA147" i="1"/>
  <c r="G153" i="1" l="1"/>
  <c r="S147" i="1"/>
  <c r="E144" i="1"/>
  <c r="AD144" i="1" s="1"/>
  <c r="E106" i="1"/>
  <c r="U155" i="1"/>
  <c r="U66" i="1"/>
  <c r="T58" i="1"/>
  <c r="AD58" i="1" s="1"/>
  <c r="Q66" i="1"/>
  <c r="O61" i="1"/>
  <c r="AD61" i="1" s="1"/>
  <c r="P153" i="1"/>
  <c r="P66" i="1"/>
  <c r="O41" i="1"/>
  <c r="AD41" i="1" s="1"/>
  <c r="AD106" i="1" l="1"/>
  <c r="AD148" i="1" s="1"/>
  <c r="E148" i="1"/>
  <c r="E153" i="1"/>
  <c r="AC99" i="1"/>
  <c r="Z99" i="1"/>
  <c r="U124" i="1"/>
  <c r="T98" i="1" l="1"/>
  <c r="AD98" i="1" s="1"/>
  <c r="X99" i="1"/>
  <c r="W99" i="1"/>
  <c r="V99" i="1"/>
  <c r="U99" i="1"/>
  <c r="V65" i="1" l="1"/>
  <c r="W65" i="1"/>
  <c r="AD146" i="1" l="1"/>
  <c r="T96" i="1" l="1"/>
  <c r="T97" i="1"/>
  <c r="U27" i="1" l="1"/>
  <c r="Z70" i="1"/>
  <c r="U70" i="1"/>
  <c r="U79" i="1" s="1"/>
  <c r="U65" i="1" l="1"/>
  <c r="T52" i="1"/>
  <c r="Z133" i="1"/>
  <c r="Z140" i="1"/>
  <c r="Z18" i="1"/>
  <c r="Z120" i="1"/>
  <c r="Z128" i="1"/>
  <c r="Z147" i="1" l="1"/>
  <c r="Z13" i="1"/>
  <c r="Z27" i="1" s="1"/>
  <c r="U153" i="1" l="1"/>
  <c r="U151" i="1"/>
  <c r="T143" i="1"/>
  <c r="T145" i="1"/>
  <c r="AD145" i="1" s="1"/>
  <c r="T56" i="1"/>
  <c r="U134" i="1"/>
  <c r="U147" i="1" s="1"/>
  <c r="K6" i="3"/>
  <c r="K7" i="3"/>
  <c r="K5" i="3"/>
  <c r="G6" i="3"/>
  <c r="G7" i="3"/>
  <c r="L7" i="3" s="1"/>
  <c r="G5" i="3"/>
  <c r="L5" i="3" s="1"/>
  <c r="L6" i="3"/>
  <c r="C8" i="3"/>
  <c r="D8" i="3"/>
  <c r="E8" i="3"/>
  <c r="F8" i="3"/>
  <c r="H8" i="3"/>
  <c r="I8" i="3"/>
  <c r="J8" i="3"/>
  <c r="B8" i="3"/>
  <c r="T16" i="1"/>
  <c r="O64" i="1"/>
  <c r="AD64" i="1" s="1"/>
  <c r="R70" i="1"/>
  <c r="Q70" i="1"/>
  <c r="Q97" i="1"/>
  <c r="S65" i="1"/>
  <c r="P97" i="1"/>
  <c r="P70" i="1"/>
  <c r="P13" i="1"/>
  <c r="P15" i="1"/>
  <c r="U150" i="1" l="1"/>
  <c r="U149" i="1"/>
  <c r="M5" i="3"/>
  <c r="M7" i="3"/>
  <c r="M6" i="3"/>
  <c r="M8" i="3" s="1"/>
  <c r="L8" i="3"/>
  <c r="G8" i="3"/>
  <c r="K8" i="3"/>
  <c r="T155" i="1"/>
  <c r="T153" i="1" s="1"/>
  <c r="O17" i="1"/>
  <c r="P18" i="1"/>
  <c r="P126" i="1"/>
  <c r="P124" i="1"/>
  <c r="P20" i="1"/>
  <c r="P16" i="1"/>
  <c r="P75" i="1" l="1"/>
  <c r="P134" i="1"/>
  <c r="P147" i="1" s="1"/>
  <c r="P99" i="1" l="1"/>
  <c r="Y91" i="1"/>
  <c r="T91" i="1"/>
  <c r="O91" i="1"/>
  <c r="J91" i="1"/>
  <c r="E91" i="1"/>
  <c r="E155" i="1"/>
  <c r="E156" i="1"/>
  <c r="E154" i="1"/>
  <c r="O155" i="1"/>
  <c r="O156" i="1"/>
  <c r="O154" i="1"/>
  <c r="Q151" i="1"/>
  <c r="Q159" i="1" s="1"/>
  <c r="O56" i="1"/>
  <c r="P151" i="1"/>
  <c r="P159" i="1" s="1"/>
  <c r="AD154" i="1" l="1"/>
  <c r="AD156" i="1"/>
  <c r="AD155" i="1"/>
  <c r="AD91" i="1"/>
  <c r="P152" i="1"/>
  <c r="P160" i="1" s="1"/>
  <c r="E143" i="1" l="1"/>
  <c r="R66" i="1"/>
  <c r="S66" i="1"/>
  <c r="R153" i="1"/>
  <c r="S153" i="1"/>
  <c r="V66" i="1"/>
  <c r="W66" i="1"/>
  <c r="Z79" i="1"/>
  <c r="O83" i="1"/>
  <c r="O84" i="1"/>
  <c r="O85" i="1"/>
  <c r="O86" i="1"/>
  <c r="O87" i="1"/>
  <c r="O88" i="1"/>
  <c r="O89" i="1"/>
  <c r="O90" i="1"/>
  <c r="O92" i="1"/>
  <c r="O93" i="1"/>
  <c r="O94" i="1"/>
  <c r="O95" i="1"/>
  <c r="O96" i="1"/>
  <c r="O97" i="1"/>
  <c r="O59" i="1"/>
  <c r="O62" i="1"/>
  <c r="O63" i="1"/>
  <c r="T89" i="1"/>
  <c r="R79" i="1"/>
  <c r="Q79" i="1"/>
  <c r="P79" i="1"/>
  <c r="G79" i="1"/>
  <c r="H79" i="1"/>
  <c r="I79" i="1"/>
  <c r="Y76" i="1"/>
  <c r="J76" i="1"/>
  <c r="O153" i="1" l="1"/>
  <c r="O66" i="1"/>
  <c r="T66" i="1"/>
  <c r="T13" i="1"/>
  <c r="AD76" i="1"/>
  <c r="O21" i="1"/>
  <c r="Y73" i="1" l="1"/>
  <c r="Y74" i="1"/>
  <c r="O70" i="1"/>
  <c r="O71" i="1"/>
  <c r="O48" i="1"/>
  <c r="O50" i="1"/>
  <c r="O52" i="1"/>
  <c r="Y25" i="1"/>
  <c r="T25" i="1"/>
  <c r="O25" i="1"/>
  <c r="J25" i="1"/>
  <c r="E25" i="1"/>
  <c r="P27" i="1"/>
  <c r="O16" i="1"/>
  <c r="AD25" i="1" l="1"/>
  <c r="N82" i="1"/>
  <c r="K119" i="1"/>
  <c r="L97" i="1"/>
  <c r="K97" i="1"/>
  <c r="F152" i="1"/>
  <c r="F160" i="1" s="1"/>
  <c r="G152" i="1"/>
  <c r="G160" i="1" s="1"/>
  <c r="H152" i="1"/>
  <c r="H160" i="1" s="1"/>
  <c r="I152" i="1"/>
  <c r="I160" i="1" s="1"/>
  <c r="L152" i="1"/>
  <c r="L160" i="1" s="1"/>
  <c r="M152" i="1"/>
  <c r="M160" i="1" s="1"/>
  <c r="N152" i="1"/>
  <c r="N160" i="1" s="1"/>
  <c r="Q152" i="1"/>
  <c r="Q160" i="1" s="1"/>
  <c r="R152" i="1"/>
  <c r="R160" i="1" s="1"/>
  <c r="S152" i="1"/>
  <c r="S160" i="1" s="1"/>
  <c r="U152" i="1"/>
  <c r="U160" i="1" s="1"/>
  <c r="V152" i="1"/>
  <c r="V160" i="1" s="1"/>
  <c r="W152" i="1"/>
  <c r="W160" i="1" s="1"/>
  <c r="X152" i="1"/>
  <c r="X160" i="1" s="1"/>
  <c r="Z152" i="1"/>
  <c r="Z160" i="1" s="1"/>
  <c r="AA152" i="1"/>
  <c r="AA160" i="1" s="1"/>
  <c r="AB152" i="1"/>
  <c r="AB160" i="1" s="1"/>
  <c r="AC152" i="1"/>
  <c r="AC160" i="1" s="1"/>
  <c r="F159" i="1"/>
  <c r="G159" i="1"/>
  <c r="H151" i="1"/>
  <c r="H159" i="1" s="1"/>
  <c r="I151" i="1"/>
  <c r="I159" i="1" s="1"/>
  <c r="K151" i="1"/>
  <c r="K159" i="1" s="1"/>
  <c r="L151" i="1"/>
  <c r="L159" i="1" s="1"/>
  <c r="M151" i="1"/>
  <c r="M159" i="1" s="1"/>
  <c r="N151" i="1"/>
  <c r="N159" i="1" s="1"/>
  <c r="R151" i="1"/>
  <c r="R159" i="1" s="1"/>
  <c r="S151" i="1"/>
  <c r="S159" i="1" s="1"/>
  <c r="U159" i="1"/>
  <c r="V151" i="1"/>
  <c r="W151" i="1"/>
  <c r="W159" i="1" s="1"/>
  <c r="X151" i="1"/>
  <c r="X159" i="1" s="1"/>
  <c r="Z151" i="1"/>
  <c r="Z159" i="1" s="1"/>
  <c r="AA151" i="1"/>
  <c r="AA159" i="1" s="1"/>
  <c r="AB151" i="1"/>
  <c r="AB159" i="1" s="1"/>
  <c r="AC151" i="1"/>
  <c r="AC159" i="1" s="1"/>
  <c r="V159" i="1" l="1"/>
  <c r="T151" i="1"/>
  <c r="J69" i="1"/>
  <c r="J70" i="1"/>
  <c r="J71" i="1"/>
  <c r="J72" i="1"/>
  <c r="J73" i="1"/>
  <c r="J74" i="1"/>
  <c r="J75" i="1"/>
  <c r="K79" i="1"/>
  <c r="M79" i="1"/>
  <c r="L79" i="1"/>
  <c r="K167" i="1"/>
  <c r="J62" i="1"/>
  <c r="AD62" i="1" s="1"/>
  <c r="L60" i="1"/>
  <c r="K60" i="1"/>
  <c r="K17" i="1"/>
  <c r="J17" i="1" s="1"/>
  <c r="K13" i="1"/>
  <c r="H147" i="1"/>
  <c r="I147" i="1"/>
  <c r="AD109" i="1"/>
  <c r="AD118" i="1"/>
  <c r="AD139" i="1"/>
  <c r="K40" i="1" l="1"/>
  <c r="K152" i="1" l="1"/>
  <c r="K160" i="1" s="1"/>
  <c r="X171" i="1"/>
  <c r="L27" i="1"/>
  <c r="M27" i="1"/>
  <c r="N27" i="1"/>
  <c r="K168" i="1"/>
  <c r="L168" i="1"/>
  <c r="M168" i="1"/>
  <c r="L167" i="1"/>
  <c r="M167" i="1"/>
  <c r="N167" i="1"/>
  <c r="K142" i="1"/>
  <c r="K137" i="1"/>
  <c r="K134" i="1"/>
  <c r="K125" i="1"/>
  <c r="K120" i="1"/>
  <c r="K107" i="1"/>
  <c r="K96" i="1"/>
  <c r="K88" i="1"/>
  <c r="K87" i="1"/>
  <c r="K84" i="1"/>
  <c r="J84" i="1" s="1"/>
  <c r="K83" i="1"/>
  <c r="K24" i="1"/>
  <c r="K19" i="1"/>
  <c r="J16" i="1"/>
  <c r="AD16" i="1" s="1"/>
  <c r="K15" i="1"/>
  <c r="K147" i="1" l="1"/>
  <c r="K27" i="1"/>
  <c r="K99" i="1"/>
  <c r="J13" i="1"/>
  <c r="X65" i="1"/>
  <c r="T65" i="1" s="1"/>
  <c r="Z65" i="1"/>
  <c r="AA65" i="1"/>
  <c r="AB65" i="1"/>
  <c r="AC65" i="1"/>
  <c r="J63" i="1" l="1"/>
  <c r="AD63" i="1" s="1"/>
  <c r="J60" i="1"/>
  <c r="AD60" i="1" s="1"/>
  <c r="J56" i="1" l="1"/>
  <c r="J15" i="1"/>
  <c r="J167" i="1" l="1"/>
  <c r="J97" i="1"/>
  <c r="J96" i="1"/>
  <c r="AD96" i="1" s="1"/>
  <c r="F99" i="1"/>
  <c r="G99" i="1"/>
  <c r="H99" i="1"/>
  <c r="I99" i="1"/>
  <c r="L99" i="1"/>
  <c r="M99" i="1"/>
  <c r="N99" i="1"/>
  <c r="Q99" i="1"/>
  <c r="R99" i="1"/>
  <c r="S99" i="1"/>
  <c r="AA99" i="1"/>
  <c r="AB99" i="1"/>
  <c r="J59" i="1"/>
  <c r="E56" i="1"/>
  <c r="AD56" i="1" s="1"/>
  <c r="T22" i="1" l="1"/>
  <c r="T19" i="1" l="1"/>
  <c r="Y114" i="1"/>
  <c r="Y22" i="1"/>
  <c r="AD97" i="1" l="1"/>
  <c r="J93" i="1"/>
  <c r="AD93" i="1" s="1"/>
  <c r="J22" i="1"/>
  <c r="AC79" i="1" l="1"/>
  <c r="AB79" i="1"/>
  <c r="AA79" i="1"/>
  <c r="S79" i="1"/>
  <c r="O79" i="1" s="1"/>
  <c r="O75" i="1"/>
  <c r="AD77" i="1"/>
  <c r="F75" i="1"/>
  <c r="F79" i="1" s="1"/>
  <c r="E79" i="1" s="1"/>
  <c r="T79" i="1" l="1"/>
  <c r="F17" i="1"/>
  <c r="F52" i="1"/>
  <c r="AD22" i="1" l="1"/>
  <c r="E147" i="1" l="1"/>
  <c r="H27" i="1"/>
  <c r="E70" i="1" l="1"/>
  <c r="J42" i="1" l="1"/>
  <c r="AD42" i="1" l="1"/>
  <c r="J151" i="1"/>
  <c r="J159" i="1" s="1"/>
  <c r="E54" i="1"/>
  <c r="AD54" i="1" s="1"/>
  <c r="E52" i="1"/>
  <c r="AD52" i="1" s="1"/>
  <c r="E38" i="1" l="1"/>
  <c r="AD38" i="1" s="1"/>
  <c r="E55" i="1" l="1"/>
  <c r="E159" i="1" l="1"/>
  <c r="E59" i="1"/>
  <c r="AD59" i="1" s="1"/>
  <c r="H148" i="1" l="1"/>
  <c r="I148" i="1"/>
  <c r="J148" i="1"/>
  <c r="K148" i="1"/>
  <c r="L148" i="1"/>
  <c r="M148" i="1"/>
  <c r="N148" i="1"/>
  <c r="O148" i="1"/>
  <c r="P148" i="1"/>
  <c r="Q148" i="1"/>
  <c r="R148" i="1"/>
  <c r="S148" i="1"/>
  <c r="T148" i="1"/>
  <c r="U148" i="1"/>
  <c r="V148" i="1"/>
  <c r="W148" i="1"/>
  <c r="X148" i="1"/>
  <c r="Y148" i="1"/>
  <c r="Z148" i="1"/>
  <c r="AA148" i="1"/>
  <c r="AB148" i="1"/>
  <c r="AC148" i="1"/>
  <c r="H153" i="1"/>
  <c r="I153" i="1"/>
  <c r="J153" i="1"/>
  <c r="K153" i="1"/>
  <c r="L153" i="1"/>
  <c r="M153" i="1"/>
  <c r="N153" i="1"/>
  <c r="V153" i="1"/>
  <c r="W153" i="1"/>
  <c r="X153" i="1"/>
  <c r="Y153" i="1"/>
  <c r="Z153" i="1"/>
  <c r="AA153" i="1"/>
  <c r="AB153" i="1"/>
  <c r="AC153" i="1"/>
  <c r="AD143" i="1"/>
  <c r="E105" i="1"/>
  <c r="AD105" i="1" l="1"/>
  <c r="E110" i="1"/>
  <c r="J83" i="1" l="1"/>
  <c r="Y89" i="1" l="1"/>
  <c r="J89" i="1"/>
  <c r="Y70" i="1" l="1"/>
  <c r="T70" i="1"/>
  <c r="E138" i="1"/>
  <c r="AD138" i="1" s="1"/>
  <c r="AD70" i="1" l="1"/>
  <c r="AD37" i="1"/>
  <c r="E128" i="1" l="1"/>
  <c r="E17" i="1"/>
  <c r="AD17" i="1" s="1"/>
  <c r="E89" i="1" l="1"/>
  <c r="AD89" i="1" s="1"/>
  <c r="J19" i="1"/>
  <c r="O19" i="1"/>
  <c r="E19" i="1"/>
  <c r="AD19" i="1" l="1"/>
  <c r="O18" i="1"/>
  <c r="J18" i="1"/>
  <c r="E18" i="1"/>
  <c r="Y13" i="1"/>
  <c r="Y15" i="1"/>
  <c r="T15" i="1"/>
  <c r="O13" i="1"/>
  <c r="O15" i="1"/>
  <c r="E13" i="1"/>
  <c r="E15" i="1"/>
  <c r="AD15" i="1" l="1"/>
  <c r="AD13" i="1"/>
  <c r="Y137" i="1"/>
  <c r="T137" i="1"/>
  <c r="O137" i="1"/>
  <c r="J137" i="1"/>
  <c r="E137" i="1"/>
  <c r="F27" i="1"/>
  <c r="E120" i="1"/>
  <c r="E142" i="1"/>
  <c r="E140" i="1"/>
  <c r="E134" i="1"/>
  <c r="J29" i="1"/>
  <c r="J20" i="1"/>
  <c r="O20" i="1"/>
  <c r="T20" i="1"/>
  <c r="Y20" i="1"/>
  <c r="Y142" i="1"/>
  <c r="Y141" i="1"/>
  <c r="Y140" i="1"/>
  <c r="Y136" i="1"/>
  <c r="Y134" i="1"/>
  <c r="Y133" i="1"/>
  <c r="Y132" i="1"/>
  <c r="Y131" i="1"/>
  <c r="Y130" i="1"/>
  <c r="Y129" i="1"/>
  <c r="Y128" i="1"/>
  <c r="Y127" i="1"/>
  <c r="Y126" i="1"/>
  <c r="Y125" i="1"/>
  <c r="Y124" i="1"/>
  <c r="Y123" i="1"/>
  <c r="Y122" i="1"/>
  <c r="Y121" i="1"/>
  <c r="Y120" i="1"/>
  <c r="Y119" i="1"/>
  <c r="Y113" i="1"/>
  <c r="Y112" i="1"/>
  <c r="Y110" i="1"/>
  <c r="Y108" i="1"/>
  <c r="Y107" i="1"/>
  <c r="Y104" i="1"/>
  <c r="Y103" i="1"/>
  <c r="Y102" i="1"/>
  <c r="T142" i="1"/>
  <c r="T141" i="1"/>
  <c r="T140" i="1"/>
  <c r="T136" i="1"/>
  <c r="T134" i="1"/>
  <c r="T133" i="1"/>
  <c r="T132" i="1"/>
  <c r="T131" i="1"/>
  <c r="T130" i="1"/>
  <c r="T129" i="1"/>
  <c r="T128" i="1"/>
  <c r="T127" i="1"/>
  <c r="T126" i="1"/>
  <c r="T125" i="1"/>
  <c r="T124" i="1"/>
  <c r="T123" i="1"/>
  <c r="T122" i="1"/>
  <c r="T121" i="1"/>
  <c r="T120" i="1"/>
  <c r="T119" i="1"/>
  <c r="T114" i="1"/>
  <c r="T113" i="1"/>
  <c r="T112" i="1"/>
  <c r="T110" i="1"/>
  <c r="T108" i="1"/>
  <c r="T107" i="1"/>
  <c r="T104" i="1"/>
  <c r="T103" i="1"/>
  <c r="T102" i="1"/>
  <c r="O142" i="1"/>
  <c r="O141" i="1"/>
  <c r="O140" i="1"/>
  <c r="O136" i="1"/>
  <c r="O134" i="1"/>
  <c r="O133" i="1"/>
  <c r="O132" i="1"/>
  <c r="O131" i="1"/>
  <c r="O130" i="1"/>
  <c r="O129" i="1"/>
  <c r="O128" i="1"/>
  <c r="O127" i="1"/>
  <c r="O126" i="1"/>
  <c r="O125" i="1"/>
  <c r="O124" i="1"/>
  <c r="O123" i="1"/>
  <c r="O122" i="1"/>
  <c r="O121" i="1"/>
  <c r="O120" i="1"/>
  <c r="O119" i="1"/>
  <c r="O113" i="1"/>
  <c r="O112" i="1"/>
  <c r="O110" i="1"/>
  <c r="O108" i="1"/>
  <c r="O107" i="1"/>
  <c r="O104" i="1"/>
  <c r="O103" i="1"/>
  <c r="O102" i="1"/>
  <c r="J142" i="1"/>
  <c r="J141" i="1"/>
  <c r="J140" i="1"/>
  <c r="J136" i="1"/>
  <c r="J134" i="1"/>
  <c r="J133" i="1"/>
  <c r="J132" i="1"/>
  <c r="J131" i="1"/>
  <c r="J130" i="1"/>
  <c r="J129" i="1"/>
  <c r="J128" i="1"/>
  <c r="J127" i="1"/>
  <c r="J126" i="1"/>
  <c r="J125" i="1"/>
  <c r="J124" i="1"/>
  <c r="J123" i="1"/>
  <c r="J122" i="1"/>
  <c r="J121" i="1"/>
  <c r="J120" i="1"/>
  <c r="J119" i="1"/>
  <c r="J113" i="1"/>
  <c r="J112" i="1"/>
  <c r="J110" i="1"/>
  <c r="J108" i="1"/>
  <c r="J107" i="1"/>
  <c r="J104" i="1"/>
  <c r="J103" i="1"/>
  <c r="J102" i="1"/>
  <c r="E141" i="1"/>
  <c r="E136" i="1"/>
  <c r="E132" i="1"/>
  <c r="E131" i="1"/>
  <c r="E130" i="1"/>
  <c r="E129" i="1"/>
  <c r="E127" i="1"/>
  <c r="E126" i="1"/>
  <c r="E125" i="1"/>
  <c r="E124" i="1"/>
  <c r="E123" i="1"/>
  <c r="E122" i="1"/>
  <c r="E121" i="1"/>
  <c r="E119" i="1"/>
  <c r="E113" i="1"/>
  <c r="E112" i="1"/>
  <c r="E108" i="1"/>
  <c r="E107" i="1"/>
  <c r="E104" i="1"/>
  <c r="E103" i="1"/>
  <c r="Y95" i="1"/>
  <c r="Y94" i="1"/>
  <c r="Y92" i="1"/>
  <c r="Y90" i="1"/>
  <c r="Y87" i="1"/>
  <c r="Y85" i="1"/>
  <c r="Y84" i="1"/>
  <c r="Y83" i="1"/>
  <c r="Y82" i="1"/>
  <c r="Y81" i="1"/>
  <c r="T95" i="1"/>
  <c r="T94" i="1"/>
  <c r="T92" i="1"/>
  <c r="T90" i="1"/>
  <c r="T88" i="1"/>
  <c r="T87" i="1"/>
  <c r="T85" i="1"/>
  <c r="T84" i="1"/>
  <c r="T83" i="1"/>
  <c r="T82" i="1"/>
  <c r="T81" i="1"/>
  <c r="O82" i="1"/>
  <c r="O99" i="1" s="1"/>
  <c r="J95" i="1"/>
  <c r="J94" i="1"/>
  <c r="J92" i="1"/>
  <c r="J90" i="1"/>
  <c r="J88" i="1"/>
  <c r="J87" i="1"/>
  <c r="J85" i="1"/>
  <c r="J82" i="1"/>
  <c r="E95" i="1"/>
  <c r="E94" i="1"/>
  <c r="E92" i="1"/>
  <c r="E90" i="1"/>
  <c r="E88" i="1"/>
  <c r="E87" i="1"/>
  <c r="E85" i="1"/>
  <c r="E84" i="1"/>
  <c r="E83" i="1"/>
  <c r="E82" i="1"/>
  <c r="E81" i="1"/>
  <c r="Y72" i="1"/>
  <c r="Y71" i="1"/>
  <c r="Y69" i="1"/>
  <c r="Y68" i="1"/>
  <c r="T72" i="1"/>
  <c r="T71" i="1"/>
  <c r="T69" i="1"/>
  <c r="T68" i="1"/>
  <c r="O74" i="1"/>
  <c r="O73" i="1"/>
  <c r="O72" i="1"/>
  <c r="O69" i="1"/>
  <c r="O68" i="1"/>
  <c r="J68" i="1"/>
  <c r="J79" i="1" s="1"/>
  <c r="E75" i="1"/>
  <c r="E74" i="1"/>
  <c r="E73" i="1"/>
  <c r="E72" i="1"/>
  <c r="E71" i="1"/>
  <c r="E69" i="1"/>
  <c r="E68" i="1"/>
  <c r="Y55" i="1"/>
  <c r="Y151" i="1" s="1"/>
  <c r="Y159" i="1" s="1"/>
  <c r="Y51" i="1"/>
  <c r="Y50" i="1"/>
  <c r="Y48" i="1"/>
  <c r="Y46" i="1"/>
  <c r="Y45" i="1"/>
  <c r="Y43" i="1"/>
  <c r="Y40" i="1"/>
  <c r="Y152" i="1" s="1"/>
  <c r="Y160" i="1" s="1"/>
  <c r="Y39" i="1"/>
  <c r="Y36" i="1"/>
  <c r="Y35" i="1"/>
  <c r="T55" i="1"/>
  <c r="T159" i="1" s="1"/>
  <c r="T51" i="1"/>
  <c r="R51" i="1" s="1"/>
  <c r="R65" i="1" s="1"/>
  <c r="T48" i="1"/>
  <c r="T46" i="1"/>
  <c r="T45" i="1"/>
  <c r="T43" i="1"/>
  <c r="T40" i="1"/>
  <c r="T39" i="1"/>
  <c r="T36" i="1"/>
  <c r="T35" i="1"/>
  <c r="O55" i="1"/>
  <c r="O151" i="1" s="1"/>
  <c r="O46" i="1"/>
  <c r="O45" i="1"/>
  <c r="O43" i="1"/>
  <c r="O40" i="1"/>
  <c r="O39" i="1"/>
  <c r="O36" i="1"/>
  <c r="O35" i="1"/>
  <c r="J50" i="1"/>
  <c r="J48" i="1"/>
  <c r="J46" i="1"/>
  <c r="J45" i="1"/>
  <c r="J40" i="1"/>
  <c r="J39" i="1"/>
  <c r="J36" i="1"/>
  <c r="J35" i="1"/>
  <c r="E36" i="1"/>
  <c r="E39" i="1"/>
  <c r="E40" i="1"/>
  <c r="E152" i="1" s="1"/>
  <c r="E43" i="1"/>
  <c r="E45" i="1"/>
  <c r="E46" i="1"/>
  <c r="E48" i="1"/>
  <c r="E50" i="1"/>
  <c r="E35" i="1"/>
  <c r="E29" i="1"/>
  <c r="Y32" i="1"/>
  <c r="Y31" i="1"/>
  <c r="Y30" i="1"/>
  <c r="Y29" i="1"/>
  <c r="T32" i="1"/>
  <c r="T31" i="1"/>
  <c r="T30" i="1"/>
  <c r="T29" i="1"/>
  <c r="O32" i="1"/>
  <c r="O31" i="1"/>
  <c r="O30" i="1"/>
  <c r="O29" i="1"/>
  <c r="J32" i="1"/>
  <c r="J30" i="1"/>
  <c r="E30" i="1"/>
  <c r="E32" i="1"/>
  <c r="Y24" i="1"/>
  <c r="Y21" i="1"/>
  <c r="Y18" i="1"/>
  <c r="Y14" i="1"/>
  <c r="T24" i="1"/>
  <c r="T21" i="1"/>
  <c r="T18" i="1"/>
  <c r="T14" i="1"/>
  <c r="O24" i="1"/>
  <c r="O14" i="1"/>
  <c r="J24" i="1"/>
  <c r="J21" i="1"/>
  <c r="J14" i="1"/>
  <c r="E14" i="1"/>
  <c r="E21" i="1"/>
  <c r="E24" i="1"/>
  <c r="F33" i="1"/>
  <c r="G33" i="1"/>
  <c r="H33" i="1"/>
  <c r="I33" i="1"/>
  <c r="K33" i="1"/>
  <c r="L33" i="1"/>
  <c r="M33" i="1"/>
  <c r="N33" i="1"/>
  <c r="P33" i="1"/>
  <c r="Q33" i="1"/>
  <c r="R33" i="1"/>
  <c r="S33" i="1"/>
  <c r="U33" i="1"/>
  <c r="V33" i="1"/>
  <c r="V149" i="1" s="1"/>
  <c r="W33" i="1"/>
  <c r="X33" i="1"/>
  <c r="Z33" i="1"/>
  <c r="AA33" i="1"/>
  <c r="AB33" i="1"/>
  <c r="AC33" i="1"/>
  <c r="Q27" i="1"/>
  <c r="E20" i="1"/>
  <c r="I27" i="1"/>
  <c r="S27" i="1"/>
  <c r="R27" i="1"/>
  <c r="G27" i="1"/>
  <c r="E133" i="1"/>
  <c r="E102" i="1"/>
  <c r="AD130" i="1" l="1"/>
  <c r="V150" i="1"/>
  <c r="V157" i="1"/>
  <c r="U158" i="1"/>
  <c r="U157" i="1"/>
  <c r="T27" i="1"/>
  <c r="AD114" i="1"/>
  <c r="Y99" i="1"/>
  <c r="AD123" i="1"/>
  <c r="AD127" i="1"/>
  <c r="Y27" i="1"/>
  <c r="Y147" i="1"/>
  <c r="T99" i="1"/>
  <c r="T147" i="1"/>
  <c r="E27" i="1"/>
  <c r="AD121" i="1"/>
  <c r="AD14" i="1"/>
  <c r="AD103" i="1"/>
  <c r="AD112" i="1"/>
  <c r="AD125" i="1"/>
  <c r="AD141" i="1"/>
  <c r="AD133" i="1"/>
  <c r="Y79" i="1"/>
  <c r="AD107" i="1"/>
  <c r="AD132" i="1"/>
  <c r="AD110" i="1"/>
  <c r="AD128" i="1"/>
  <c r="E160" i="1"/>
  <c r="O159" i="1"/>
  <c r="AE159" i="1" s="1"/>
  <c r="AE151" i="1"/>
  <c r="AD102" i="1"/>
  <c r="AD104" i="1"/>
  <c r="AD108" i="1"/>
  <c r="AD113" i="1"/>
  <c r="AD119" i="1"/>
  <c r="AD122" i="1"/>
  <c r="AD124" i="1"/>
  <c r="AD129" i="1"/>
  <c r="AD131" i="1"/>
  <c r="AD136" i="1"/>
  <c r="AD126" i="1"/>
  <c r="O152" i="1"/>
  <c r="O160" i="1" s="1"/>
  <c r="AD153" i="1"/>
  <c r="T152" i="1"/>
  <c r="T160" i="1" s="1"/>
  <c r="AD66" i="1"/>
  <c r="J168" i="1"/>
  <c r="J152" i="1"/>
  <c r="J160" i="1" s="1"/>
  <c r="AD82" i="1"/>
  <c r="AD137" i="1"/>
  <c r="J27" i="1"/>
  <c r="E99" i="1"/>
  <c r="AD83" i="1"/>
  <c r="AD140" i="1"/>
  <c r="AD120" i="1"/>
  <c r="AD142" i="1"/>
  <c r="AD24" i="1"/>
  <c r="J99" i="1"/>
  <c r="AD87" i="1"/>
  <c r="AD134" i="1"/>
  <c r="Q51" i="1"/>
  <c r="Q65" i="1" s="1"/>
  <c r="Y65" i="1"/>
  <c r="AD55" i="1"/>
  <c r="AD40" i="1"/>
  <c r="AD39" i="1"/>
  <c r="AD45" i="1"/>
  <c r="AD32" i="1"/>
  <c r="AD18" i="1"/>
  <c r="AD30" i="1"/>
  <c r="AD85" i="1"/>
  <c r="AD31" i="1"/>
  <c r="AD35" i="1"/>
  <c r="Y33" i="1"/>
  <c r="AD29" i="1"/>
  <c r="AD72" i="1"/>
  <c r="AD92" i="1"/>
  <c r="AD21" i="1"/>
  <c r="AD46" i="1"/>
  <c r="AD68" i="1"/>
  <c r="AD73" i="1"/>
  <c r="AD94" i="1"/>
  <c r="AD48" i="1"/>
  <c r="AD75" i="1"/>
  <c r="AD69" i="1"/>
  <c r="AD74" i="1"/>
  <c r="AD88" i="1"/>
  <c r="AD20" i="1"/>
  <c r="AD81" i="1"/>
  <c r="AD36" i="1"/>
  <c r="AD43" i="1"/>
  <c r="AD50" i="1"/>
  <c r="AD71" i="1"/>
  <c r="AD84" i="1"/>
  <c r="AD90" i="1"/>
  <c r="AD95" i="1"/>
  <c r="O147" i="1"/>
  <c r="J147" i="1"/>
  <c r="T33" i="1"/>
  <c r="O27" i="1"/>
  <c r="J33" i="1"/>
  <c r="E33" i="1"/>
  <c r="O33" i="1"/>
  <c r="AD27" i="1" l="1"/>
  <c r="AD79" i="1"/>
  <c r="AD152" i="1"/>
  <c r="AD160" i="1" s="1"/>
  <c r="AD159" i="1"/>
  <c r="T149" i="1"/>
  <c r="T150" i="1"/>
  <c r="AE152" i="1"/>
  <c r="AE160" i="1"/>
  <c r="AD99" i="1"/>
  <c r="AD147" i="1"/>
  <c r="P51" i="1"/>
  <c r="P65" i="1" s="1"/>
  <c r="AD33" i="1"/>
  <c r="P149" i="1" l="1"/>
  <c r="O51" i="1"/>
  <c r="O65" i="1" s="1"/>
  <c r="O149" i="1" s="1"/>
  <c r="P150" i="1" l="1"/>
  <c r="P158" i="1" s="1"/>
  <c r="P157" i="1"/>
  <c r="O164" i="1"/>
  <c r="N51" i="1"/>
  <c r="N65" i="1" s="1"/>
  <c r="N79" i="1"/>
  <c r="M51" i="1" l="1"/>
  <c r="M65" i="1" s="1"/>
  <c r="L51" i="1" l="1"/>
  <c r="L65" i="1" s="1"/>
  <c r="K51" i="1" l="1"/>
  <c r="K65" i="1" s="1"/>
  <c r="K149" i="1" s="1"/>
  <c r="K157" i="1" s="1"/>
  <c r="L149" i="1"/>
  <c r="K150" i="1" l="1"/>
  <c r="K158" i="1" s="1"/>
  <c r="J51" i="1"/>
  <c r="J65" i="1" s="1"/>
  <c r="J149" i="1" s="1"/>
  <c r="J157" i="1" s="1"/>
  <c r="K164" i="1"/>
  <c r="L164" i="1"/>
  <c r="L150" i="1"/>
  <c r="L158" i="1" s="1"/>
  <c r="L157" i="1"/>
  <c r="I52" i="1"/>
  <c r="AC149" i="1"/>
  <c r="I51" i="1" l="1"/>
  <c r="H51" i="1" s="1"/>
  <c r="G51" i="1" s="1"/>
  <c r="J150" i="1"/>
  <c r="J158" i="1" s="1"/>
  <c r="J164" i="1"/>
  <c r="AC157" i="1"/>
  <c r="AC150" i="1"/>
  <c r="AC158" i="1" s="1"/>
  <c r="H65" i="1"/>
  <c r="H149" i="1" s="1"/>
  <c r="AA149" i="1"/>
  <c r="AB149" i="1"/>
  <c r="AB150" i="1" l="1"/>
  <c r="AB158" i="1" s="1"/>
  <c r="AB157" i="1"/>
  <c r="AA157" i="1"/>
  <c r="AA150" i="1"/>
  <c r="AA158" i="1" s="1"/>
  <c r="H150" i="1"/>
  <c r="H158" i="1" s="1"/>
  <c r="H157" i="1"/>
  <c r="F51" i="1"/>
  <c r="G65" i="1"/>
  <c r="G149" i="1" s="1"/>
  <c r="Z149" i="1"/>
  <c r="Z150" i="1" l="1"/>
  <c r="Z158" i="1" s="1"/>
  <c r="Z157" i="1"/>
  <c r="G157" i="1"/>
  <c r="G158" i="1"/>
  <c r="E51" i="1"/>
  <c r="F65" i="1"/>
  <c r="X149" i="1"/>
  <c r="Y149" i="1"/>
  <c r="Y157" i="1" s="1"/>
  <c r="Y150" i="1" l="1"/>
  <c r="Y158" i="1" s="1"/>
  <c r="X150" i="1"/>
  <c r="X158" i="1" s="1"/>
  <c r="X157" i="1"/>
  <c r="AD51" i="1"/>
  <c r="E65" i="1"/>
  <c r="E149" i="1" s="1"/>
  <c r="F149" i="1"/>
  <c r="F150" i="1" s="1"/>
  <c r="W149" i="1"/>
  <c r="E157" i="1" l="1"/>
  <c r="E150" i="1"/>
  <c r="AD65" i="1"/>
  <c r="AD149" i="1" s="1"/>
  <c r="E158" i="1"/>
  <c r="F157" i="1"/>
  <c r="W157" i="1"/>
  <c r="W150" i="1"/>
  <c r="W158" i="1" s="1"/>
  <c r="AD150" i="1" l="1"/>
  <c r="AD158" i="1" s="1"/>
  <c r="AD157" i="1" s="1"/>
  <c r="F158" i="1"/>
  <c r="X167" i="1"/>
  <c r="V158" i="1"/>
  <c r="X163" i="1" l="1"/>
  <c r="S149" i="1"/>
  <c r="T158" i="1" l="1"/>
  <c r="T157" i="1"/>
  <c r="S157" i="1"/>
  <c r="S150" i="1"/>
  <c r="S158" i="1" s="1"/>
  <c r="R149" i="1"/>
  <c r="R150" i="1" l="1"/>
  <c r="R158" i="1" s="1"/>
  <c r="R157" i="1"/>
  <c r="Q149" i="1"/>
  <c r="Q150" i="1" s="1"/>
  <c r="X164" i="1" l="1"/>
  <c r="Q158" i="1"/>
  <c r="Q157" i="1"/>
  <c r="J170" i="1" l="1"/>
  <c r="N149" i="1"/>
  <c r="O157" i="1" l="1"/>
  <c r="O150" i="1"/>
  <c r="N157" i="1"/>
  <c r="N150" i="1"/>
  <c r="N158" i="1" s="1"/>
  <c r="M149" i="1"/>
  <c r="X165" i="1" s="1"/>
  <c r="O158" i="1" l="1"/>
  <c r="AE158" i="1" s="1"/>
  <c r="AE150" i="1"/>
  <c r="M164" i="1"/>
  <c r="M150" i="1"/>
  <c r="M158" i="1" s="1"/>
  <c r="M157" i="1"/>
  <c r="I65" i="1" l="1"/>
  <c r="I149" i="1" s="1"/>
  <c r="I157" i="1" l="1"/>
  <c r="I150" i="1"/>
  <c r="I158" i="1" s="1"/>
  <c r="X166" i="1"/>
</calcChain>
</file>

<file path=xl/sharedStrings.xml><?xml version="1.0" encoding="utf-8"?>
<sst xmlns="http://schemas.openxmlformats.org/spreadsheetml/2006/main" count="412" uniqueCount="320">
  <si>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</si>
  <si>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</si>
  <si>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</si>
  <si>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</si>
  <si>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</si>
  <si>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</si>
  <si>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</si>
  <si>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</si>
  <si>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</si>
  <si>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</si>
  <si>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</si>
  <si>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</si>
  <si>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</si>
  <si>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</si>
  <si>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</si>
  <si>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</si>
  <si>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</si>
  <si>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</si>
  <si>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</si>
  <si>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</si>
  <si>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</si>
  <si>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</si>
  <si>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</si>
  <si>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</si>
  <si>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</si>
  <si>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</si>
  <si>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</si>
  <si>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</si>
  <si>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</si>
  <si>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</si>
  <si>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</si>
  <si>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</si>
  <si>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</si>
  <si>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</si>
  <si>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</si>
  <si>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</si>
  <si>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</si>
  <si>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</si>
  <si>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</si>
  <si>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</si>
  <si>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</si>
  <si>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</si>
  <si>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</si>
  <si>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</si>
  <si>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</si>
  <si>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</si>
  <si>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</si>
  <si>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</si>
  <si>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</si>
  <si>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</si>
  <si>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</si>
  <si>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</si>
  <si>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</si>
  <si>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</si>
  <si>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</si>
  <si>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</si>
  <si>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</si>
  <si>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</si>
  <si>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</si>
  <si>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</si>
  <si>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</si>
  <si>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</si>
  <si>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</si>
  <si>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</si>
  <si>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</si>
  <si>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</si>
  <si>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</si>
  <si>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</si>
  <si>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</si>
  <si>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</si>
  <si>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</si>
  <si>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</si>
  <si>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Итого по задаче 1:</t>
  </si>
  <si>
    <t xml:space="preserve">Итого по задаче 2: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</si>
  <si>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</si>
  <si>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</si>
  <si>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</si>
  <si>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</si>
  <si>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</si>
  <si>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</si>
  <si>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</si>
  <si>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</si>
  <si>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</si>
  <si>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 МБУК ТХМ (корпус отдела современного искусства),</t>
  </si>
  <si>
    <t xml:space="preserve">МБУ ДО ДХШ № 3, </t>
  </si>
  <si>
    <t xml:space="preserve">МБУ ДО ДМШ № 4 им.В.М.Свердлова,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</si>
  <si>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</si>
  <si>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</si>
  <si>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</si>
  <si>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</si>
  <si>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</si>
  <si>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</si>
  <si>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</si>
  <si>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</si>
  <si>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</si>
  <si>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</si>
  <si>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</si>
  <si>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</si>
  <si>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</si>
  <si>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</si>
  <si>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</si>
  <si>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</si>
  <si>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</si>
  <si>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</si>
  <si>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</si>
  <si>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</si>
  <si>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</si>
  <si>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</si>
  <si>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</si>
  <si>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</si>
  <si>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</si>
  <si>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</si>
  <si>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</si>
  <si>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</si>
  <si>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</si>
  <si>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</si>
  <si>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</si>
  <si>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</si>
  <si>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</si>
  <si>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</si>
  <si>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</si>
  <si>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</si>
  <si>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</si>
  <si>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</si>
  <si>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</si>
  <si>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</si>
  <si>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</si>
  <si>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</si>
  <si>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</si>
  <si>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</si>
  <si>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</si>
  <si>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</si>
  <si>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</si>
  <si>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 xml:space="preserve"> МАУ "КЦ "Автоград", МАУ КДЦ "Буревестник"
(департамент культуры)</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</si>
  <si>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</si>
  <si>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</si>
  <si>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</si>
  <si>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</si>
  <si>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</si>
  <si>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</si>
  <si>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</si>
  <si>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</si>
  <si>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</si>
  <si>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</si>
  <si>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</si>
  <si>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</si>
  <si>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</si>
  <si>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</si>
  <si>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</si>
  <si>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</si>
  <si>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</si>
  <si>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</si>
  <si>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</si>
  <si>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</si>
  <si>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</si>
  <si>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департамент градостроительной деятельности</t>
  </si>
  <si>
    <t>Дом, в котором в 1870 году останавливался И.Е.Репин</t>
  </si>
  <si>
    <t>ДК</t>
  </si>
  <si>
    <t>дгд</t>
  </si>
  <si>
    <t>обл.</t>
  </si>
  <si>
    <t>дк</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</si>
  <si>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</si>
  <si>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</si>
  <si>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</si>
  <si>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</si>
  <si>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</si>
  <si>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</si>
  <si>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</si>
  <si>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</si>
  <si>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</si>
  <si>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</si>
  <si>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</si>
  <si>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</si>
  <si>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</si>
  <si>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</si>
  <si>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</si>
  <si>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</si>
  <si>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</si>
  <si>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Реализация проекта "Герои нашего двора"</t>
  </si>
  <si>
    <t>МАУ КДЦ "Буревестник" 
(департамент культуры)</t>
  </si>
  <si>
    <t>5.9.</t>
  </si>
  <si>
    <t>5.10.</t>
  </si>
  <si>
    <t>2019 - 2020</t>
  </si>
  <si>
    <t>2019 - 2023</t>
  </si>
  <si>
    <t>Создание раздела истории культуры на ИНТЕРНЕТ-сайте "Тольятти. Культурная карта"</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</si>
  <si>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</si>
  <si>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</si>
  <si>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</si>
  <si>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</si>
  <si>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</si>
  <si>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</si>
  <si>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</si>
  <si>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</si>
  <si>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</si>
  <si>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</si>
  <si>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</si>
  <si>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</si>
  <si>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</si>
  <si>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</si>
  <si>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</si>
  <si>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</si>
  <si>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</si>
  <si>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</si>
  <si>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</si>
  <si>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</si>
  <si>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</si>
  <si>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</si>
  <si>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</si>
  <si>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</si>
  <si>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</si>
  <si>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</si>
  <si>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</si>
  <si>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</si>
  <si>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</si>
  <si>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</si>
  <si>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</si>
  <si>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</si>
  <si>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</si>
  <si>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</si>
  <si>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</si>
  <si>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</si>
  <si>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</si>
  <si>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</si>
  <si>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898= 211ОУ+687ДК</t>
  </si>
  <si>
    <t>Фестиваль "#VOLGA_TLT"</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</si>
  <si>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</si>
  <si>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</si>
  <si>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</si>
  <si>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</si>
  <si>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</si>
  <si>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</si>
  <si>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</si>
  <si>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2019, 2020, 2021</t>
  </si>
  <si>
    <t>2020, 2021</t>
  </si>
  <si>
    <t>2019, 2020, 2021, 2023</t>
  </si>
  <si>
    <t>2019-2020</t>
  </si>
  <si>
    <t>2019, 2020, 2023</t>
  </si>
  <si>
    <t>2019, 2021, 2022, 2023</t>
  </si>
  <si>
    <t>-</t>
  </si>
  <si>
    <t>2022-2023</t>
  </si>
  <si>
    <t>2021-2023</t>
  </si>
  <si>
    <t>Биб-ки Тольятти</t>
  </si>
  <si>
    <t>Автоград</t>
  </si>
  <si>
    <t>ОДБ</t>
  </si>
  <si>
    <t>областной</t>
  </si>
  <si>
    <t>всего вышестоящий</t>
  </si>
  <si>
    <t>федеральный</t>
  </si>
  <si>
    <t xml:space="preserve">Проведение капитального ремонта (частично),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 в муниципальных музеях: </t>
  </si>
  <si>
    <t>6.9.</t>
  </si>
  <si>
    <t>Проектно-изыскательские работы на восстановление стелы-панно "Радость труда"</t>
  </si>
  <si>
    <r>
      <t>МБУК "Библиотеки Тольятти", МБУК ОДБ</t>
    </r>
    <r>
      <rPr>
        <sz val="12"/>
        <rFont val="Times New Roman"/>
        <family val="1"/>
        <charset val="204"/>
      </rPr>
      <t xml:space="preserve"> (департамент культуры)</t>
    </r>
  </si>
  <si>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</si>
  <si>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</si>
  <si>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</si>
  <si>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</si>
  <si>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</si>
  <si>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</si>
  <si>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</si>
  <si>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</si>
  <si>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</si>
  <si>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 xml:space="preserve">МБУ ДО ДШИ "Лицей искусств", </t>
  </si>
  <si>
    <t>6.10.</t>
  </si>
  <si>
    <t xml:space="preserve"> МАУ "КЦ "Автоград" 
(департамент культуры)</t>
  </si>
  <si>
    <t>Восстановление монументально-мозаичной стелы-панно "Радость труда"  в рамках капитального ремонта</t>
  </si>
  <si>
    <t>5.12.</t>
  </si>
  <si>
    <t>Реализация инициативных проектов</t>
  </si>
  <si>
    <t xml:space="preserve">2020, 2021 </t>
  </si>
  <si>
    <t>Оплата  принятых в 2020 году обязательств</t>
  </si>
  <si>
    <t>Оплата ранее принятых в 2019 году обязательств</t>
  </si>
  <si>
    <t xml:space="preserve">Создание ИНТЕРНЕТ-сайта "Тольятти. Культурная карта" для  продвижения  культурных продуктов и социокультурных проектов, обеспечивающего информирование о многообразии и равномерности культурного обслуживания </t>
  </si>
  <si>
    <t>1.10.</t>
  </si>
  <si>
    <t>Обеспечение оплаты обучения в образовательных учреждениях высшего образования</t>
  </si>
  <si>
    <t>4.11.</t>
  </si>
  <si>
    <t>МАУ "КЦ "Автоград"</t>
  </si>
  <si>
    <t>Приобретение оборудования для обеспечения учета,  автоматизации и хранения музейных предметов;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</si>
  <si>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Создание модельных  муниципальных библиотек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</si>
  <si>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Пополнение книжных фондов, в том числе электронная подписка полнотекстовых электронных документов "ЛитРес";
(государственная программа "Развитие культуры в Самарской области на период до 2024")</t>
  </si>
  <si>
    <t>Предоставление из областного бюджета в 2022 году бюджету городского округа Тольятти иного межбюджетного трансферта на выплату денежных поощрений за лучшие концертные программы и выставки декоративно-прикладного творчества
(государственная программа "Развитие культуры в Самарской области на период до 2024")</t>
  </si>
  <si>
    <t>Реализация общественных проектов
(государственная программа "Поддержка инициатив населения муниципальных образований в Самарской области на 2017-2025 годы")</t>
  </si>
  <si>
    <t>Поддержка творческой деятельности и техническое оснащение детских и кукольных театров 
(государственная программа "Развитие культуры в Самарской области на период до 2024")</t>
  </si>
  <si>
    <t>МБУК ТКМ,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</si>
  <si>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МБУИиК г.о.Тольятти "Тольяттинская филармония", (Национальный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</si>
  <si>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Создание виртуальных концертных залов
(Национальный проект «Культура», федеральный проект «Цифровая культура», государственная программа "Развитие культуры в Самарской области на период до 2024" )</t>
  </si>
  <si>
    <t>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(государственная программа "Развитие культуры в Самарской области на период до 2024")</t>
  </si>
  <si>
    <t>Приобретение оборудования в целях создания  выставочно-экспозиционного комплекса (Выставочный зал  50-летия «АВТОВАЗА») 
(государственная программа "Развитие культуры в Самарской области на период до 2024")</t>
  </si>
  <si>
    <t>Оплата  принятых в 2018 году обязательств 
(государственная программа "Развитие культуры в Самарской области на период до 2024")</t>
  </si>
  <si>
    <t>МАУ КДЦ "Буревестник"</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</si>
  <si>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 МАУ КДЦ "Буревестник", МБУК "Библиотеки Тольятти"</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</si>
  <si>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t>
  </si>
  <si>
    <t xml:space="preserve">МБУК "Библиотеки Тольятти", МАУ КДЦ "Буревестник", МАУИ "ТЮЗ "Дилижанс", МБУ ДО ДМШ № 4 им. В.М. Свердлова, МБУИ г.о. Тольятти "МДТ", МБУК ТКМ, МБУ ДО Детская Школа искусств Центрального района,                                                 (департамент культуры)  </t>
  </si>
  <si>
    <t>МБУК ТХМ, МБУК ТКМ 
(департамент культуры)</t>
  </si>
  <si>
    <t>МБУ ДО Детская Школа искусств им. М.А. Балакирева, МБОУ  ВО ТК, МБУ ДО ДМШ № 4 им. В.М. Свердлова,  МБУ ДО Детская Школа искусств Центрального района, МБУ ДО ДШИ "Лицей искусств", МБУК ТКМ,  МБУК ТХМ, МБУК ОДБ,  МАУ "КЦ "Автоград",  МБУ ДО ДДК
 (департамент культуры )</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</si>
  <si>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ДШИ "Лицей искусств",  МБУ ДО ДШИ им. Г.В. Свиридова, МБУ ДО ДШИ "Гармония", МБУ ДО ДШИ "Камертон", МБУ ДО ДШИ "Форте", МБУ ДО ДХШ им. М.М. Плисецкой, МБУ ДО ДДК, МБУ ДО ЦРТДЮ "Истоки", МБУ ДО Детская Школа искусств  № 1, МБУ ДО ДМШ № 4 им. В.М. Свердлова, МБУ ДО Детская Школа искусств им. М.А. Балакирева, МБУ ДО Детская Школа искусств Центрального района, МБУ ДО ДМШ № 3,  МБУ ДО ДХШ № 3, МБОУ ВО "Тольттинская консерватория"
(департамент культуры )</t>
  </si>
  <si>
    <t>МБУК ТКМ, МБУИиК г.о. Тольятти "Тольяттинская филармония", МБУК "Библиотеки Тольятти", МБУДО ДХШ им. М. Шагала, МБОУ ВО ТК   
(департамент культуры)</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</si>
  <si>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 администрации городского округа Тольятти (далее - департамент культуры)            </t>
  </si>
  <si>
    <t xml:space="preserve"> МБУ ДО ДМШ № 4 им. В.М. Свердлова,  МБУ ДО Детская Школа искусств им. М.А. Балакирева, МБУ ДО Детская Школа искусств Центрального района,  МБУДО ДХШ им. М. Шагала, МБУК ГМК "Наследие"
(департамент культуры )</t>
  </si>
  <si>
    <t xml:space="preserve">МБУ ДО ДШИ Центрального района, </t>
  </si>
  <si>
    <t>МБУ ДО ДШИ "Лицей искусств", МБУ ДО ДХШ № 3, МБУ ДО ДШИ им. Г.В. Свиридова, МБУ ДО ДШИ "Гармония", МБУ ДО ДШИ "Камертон", МБУ ДО ДШИ "Форте", МБУДО ДХШ № 1, МБУ ДО ДМШ № 3, МБУ ДО ДХШ им. И.Е. Репина, МБУ ДО ДХШ им. М.М. Плисецкой, МБУ ДО ДДК, МБУ ДО ЦРТДЮ "Истоки", МБУ ДО Детская Школа искусств  № 1, МБУДО ДХШ им. М. Шагала, МБУ ДО ДМШ № 4 им. В.М. Свердлова, МБУ ДО Детская Школа искусств им. М.А. Балакирева, МБУ ДО Детская Школа искусств Центрального района,  МБОУ ВО ТК  
(департамент культуры)</t>
  </si>
  <si>
    <r>
      <t xml:space="preserve">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 </t>
    </r>
    <r>
      <rPr>
        <sz val="12"/>
        <color rgb="FFFF0000"/>
        <rFont val="Times New Roman"/>
        <family val="1"/>
        <charset val="204"/>
      </rPr>
      <t>укрепление материально-технической базы учреждения.</t>
    </r>
  </si>
  <si>
    <r>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t>
    </r>
    <r>
      <rPr>
        <sz val="12"/>
        <color rgb="FFFF0000"/>
        <rFont val="Times New Roman"/>
        <family val="1"/>
        <charset val="204"/>
      </rPr>
      <t xml:space="preserve"> мероприятий по обеспечению беспрепятственного доступа инвалидов и других маломобильных групп населенеия, разработка проектно-сметной документации: :</t>
    </r>
    <r>
      <rPr>
        <sz val="12"/>
        <rFont val="Times New Roman"/>
        <family val="1"/>
        <charset val="204"/>
      </rPr>
      <t xml:space="preserve"> </t>
    </r>
  </si>
  <si>
    <t xml:space="preserve">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учебных материалов
 </t>
  </si>
  <si>
    <t>(Национальный проект «Культура», федеральный проект «Культурная среда», государственная программа "Развитие культуры в Самарской области на период до 2024" )</t>
  </si>
  <si>
    <t xml:space="preserve">Пополнение книжных фондов, в том числе электронная подписка полнотекстовых электронных документов "ЛитРес".
</t>
  </si>
  <si>
    <t xml:space="preserve">Приобретение оборудования для обеспечения учета,  автоматизации и хранения музейных предметов; 
</t>
  </si>
  <si>
    <t>МБУК ТКМ</t>
  </si>
  <si>
    <t xml:space="preserve">МБУ ДО ДДК, </t>
  </si>
  <si>
    <t>МБУ ДО Детская Школа искусств им. М.А. Балакирева, МБУ ДО ДШИ "Лицей искусств"
 (департамент культуры )</t>
  </si>
  <si>
    <t>2020, 2022</t>
  </si>
  <si>
    <t xml:space="preserve">Создание модельных  муниципальных библиотек </t>
  </si>
  <si>
    <t>2019,2021,2022</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</si>
  <si>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 (Государственная программа "Развитие культуры в Самарской области на период до 2024" )</t>
  </si>
  <si>
    <t>МАУИ "ТЮЗ "Дилижанс"
(государственная программа "Развитие культуры в Самарской области на период до 2024")</t>
  </si>
  <si>
    <t>МАУИ "ТЮЗ "Дилижанс"</t>
  </si>
  <si>
    <t>МАУИ "ТЮЗ "Дилижанс"
Оплата  принятых в 2018 году обязательств
(государственная программа "Развитие культуры в Самарской области на период до 2024")</t>
  </si>
  <si>
    <r>
      <t xml:space="preserve">Проведение капитального ремонта (частично), текущего ремонта, мероприятий по разработке проектно-сметной документации и по обеспечению эксплуатационных требований согласно нормам безопасности </t>
    </r>
    <r>
      <rPr>
        <sz val="12"/>
        <color rgb="FFFF0000"/>
        <rFont val="Times New Roman"/>
        <family val="1"/>
        <charset val="204"/>
      </rPr>
      <t xml:space="preserve"> укрепление материально-технической базы </t>
    </r>
    <r>
      <rPr>
        <sz val="12"/>
        <rFont val="Times New Roman"/>
        <family val="1"/>
        <charset val="204"/>
      </rPr>
      <t xml:space="preserve">в муниципальных культурно-досуговых учреждениях: МАУ "КЦ "Автоград",  МАУ КДЦ "Буревестник".
</t>
    </r>
  </si>
  <si>
    <t>МАУ "КЦ "Автоград"  ( Государственная программа "Развитие культуры в Самарской области на период до 2024" )</t>
  </si>
  <si>
    <t xml:space="preserve">МАУ "КЦ "Автоград" </t>
  </si>
  <si>
    <t>МБУ ДО ДДК
 (государственная программа "Развитие культуры в Самарской области на период до 2024")</t>
  </si>
  <si>
    <t>Оплата  принятых в 2020 году обязательств
(государственная программа "Развитие культуры в Самарской области на период до 2024")</t>
  </si>
  <si>
    <r>
      <rPr>
        <sz val="12"/>
        <rFont val="Times New Roman"/>
        <family val="1"/>
        <charset val="204"/>
      </rPr>
      <t xml:space="preserve">Приложение №3   </t>
    </r>
    <r>
      <rPr>
        <sz val="10"/>
        <rFont val="Times New Roman"/>
        <family val="1"/>
        <charset val="204"/>
      </rPr>
      <t xml:space="preserve">                                                                                                                                                                                                                                                                                                        к постановлению администрации городского округа Тольятти                                                                                                                                                                                                                                                                             от ______________№_________________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</si>
</sst>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
      <sz val="12"/>
      <color rgb="FF000000"/>
      <name val="Times New Roman"/>
      <family val="1"/>
      <charset val="204"/>
    </font>
  </fonts>
  <fills count="6">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73">
    <xf numFmtId="0" fontId="0" fillId="0" borderId="0" xfId="0"/>
    <xf numFmtId="0" fontId="9" fillId="0" borderId="0" xfId="0" applyFont="1"/>
    <xf numFmtId="0" fontId="2" fillId="0" borderId="0" xfId="0" applyFont="1"/>
    <xf numFmtId="0" fontId="10" fillId="0" borderId="0" xfId="0" applyFont="1"/>
    <xf numFmtId="0" fontId="11" fillId="0" borderId="0" xfId="0" applyFont="1"/>
    <xf numFmtId="0" fontId="15" fillId="0" borderId="0" xfId="0" applyFont="1"/>
    <xf numFmtId="0" fontId="13" fillId="0" borderId="1" xfId="0" applyFont="1" applyBorder="1"/>
    <xf numFmtId="0" fontId="10" fillId="2" borderId="0" xfId="0" applyFont="1" applyFill="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xf numFmtId="0" fontId="16" fillId="3" borderId="9" xfId="0" applyFont="1" applyFill="1" applyBorder="1"/>
    <xf numFmtId="0" fontId="16" fillId="3" borderId="10" xfId="0" applyFont="1" applyFill="1" applyBorder="1" applyAlignment="1">
      <alignment horizontal="center"/>
    </xf>
    <xf numFmtId="4" fontId="16" fillId="3" borderId="10" xfId="0" applyNumberFormat="1" applyFont="1" applyFill="1" applyBorder="1" applyAlignment="1">
      <alignment horizontal="center"/>
    </xf>
    <xf numFmtId="2" fontId="13" fillId="3" borderId="10" xfId="0" applyNumberFormat="1" applyFont="1" applyFill="1" applyBorder="1" applyAlignment="1">
      <alignment horizontal="center"/>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3" fillId="3" borderId="8" xfId="0" applyNumberFormat="1" applyFont="1" applyFill="1" applyBorder="1" applyAlignment="1">
      <alignment horizontal="center"/>
    </xf>
    <xf numFmtId="2" fontId="13" fillId="0" borderId="1" xfId="0" applyNumberFormat="1" applyFont="1" applyBorder="1" applyAlignment="1">
      <alignment horizontal="center" vertical="center"/>
    </xf>
    <xf numFmtId="0" fontId="13" fillId="0" borderId="0" xfId="0" applyFont="1" applyAlignment="1">
      <alignment horizont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4" fontId="1" fillId="0" borderId="1" xfId="0" applyNumberFormat="1" applyFont="1" applyFill="1" applyBorder="1" applyAlignment="1">
      <alignment horizontal="right" wrapText="1"/>
    </xf>
    <xf numFmtId="4" fontId="12" fillId="0" borderId="1" xfId="0" applyNumberFormat="1" applyFont="1" applyFill="1" applyBorder="1" applyAlignment="1">
      <alignment horizontal="right" wrapText="1"/>
    </xf>
    <xf numFmtId="0" fontId="1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0" xfId="0" applyFont="1" applyFill="1"/>
    <xf numFmtId="0" fontId="1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0" xfId="0" applyFill="1"/>
    <xf numFmtId="0" fontId="9" fillId="0" borderId="0" xfId="0" applyFont="1" applyFill="1"/>
    <xf numFmtId="0" fontId="8" fillId="0" borderId="0" xfId="0" applyFont="1" applyFill="1"/>
    <xf numFmtId="0" fontId="1" fillId="0" borderId="1" xfId="0" applyFont="1" applyFill="1" applyBorder="1" applyAlignment="1">
      <alignment horizontal="center"/>
    </xf>
    <xf numFmtId="0" fontId="1"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xf numFmtId="4" fontId="6"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4" fontId="12" fillId="0" borderId="1" xfId="0" applyNumberFormat="1" applyFont="1" applyFill="1" applyBorder="1" applyAlignment="1">
      <alignment horizontal="right"/>
    </xf>
    <xf numFmtId="0" fontId="1" fillId="0" borderId="4" xfId="0" applyFont="1" applyFill="1" applyBorder="1" applyAlignment="1">
      <alignment horizontal="center" vertical="center" textRotation="90" wrapText="1"/>
    </xf>
    <xf numFmtId="0" fontId="1" fillId="0" borderId="1" xfId="0" applyFont="1" applyFill="1" applyBorder="1" applyAlignment="1">
      <alignment vertical="center" wrapText="1"/>
    </xf>
    <xf numFmtId="0" fontId="6" fillId="0" borderId="1" xfId="0" applyFont="1" applyFill="1" applyBorder="1" applyAlignment="1">
      <alignment wrapText="1"/>
    </xf>
    <xf numFmtId="0" fontId="10" fillId="0" borderId="1" xfId="0" applyFont="1" applyFill="1" applyBorder="1" applyAlignment="1">
      <alignment horizontal="left" vertical="center" wrapText="1"/>
    </xf>
    <xf numFmtId="4" fontId="14" fillId="0" borderId="1" xfId="0" applyNumberFormat="1" applyFont="1" applyFill="1" applyBorder="1" applyAlignment="1">
      <alignment horizontal="right" wrapText="1"/>
    </xf>
    <xf numFmtId="0" fontId="10" fillId="0" borderId="0" xfId="0" applyFont="1" applyFill="1"/>
    <xf numFmtId="16" fontId="1"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2" fillId="0" borderId="0" xfId="0" applyFont="1" applyFill="1"/>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1" fillId="0" borderId="1" xfId="0" applyNumberFormat="1" applyFont="1" applyFill="1" applyBorder="1"/>
    <xf numFmtId="2" fontId="11" fillId="0" borderId="0" xfId="0" applyNumberFormat="1" applyFont="1" applyFill="1"/>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4" fontId="14" fillId="0" borderId="1" xfId="0" applyNumberFormat="1" applyFont="1" applyFill="1" applyBorder="1" applyAlignment="1">
      <alignment horizontal="right"/>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164" fontId="12" fillId="0" borderId="1" xfId="0" applyNumberFormat="1" applyFont="1" applyFill="1" applyBorder="1" applyAlignment="1">
      <alignment horizontal="right" wrapText="1"/>
    </xf>
    <xf numFmtId="164" fontId="12" fillId="0" borderId="1" xfId="0" applyNumberFormat="1" applyFont="1" applyFill="1" applyBorder="1" applyAlignment="1">
      <alignment horizontal="right"/>
    </xf>
    <xf numFmtId="164" fontId="6" fillId="0" borderId="1" xfId="0" applyNumberFormat="1" applyFont="1" applyFill="1" applyBorder="1" applyAlignment="1">
      <alignment horizontal="right" wrapText="1"/>
    </xf>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4" fontId="1" fillId="0" borderId="1" xfId="0" applyNumberFormat="1" applyFont="1" applyFill="1" applyBorder="1" applyAlignment="1">
      <alignment wrapText="1"/>
    </xf>
    <xf numFmtId="4" fontId="12" fillId="0" borderId="1" xfId="0" applyNumberFormat="1" applyFont="1" applyFill="1" applyBorder="1" applyAlignment="1">
      <alignment wrapText="1"/>
    </xf>
    <xf numFmtId="4" fontId="1" fillId="0" borderId="0" xfId="0" applyNumberFormat="1" applyFont="1" applyFill="1"/>
    <xf numFmtId="4" fontId="12" fillId="0" borderId="1" xfId="0" applyNumberFormat="1" applyFont="1" applyFill="1" applyBorder="1"/>
    <xf numFmtId="14"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6" fillId="0" borderId="1" xfId="0" applyFont="1" applyFill="1" applyBorder="1" applyAlignment="1">
      <alignment vertical="center" wrapText="1"/>
    </xf>
    <xf numFmtId="4" fontId="10" fillId="0" borderId="0" xfId="0" applyNumberFormat="1" applyFont="1" applyFill="1"/>
    <xf numFmtId="0" fontId="1" fillId="0" borderId="1" xfId="0" applyFont="1" applyFill="1" applyBorder="1"/>
    <xf numFmtId="164" fontId="1" fillId="0" borderId="1" xfId="0" applyNumberFormat="1" applyFont="1" applyFill="1" applyBorder="1"/>
    <xf numFmtId="0" fontId="12" fillId="0" borderId="1" xfId="0" applyFont="1" applyFill="1" applyBorder="1"/>
    <xf numFmtId="0" fontId="13" fillId="0" borderId="1" xfId="0" applyFont="1" applyFill="1" applyBorder="1"/>
    <xf numFmtId="4" fontId="6" fillId="0" borderId="1" xfId="0" applyNumberFormat="1" applyFont="1" applyFill="1" applyBorder="1"/>
    <xf numFmtId="4" fontId="14" fillId="0" borderId="1" xfId="0" applyNumberFormat="1" applyFont="1" applyFill="1" applyBorder="1"/>
    <xf numFmtId="4" fontId="0" fillId="0" borderId="0" xfId="0" applyNumberFormat="1" applyFill="1"/>
    <xf numFmtId="0" fontId="0" fillId="0" borderId="1" xfId="0" applyFill="1" applyBorder="1"/>
    <xf numFmtId="4" fontId="9" fillId="0" borderId="0" xfId="0" applyNumberFormat="1" applyFont="1" applyFill="1"/>
    <xf numFmtId="4" fontId="11" fillId="0" borderId="0" xfId="0" applyNumberFormat="1" applyFont="1" applyFill="1"/>
    <xf numFmtId="164" fontId="0" fillId="0" borderId="0" xfId="0" applyNumberFormat="1" applyFill="1"/>
    <xf numFmtId="4" fontId="0" fillId="0" borderId="0" xfId="0" applyNumberFormat="1" applyFill="1" applyAlignment="1">
      <alignment horizontal="right"/>
    </xf>
    <xf numFmtId="4" fontId="1" fillId="4" borderId="1" xfId="0" applyNumberFormat="1" applyFont="1" applyFill="1" applyBorder="1" applyAlignment="1">
      <alignment horizontal="right" wrapText="1"/>
    </xf>
    <xf numFmtId="4" fontId="1" fillId="4" borderId="1" xfId="0" applyNumberFormat="1" applyFont="1" applyFill="1" applyBorder="1"/>
    <xf numFmtId="4" fontId="6" fillId="4" borderId="1" xfId="0" applyNumberFormat="1" applyFont="1" applyFill="1" applyBorder="1" applyAlignment="1">
      <alignment horizontal="right" wrapText="1"/>
    </xf>
    <xf numFmtId="0" fontId="1" fillId="0" borderId="3" xfId="0" applyFont="1" applyFill="1" applyBorder="1" applyAlignment="1">
      <alignment horizontal="center" vertical="center" wrapText="1"/>
    </xf>
    <xf numFmtId="0" fontId="9"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textRotation="90" wrapText="1"/>
    </xf>
    <xf numFmtId="0" fontId="1" fillId="4" borderId="1" xfId="0" applyFont="1" applyFill="1" applyBorder="1" applyAlignment="1">
      <alignment horizontal="left" vertical="center" wrapText="1"/>
    </xf>
    <xf numFmtId="4" fontId="1" fillId="4" borderId="1" xfId="0" applyNumberFormat="1" applyFont="1" applyFill="1" applyBorder="1" applyAlignment="1">
      <alignment horizontal="right"/>
    </xf>
    <xf numFmtId="4" fontId="14" fillId="4" borderId="1" xfId="0" applyNumberFormat="1" applyFont="1" applyFill="1" applyBorder="1"/>
    <xf numFmtId="4" fontId="12" fillId="4" borderId="1" xfId="0" applyNumberFormat="1" applyFont="1" applyFill="1" applyBorder="1" applyAlignment="1">
      <alignment horizontal="right" wrapText="1"/>
    </xf>
    <xf numFmtId="4" fontId="12" fillId="4" borderId="1" xfId="0" applyNumberFormat="1" applyFont="1" applyFill="1" applyBorder="1" applyAlignment="1">
      <alignment horizontal="right"/>
    </xf>
    <xf numFmtId="4" fontId="14" fillId="4" borderId="1" xfId="0" applyNumberFormat="1" applyFont="1" applyFill="1" applyBorder="1" applyAlignment="1">
      <alignment horizontal="right" wrapText="1"/>
    </xf>
    <xf numFmtId="4" fontId="1" fillId="4" borderId="1" xfId="0" applyNumberFormat="1" applyFont="1" applyFill="1" applyBorder="1" applyAlignment="1">
      <alignment wrapText="1"/>
    </xf>
    <xf numFmtId="0" fontId="9" fillId="0" borderId="0" xfId="0" applyFont="1" applyFill="1"/>
    <xf numFmtId="0" fontId="1" fillId="0" borderId="3"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0" xfId="0" applyFont="1" applyFill="1"/>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textRotation="90" wrapText="1"/>
    </xf>
    <xf numFmtId="0" fontId="9" fillId="4" borderId="0" xfId="0" applyFont="1" applyFill="1"/>
    <xf numFmtId="0" fontId="1" fillId="4" borderId="1" xfId="0" applyFont="1" applyFill="1" applyBorder="1" applyAlignment="1">
      <alignment vertical="center" wrapText="1"/>
    </xf>
    <xf numFmtId="0" fontId="1" fillId="4" borderId="4" xfId="0" applyFont="1" applyFill="1" applyBorder="1" applyAlignment="1">
      <alignment horizontal="left" vertical="center" wrapText="1"/>
    </xf>
    <xf numFmtId="0" fontId="1" fillId="4" borderId="3" xfId="0" applyFont="1" applyFill="1" applyBorder="1" applyAlignment="1">
      <alignment horizontal="center" vertical="center" textRotation="90" wrapText="1"/>
    </xf>
    <xf numFmtId="4" fontId="6" fillId="0" borderId="1" xfId="0" applyNumberFormat="1" applyFont="1" applyFill="1" applyBorder="1" applyAlignment="1">
      <alignment horizontal="right"/>
    </xf>
    <xf numFmtId="4" fontId="6" fillId="4" borderId="1" xfId="0" applyNumberFormat="1" applyFont="1" applyFill="1" applyBorder="1"/>
    <xf numFmtId="164" fontId="14" fillId="4" borderId="1" xfId="0" applyNumberFormat="1" applyFont="1" applyFill="1" applyBorder="1" applyAlignment="1">
      <alignment horizontal="right" wrapText="1"/>
    </xf>
    <xf numFmtId="4" fontId="12" fillId="5" borderId="1" xfId="0" applyNumberFormat="1" applyFont="1" applyFill="1" applyBorder="1" applyAlignment="1">
      <alignment horizontal="right" wrapText="1"/>
    </xf>
    <xf numFmtId="4" fontId="1" fillId="5" borderId="1" xfId="0" applyNumberFormat="1" applyFont="1" applyFill="1" applyBorder="1" applyAlignment="1">
      <alignment horizontal="right" wrapText="1"/>
    </xf>
    <xf numFmtId="0" fontId="1"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0" xfId="0" applyFont="1" applyFill="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2" xfId="0" applyBorder="1" applyAlignment="1">
      <alignment horizontal="center" vertical="center" textRotation="90" wrapText="1"/>
    </xf>
    <xf numFmtId="0" fontId="0" fillId="0" borderId="4" xfId="0" applyBorder="1" applyAlignment="1">
      <alignment horizontal="center" vertical="center" textRotation="90" wrapText="1"/>
    </xf>
    <xf numFmtId="16" fontId="1" fillId="0" borderId="3" xfId="0" applyNumberFormat="1" applyFont="1" applyFill="1" applyBorder="1" applyAlignment="1">
      <alignment horizontal="center" vertical="center" wrapText="1"/>
    </xf>
    <xf numFmtId="1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2" xfId="0" applyFont="1" applyFill="1" applyBorder="1" applyAlignment="1">
      <alignment horizontal="center" vertical="center" textRotation="90" wrapText="1"/>
    </xf>
    <xf numFmtId="0" fontId="1" fillId="4" borderId="4" xfId="0" applyFont="1" applyFill="1" applyBorder="1" applyAlignment="1">
      <alignment horizontal="center" vertical="center" textRotation="90" wrapText="1"/>
    </xf>
    <xf numFmtId="0" fontId="9" fillId="0" borderId="1" xfId="0" applyFont="1" applyFill="1" applyBorder="1" applyAlignment="1">
      <alignment horizontal="left" vertical="center"/>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vertical="center" wrapText="1"/>
    </xf>
    <xf numFmtId="0" fontId="10" fillId="0"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3"/>
  <sheetViews>
    <sheetView tabSelected="1" view="pageBreakPreview" zoomScale="80" zoomScaleNormal="53" zoomScaleSheetLayoutView="80" workbookViewId="0">
      <pane xSplit="3" ySplit="9" topLeftCell="F10" activePane="bottomRight" state="frozen"/>
      <selection pane="topRight" activeCell="D1" sqref="D1"/>
      <selection pane="bottomLeft" activeCell="A10" sqref="A10"/>
      <selection pane="bottomRight" activeCell="F1" sqref="F1:M1"/>
    </sheetView>
  </sheetViews>
  <sheetFormatPr defaultRowHeight="15" x14ac:dyDescent="0.25"/>
  <cols>
    <col min="1" max="1" width="9.7109375" style="34" customWidth="1"/>
    <col min="2" max="2" width="55.7109375" style="34" customWidth="1"/>
    <col min="3" max="3" width="66.85546875" style="34" customWidth="1"/>
    <col min="4" max="4" width="16.42578125" style="34" customWidth="1"/>
    <col min="5" max="5" width="15.42578125" style="35" customWidth="1"/>
    <col min="6" max="6" width="15" style="35" customWidth="1"/>
    <col min="7" max="7" width="14" style="35" customWidth="1"/>
    <col min="8" max="8" width="14.140625" style="35" customWidth="1"/>
    <col min="9" max="9" width="13.7109375" style="35" customWidth="1"/>
    <col min="10" max="10" width="18.85546875" style="34" customWidth="1"/>
    <col min="11" max="11" width="14.5703125" style="34" customWidth="1"/>
    <col min="12" max="12" width="12.42578125" style="34" customWidth="1"/>
    <col min="13" max="13" width="15.7109375" style="34" customWidth="1"/>
    <col min="14" max="14" width="13.28515625" style="34" customWidth="1"/>
    <col min="15" max="15" width="14.42578125" style="34" customWidth="1"/>
    <col min="16" max="16" width="16" style="34" customWidth="1"/>
    <col min="17" max="17" width="15.5703125" style="34" customWidth="1"/>
    <col min="18" max="19" width="14.28515625" style="34" customWidth="1"/>
    <col min="20" max="20" width="16.28515625" style="34" customWidth="1"/>
    <col min="21" max="21" width="15.7109375" style="34" customWidth="1"/>
    <col min="22" max="22" width="12.5703125" style="34" customWidth="1"/>
    <col min="23" max="23" width="12.140625" style="34" customWidth="1"/>
    <col min="24" max="24" width="19.5703125" style="34" customWidth="1"/>
    <col min="25" max="25" width="15.7109375" style="34" customWidth="1"/>
    <col min="26" max="26" width="14.5703125" style="34" customWidth="1"/>
    <col min="27" max="27" width="14.7109375" style="34" customWidth="1"/>
    <col min="28" max="28" width="17.28515625" style="34" customWidth="1"/>
    <col min="29" max="29" width="14" style="34" customWidth="1"/>
    <col min="30" max="30" width="18.7109375" style="34" customWidth="1"/>
    <col min="31" max="31" width="17.5703125" style="34" customWidth="1"/>
  </cols>
  <sheetData>
    <row r="1" spans="1:31" ht="54.75" customHeight="1" x14ac:dyDescent="0.25">
      <c r="B1" s="35"/>
      <c r="C1" s="35"/>
      <c r="D1" s="35"/>
      <c r="F1" s="134" t="s">
        <v>319</v>
      </c>
      <c r="G1" s="134"/>
      <c r="H1" s="134"/>
      <c r="I1" s="134"/>
      <c r="J1" s="134"/>
      <c r="K1" s="134"/>
      <c r="L1" s="134"/>
      <c r="M1" s="135"/>
      <c r="N1" s="35"/>
      <c r="O1" s="35"/>
      <c r="P1" s="35"/>
      <c r="Q1" s="35"/>
      <c r="R1" s="35"/>
      <c r="S1" s="35"/>
      <c r="T1" s="35"/>
      <c r="U1" s="35"/>
      <c r="V1" s="35"/>
      <c r="W1" s="35"/>
      <c r="X1" s="35"/>
      <c r="Y1" s="35"/>
      <c r="Z1" s="35"/>
      <c r="AA1" s="35"/>
      <c r="AB1" s="35"/>
      <c r="AC1" s="35"/>
      <c r="AD1" s="35"/>
    </row>
    <row r="2" spans="1:31" ht="28.15" customHeight="1" x14ac:dyDescent="0.25">
      <c r="B2" s="35"/>
      <c r="C2" s="35"/>
      <c r="D2" s="35"/>
      <c r="F2" s="134" t="s">
        <v>192</v>
      </c>
      <c r="G2" s="134"/>
      <c r="H2" s="134"/>
      <c r="I2" s="134"/>
      <c r="J2" s="134"/>
      <c r="K2" s="134"/>
      <c r="L2" s="134"/>
      <c r="M2" s="35"/>
      <c r="N2" s="35"/>
      <c r="O2" s="35"/>
      <c r="P2" s="35"/>
      <c r="Q2" s="35"/>
      <c r="R2" s="35"/>
      <c r="S2" s="35"/>
      <c r="T2" s="35"/>
      <c r="U2" s="35"/>
      <c r="V2" s="35"/>
      <c r="W2" s="35"/>
      <c r="X2" s="35"/>
      <c r="Y2" s="35"/>
      <c r="Z2" s="35"/>
      <c r="AA2" s="35"/>
      <c r="AB2" s="35"/>
      <c r="AC2" s="35"/>
      <c r="AD2" s="35"/>
    </row>
    <row r="3" spans="1:31" ht="33" customHeight="1" x14ac:dyDescent="0.25">
      <c r="B3" s="134" t="s">
        <v>27</v>
      </c>
      <c r="C3" s="134"/>
      <c r="D3" s="134"/>
      <c r="J3" s="35"/>
      <c r="K3" s="35"/>
      <c r="L3" s="35"/>
      <c r="M3" s="35"/>
      <c r="N3" s="35"/>
      <c r="O3" s="35"/>
      <c r="P3" s="35"/>
      <c r="Q3" s="35"/>
      <c r="R3" s="35"/>
      <c r="S3" s="35"/>
      <c r="T3" s="35"/>
      <c r="U3" s="35"/>
      <c r="V3" s="35"/>
      <c r="W3" s="35"/>
      <c r="X3" s="35"/>
      <c r="Y3" s="35"/>
      <c r="Z3" s="35"/>
      <c r="AA3" s="35"/>
      <c r="AB3" s="35"/>
      <c r="AC3" s="35"/>
      <c r="AD3" s="35"/>
    </row>
    <row r="4" spans="1:31" ht="1.9" hidden="1" customHeight="1" x14ac:dyDescent="0.25">
      <c r="B4" s="35"/>
      <c r="C4" s="35"/>
      <c r="D4" s="35"/>
      <c r="F4" s="36"/>
      <c r="G4" s="36"/>
      <c r="H4" s="36"/>
      <c r="I4" s="36"/>
      <c r="J4" s="36"/>
      <c r="K4" s="36"/>
      <c r="L4" s="36"/>
      <c r="M4" s="35"/>
      <c r="N4" s="35"/>
      <c r="O4" s="35"/>
      <c r="P4" s="35"/>
      <c r="Q4" s="35"/>
      <c r="R4" s="35"/>
      <c r="S4" s="35"/>
      <c r="T4" s="35"/>
      <c r="U4" s="35"/>
      <c r="V4" s="35"/>
      <c r="W4" s="35"/>
      <c r="X4" s="35"/>
      <c r="Y4" s="35"/>
      <c r="Z4" s="35"/>
      <c r="AA4" s="35"/>
      <c r="AB4" s="35"/>
      <c r="AC4" s="35"/>
      <c r="AD4" s="35"/>
    </row>
    <row r="5" spans="1:31" ht="19.899999999999999" hidden="1" customHeight="1" x14ac:dyDescent="0.25">
      <c r="B5" s="35"/>
      <c r="C5" s="35"/>
      <c r="D5" s="35"/>
      <c r="J5" s="35"/>
      <c r="K5" s="35"/>
      <c r="L5" s="35"/>
      <c r="M5" s="35"/>
      <c r="N5" s="35"/>
      <c r="O5" s="35"/>
      <c r="P5" s="35"/>
      <c r="Q5" s="35"/>
      <c r="R5" s="35"/>
      <c r="S5" s="35"/>
      <c r="T5" s="35"/>
      <c r="U5" s="35"/>
      <c r="V5" s="35"/>
      <c r="W5" s="35"/>
      <c r="X5" s="35"/>
      <c r="Y5" s="35"/>
      <c r="Z5" s="35"/>
      <c r="AA5" s="35"/>
      <c r="AB5" s="35"/>
      <c r="AC5" s="35"/>
      <c r="AD5" s="35"/>
    </row>
    <row r="6" spans="1:31" ht="30" customHeight="1" x14ac:dyDescent="0.25">
      <c r="A6" s="149" t="s">
        <v>28</v>
      </c>
      <c r="B6" s="140" t="s">
        <v>29</v>
      </c>
      <c r="C6" s="136" t="s">
        <v>30</v>
      </c>
      <c r="D6" s="136" t="s">
        <v>0</v>
      </c>
      <c r="E6" s="140" t="s">
        <v>31</v>
      </c>
      <c r="F6" s="140"/>
      <c r="G6" s="140"/>
      <c r="H6" s="140"/>
      <c r="I6" s="140"/>
      <c r="J6" s="140"/>
      <c r="K6" s="140"/>
      <c r="L6" s="140"/>
      <c r="M6" s="140"/>
      <c r="N6" s="140"/>
      <c r="O6" s="152" t="s">
        <v>31</v>
      </c>
      <c r="P6" s="152"/>
      <c r="Q6" s="152"/>
      <c r="R6" s="152"/>
      <c r="S6" s="152"/>
      <c r="T6" s="152"/>
      <c r="U6" s="152"/>
      <c r="V6" s="152"/>
      <c r="W6" s="152"/>
      <c r="X6" s="152"/>
      <c r="Y6" s="162" t="s">
        <v>31</v>
      </c>
      <c r="Z6" s="163"/>
      <c r="AA6" s="163"/>
      <c r="AB6" s="163"/>
      <c r="AC6" s="163"/>
      <c r="AD6" s="164"/>
    </row>
    <row r="7" spans="1:31" ht="23.25" customHeight="1" x14ac:dyDescent="0.25">
      <c r="A7" s="150"/>
      <c r="B7" s="151"/>
      <c r="C7" s="151"/>
      <c r="D7" s="137"/>
      <c r="E7" s="138" t="s">
        <v>39</v>
      </c>
      <c r="F7" s="139"/>
      <c r="G7" s="139"/>
      <c r="H7" s="139"/>
      <c r="I7" s="139"/>
      <c r="J7" s="138" t="s">
        <v>40</v>
      </c>
      <c r="K7" s="139"/>
      <c r="L7" s="139"/>
      <c r="M7" s="139"/>
      <c r="N7" s="139"/>
      <c r="O7" s="138" t="s">
        <v>41</v>
      </c>
      <c r="P7" s="139"/>
      <c r="Q7" s="139"/>
      <c r="R7" s="139"/>
      <c r="S7" s="139"/>
      <c r="T7" s="138" t="s">
        <v>42</v>
      </c>
      <c r="U7" s="139"/>
      <c r="V7" s="139"/>
      <c r="W7" s="139"/>
      <c r="X7" s="139"/>
      <c r="Y7" s="169" t="s">
        <v>43</v>
      </c>
      <c r="Z7" s="170"/>
      <c r="AA7" s="170"/>
      <c r="AB7" s="170"/>
      <c r="AC7" s="170"/>
      <c r="AD7" s="168" t="s">
        <v>32</v>
      </c>
    </row>
    <row r="8" spans="1:31" ht="87.75" customHeight="1" x14ac:dyDescent="0.25">
      <c r="A8" s="150"/>
      <c r="B8" s="151"/>
      <c r="C8" s="151"/>
      <c r="D8" s="137"/>
      <c r="E8" s="24" t="s">
        <v>1</v>
      </c>
      <c r="F8" s="24" t="s">
        <v>20</v>
      </c>
      <c r="G8" s="24" t="s">
        <v>21</v>
      </c>
      <c r="H8" s="24" t="s">
        <v>22</v>
      </c>
      <c r="I8" s="24" t="s">
        <v>23</v>
      </c>
      <c r="J8" s="24" t="s">
        <v>1</v>
      </c>
      <c r="K8" s="24" t="s">
        <v>20</v>
      </c>
      <c r="L8" s="24" t="s">
        <v>21</v>
      </c>
      <c r="M8" s="24" t="s">
        <v>22</v>
      </c>
      <c r="N8" s="24" t="s">
        <v>23</v>
      </c>
      <c r="O8" s="24" t="s">
        <v>1</v>
      </c>
      <c r="P8" s="24" t="s">
        <v>20</v>
      </c>
      <c r="Q8" s="24" t="s">
        <v>21</v>
      </c>
      <c r="R8" s="24" t="s">
        <v>22</v>
      </c>
      <c r="S8" s="24" t="s">
        <v>23</v>
      </c>
      <c r="T8" s="24" t="s">
        <v>1</v>
      </c>
      <c r="U8" s="24" t="s">
        <v>20</v>
      </c>
      <c r="V8" s="24" t="s">
        <v>21</v>
      </c>
      <c r="W8" s="24" t="s">
        <v>22</v>
      </c>
      <c r="X8" s="24" t="s">
        <v>23</v>
      </c>
      <c r="Y8" s="24" t="s">
        <v>1</v>
      </c>
      <c r="Z8" s="24" t="s">
        <v>20</v>
      </c>
      <c r="AA8" s="24" t="s">
        <v>21</v>
      </c>
      <c r="AB8" s="24" t="s">
        <v>22</v>
      </c>
      <c r="AC8" s="24" t="s">
        <v>23</v>
      </c>
      <c r="AD8" s="168"/>
    </row>
    <row r="9" spans="1:31" ht="13.5" customHeight="1" x14ac:dyDescent="0.25">
      <c r="A9" s="28">
        <v>1</v>
      </c>
      <c r="B9" s="28">
        <v>2</v>
      </c>
      <c r="C9" s="28">
        <v>3</v>
      </c>
      <c r="D9" s="28">
        <v>4</v>
      </c>
      <c r="E9" s="28">
        <v>5</v>
      </c>
      <c r="F9" s="28">
        <v>6</v>
      </c>
      <c r="G9" s="28">
        <v>7</v>
      </c>
      <c r="H9" s="28">
        <v>8</v>
      </c>
      <c r="I9" s="28">
        <v>9</v>
      </c>
      <c r="J9" s="28">
        <v>10</v>
      </c>
      <c r="K9" s="28">
        <v>11</v>
      </c>
      <c r="L9" s="28">
        <v>12</v>
      </c>
      <c r="M9" s="28">
        <v>13</v>
      </c>
      <c r="N9" s="28">
        <v>14</v>
      </c>
      <c r="O9" s="28">
        <v>15</v>
      </c>
      <c r="P9" s="28">
        <v>16</v>
      </c>
      <c r="Q9" s="28">
        <v>17</v>
      </c>
      <c r="R9" s="28">
        <v>18</v>
      </c>
      <c r="S9" s="28">
        <v>19</v>
      </c>
      <c r="T9" s="28">
        <v>20</v>
      </c>
      <c r="U9" s="28">
        <v>21</v>
      </c>
      <c r="V9" s="28">
        <v>22</v>
      </c>
      <c r="W9" s="28">
        <v>23</v>
      </c>
      <c r="X9" s="28">
        <v>24</v>
      </c>
      <c r="Y9" s="28">
        <v>25</v>
      </c>
      <c r="Z9" s="28">
        <v>26</v>
      </c>
      <c r="AA9" s="28">
        <v>27</v>
      </c>
      <c r="AB9" s="28">
        <v>28</v>
      </c>
      <c r="AC9" s="28">
        <v>29</v>
      </c>
      <c r="AD9" s="37">
        <v>30</v>
      </c>
    </row>
    <row r="10" spans="1:31" s="1" customFormat="1" ht="47.45" customHeight="1" x14ac:dyDescent="0.25">
      <c r="A10" s="38"/>
      <c r="B10" s="171" t="s">
        <v>110</v>
      </c>
      <c r="C10" s="172"/>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5"/>
    </row>
    <row r="11" spans="1:31" s="1" customFormat="1" ht="39" customHeight="1" x14ac:dyDescent="0.25">
      <c r="A11" s="38"/>
      <c r="B11" s="141" t="s">
        <v>111</v>
      </c>
      <c r="C11" s="142"/>
      <c r="D11" s="32"/>
      <c r="E11" s="32"/>
      <c r="F11" s="32"/>
      <c r="G11" s="32"/>
      <c r="H11" s="32"/>
      <c r="I11" s="32"/>
      <c r="J11" s="32"/>
      <c r="K11" s="32"/>
      <c r="L11" s="32"/>
      <c r="M11" s="32"/>
      <c r="N11" s="32"/>
      <c r="O11" s="40"/>
      <c r="P11" s="40"/>
      <c r="Q11" s="40"/>
      <c r="R11" s="40"/>
      <c r="S11" s="40"/>
      <c r="T11" s="40"/>
      <c r="U11" s="40"/>
      <c r="V11" s="40"/>
      <c r="W11" s="40"/>
      <c r="X11" s="40"/>
      <c r="Y11" s="40"/>
      <c r="Z11" s="40"/>
      <c r="AA11" s="40"/>
      <c r="AB11" s="40"/>
      <c r="AC11" s="40"/>
      <c r="AD11" s="40"/>
      <c r="AE11" s="35"/>
    </row>
    <row r="12" spans="1:31" s="1" customFormat="1" ht="127.9" customHeight="1" x14ac:dyDescent="0.25">
      <c r="A12" s="28" t="s">
        <v>2</v>
      </c>
      <c r="B12" s="29" t="s">
        <v>45</v>
      </c>
      <c r="C12" s="125" t="s">
        <v>294</v>
      </c>
      <c r="D12" s="146" t="s">
        <v>44</v>
      </c>
      <c r="E12" s="41"/>
      <c r="F12" s="41"/>
      <c r="G12" s="41"/>
      <c r="H12" s="41"/>
      <c r="I12" s="41"/>
      <c r="J12" s="41"/>
      <c r="K12" s="41"/>
      <c r="L12" s="41"/>
      <c r="M12" s="41"/>
      <c r="N12" s="41"/>
      <c r="O12" s="41"/>
      <c r="P12" s="42"/>
      <c r="Q12" s="42"/>
      <c r="R12" s="42"/>
      <c r="S12" s="42"/>
      <c r="T12" s="42"/>
      <c r="U12" s="42"/>
      <c r="V12" s="42"/>
      <c r="W12" s="42"/>
      <c r="X12" s="42"/>
      <c r="Y12" s="42"/>
      <c r="Z12" s="42"/>
      <c r="AA12" s="42"/>
      <c r="AB12" s="42"/>
      <c r="AC12" s="42"/>
      <c r="AD12" s="42"/>
      <c r="AE12" s="35"/>
    </row>
    <row r="13" spans="1:31" s="1" customFormat="1" ht="81" customHeight="1" x14ac:dyDescent="0.25">
      <c r="A13" s="28" t="s">
        <v>204</v>
      </c>
      <c r="B13" s="143" t="s">
        <v>18</v>
      </c>
      <c r="C13" s="144"/>
      <c r="D13" s="147"/>
      <c r="E13" s="25">
        <f>SUM(F13:G13)</f>
        <v>460697</v>
      </c>
      <c r="F13" s="25">
        <v>326623</v>
      </c>
      <c r="G13" s="25">
        <v>134074</v>
      </c>
      <c r="H13" s="25">
        <v>0</v>
      </c>
      <c r="I13" s="25">
        <v>0</v>
      </c>
      <c r="J13" s="25">
        <f>SUM(K13:L13)</f>
        <v>490804</v>
      </c>
      <c r="K13" s="25">
        <f>499409-3814-2223-2568</f>
        <v>490804</v>
      </c>
      <c r="L13" s="25">
        <v>0</v>
      </c>
      <c r="M13" s="25">
        <v>0</v>
      </c>
      <c r="N13" s="25">
        <v>0</v>
      </c>
      <c r="O13" s="26">
        <f>SUM(P13:Q13)</f>
        <v>509649</v>
      </c>
      <c r="P13" s="26">
        <f>455435+21634+1669+13460+17451</f>
        <v>509649</v>
      </c>
      <c r="Q13" s="26">
        <v>0</v>
      </c>
      <c r="R13" s="43">
        <v>0</v>
      </c>
      <c r="S13" s="43">
        <v>0</v>
      </c>
      <c r="T13" s="105">
        <f>SUM(U13:V13)</f>
        <v>490656.59281</v>
      </c>
      <c r="U13" s="106">
        <f>425523+20032+67571-31880.40719+930+8481</f>
        <v>490656.59281</v>
      </c>
      <c r="V13" s="42">
        <v>0</v>
      </c>
      <c r="W13" s="42">
        <v>0</v>
      </c>
      <c r="X13" s="42">
        <v>0</v>
      </c>
      <c r="Y13" s="26">
        <f>SUM(Z13:AA13)</f>
        <v>468433</v>
      </c>
      <c r="Z13" s="43">
        <f>425523+20032+22878</f>
        <v>468433</v>
      </c>
      <c r="AA13" s="42">
        <v>0</v>
      </c>
      <c r="AB13" s="42">
        <v>0</v>
      </c>
      <c r="AC13" s="42">
        <v>0</v>
      </c>
      <c r="AD13" s="42">
        <f>SUM(Y13,T13,O13,J13,E13)</f>
        <v>2420239.5928100003</v>
      </c>
      <c r="AE13" s="35"/>
    </row>
    <row r="14" spans="1:31" s="1" customFormat="1" ht="24" hidden="1" customHeight="1" thickBot="1" x14ac:dyDescent="0.3">
      <c r="A14" s="28"/>
      <c r="B14" s="143"/>
      <c r="C14" s="144"/>
      <c r="D14" s="147"/>
      <c r="E14" s="25">
        <f t="shared" ref="E14:E24" si="0">SUM(F14:I14)</f>
        <v>0</v>
      </c>
      <c r="F14" s="25"/>
      <c r="G14" s="25"/>
      <c r="H14" s="25"/>
      <c r="I14" s="25"/>
      <c r="J14" s="26">
        <f t="shared" ref="J14:J24" si="1">SUM(K14:N14)</f>
        <v>0</v>
      </c>
      <c r="K14" s="26"/>
      <c r="L14" s="25"/>
      <c r="M14" s="25"/>
      <c r="N14" s="25"/>
      <c r="O14" s="26">
        <f>SUM(P14:S14)</f>
        <v>0</v>
      </c>
      <c r="P14" s="43">
        <v>0</v>
      </c>
      <c r="Q14" s="43">
        <v>0</v>
      </c>
      <c r="R14" s="43">
        <v>0</v>
      </c>
      <c r="S14" s="43">
        <v>0</v>
      </c>
      <c r="T14" s="26">
        <f t="shared" ref="T14:T24" si="2">SUM(U14:X14)</f>
        <v>0</v>
      </c>
      <c r="U14" s="43">
        <v>0</v>
      </c>
      <c r="V14" s="42">
        <v>0</v>
      </c>
      <c r="W14" s="42">
        <v>0</v>
      </c>
      <c r="X14" s="42">
        <v>0</v>
      </c>
      <c r="Y14" s="26">
        <f t="shared" ref="Y14:Y24" si="3">SUM(Z14:AC14)</f>
        <v>0</v>
      </c>
      <c r="Z14" s="43">
        <v>0</v>
      </c>
      <c r="AA14" s="42">
        <v>0</v>
      </c>
      <c r="AB14" s="42">
        <v>0</v>
      </c>
      <c r="AC14" s="42">
        <v>0</v>
      </c>
      <c r="AD14" s="42">
        <f t="shared" ref="AD14:AD16" si="4">SUM(Y14,T14,O14,J14,E14)</f>
        <v>0</v>
      </c>
      <c r="AE14" s="35"/>
    </row>
    <row r="15" spans="1:31" s="1" customFormat="1" ht="83.45" customHeight="1" x14ac:dyDescent="0.25">
      <c r="A15" s="28" t="s">
        <v>205</v>
      </c>
      <c r="B15" s="29" t="s">
        <v>19</v>
      </c>
      <c r="C15" s="144"/>
      <c r="D15" s="148"/>
      <c r="E15" s="25">
        <f>SUM(F15:G15)</f>
        <v>354602</v>
      </c>
      <c r="F15" s="25">
        <v>244730</v>
      </c>
      <c r="G15" s="25">
        <v>109872</v>
      </c>
      <c r="H15" s="25">
        <v>0</v>
      </c>
      <c r="I15" s="25">
        <v>0</v>
      </c>
      <c r="J15" s="26">
        <f>SUM(K15:L15)</f>
        <v>385054</v>
      </c>
      <c r="K15" s="26">
        <f>387249-2611+416</f>
        <v>385054</v>
      </c>
      <c r="L15" s="25">
        <v>0</v>
      </c>
      <c r="M15" s="25">
        <v>0</v>
      </c>
      <c r="N15" s="25">
        <v>0</v>
      </c>
      <c r="O15" s="26">
        <f>SUM(P15:Q15)</f>
        <v>422164</v>
      </c>
      <c r="P15" s="43">
        <f>407130+17631-2597</f>
        <v>422164</v>
      </c>
      <c r="Q15" s="43">
        <v>0</v>
      </c>
      <c r="R15" s="43">
        <v>0</v>
      </c>
      <c r="S15" s="43">
        <v>0</v>
      </c>
      <c r="T15" s="94">
        <f>SUM(U15:V15)</f>
        <v>448248</v>
      </c>
      <c r="U15" s="103">
        <f>407878+17631+15237+4449+3053</f>
        <v>448248</v>
      </c>
      <c r="V15" s="42">
        <v>0</v>
      </c>
      <c r="W15" s="42">
        <v>0</v>
      </c>
      <c r="X15" s="42">
        <v>0</v>
      </c>
      <c r="Y15" s="26">
        <f>SUM(Z15:AA15)</f>
        <v>440746</v>
      </c>
      <c r="Z15" s="43">
        <f>407878+17631+15237</f>
        <v>440746</v>
      </c>
      <c r="AA15" s="42">
        <v>0</v>
      </c>
      <c r="AB15" s="42">
        <v>0</v>
      </c>
      <c r="AC15" s="42">
        <v>0</v>
      </c>
      <c r="AD15" s="42">
        <f t="shared" si="4"/>
        <v>2050814</v>
      </c>
      <c r="AE15" s="35"/>
    </row>
    <row r="16" spans="1:31" s="1" customFormat="1" ht="83.45" customHeight="1" x14ac:dyDescent="0.25">
      <c r="A16" s="28" t="s">
        <v>206</v>
      </c>
      <c r="B16" s="29" t="s">
        <v>198</v>
      </c>
      <c r="C16" s="145"/>
      <c r="D16" s="44"/>
      <c r="E16" s="25"/>
      <c r="F16" s="25"/>
      <c r="G16" s="25"/>
      <c r="H16" s="25"/>
      <c r="I16" s="25"/>
      <c r="J16" s="26">
        <f>SUM(K16:L16)</f>
        <v>6823</v>
      </c>
      <c r="K16" s="26">
        <v>6823</v>
      </c>
      <c r="L16" s="25">
        <v>0</v>
      </c>
      <c r="M16" s="25">
        <v>0</v>
      </c>
      <c r="N16" s="25">
        <v>0</v>
      </c>
      <c r="O16" s="26">
        <f>SUM(P16:Q16)</f>
        <v>30929</v>
      </c>
      <c r="P16" s="43">
        <f>19564+424+10941</f>
        <v>30929</v>
      </c>
      <c r="Q16" s="43">
        <v>0</v>
      </c>
      <c r="R16" s="43">
        <v>0</v>
      </c>
      <c r="S16" s="43">
        <v>0</v>
      </c>
      <c r="T16" s="26">
        <f>SUM(U16:V16)</f>
        <v>17586</v>
      </c>
      <c r="U16" s="43">
        <f>24691-7105</f>
        <v>17586</v>
      </c>
      <c r="V16" s="42">
        <v>0</v>
      </c>
      <c r="W16" s="42">
        <v>0</v>
      </c>
      <c r="X16" s="42">
        <v>0</v>
      </c>
      <c r="Y16" s="25">
        <v>0</v>
      </c>
      <c r="Z16" s="42">
        <v>0</v>
      </c>
      <c r="AA16" s="42">
        <v>0</v>
      </c>
      <c r="AB16" s="42">
        <v>0</v>
      </c>
      <c r="AC16" s="42">
        <v>0</v>
      </c>
      <c r="AD16" s="42">
        <f t="shared" si="4"/>
        <v>55338</v>
      </c>
      <c r="AE16" s="35"/>
    </row>
    <row r="17" spans="1:31" s="1" customFormat="1" ht="72.599999999999994" customHeight="1" x14ac:dyDescent="0.25">
      <c r="A17" s="28" t="s">
        <v>24</v>
      </c>
      <c r="B17" s="29" t="s">
        <v>228</v>
      </c>
      <c r="C17" s="99" t="s">
        <v>293</v>
      </c>
      <c r="D17" s="44" t="s">
        <v>232</v>
      </c>
      <c r="E17" s="25">
        <f>SUM(F17:G17)</f>
        <v>1669.6</v>
      </c>
      <c r="F17" s="25">
        <f>1737.1-67.5</f>
        <v>1669.6</v>
      </c>
      <c r="G17" s="25">
        <v>0</v>
      </c>
      <c r="H17" s="25">
        <v>0</v>
      </c>
      <c r="I17" s="25">
        <v>0</v>
      </c>
      <c r="J17" s="26">
        <f>SUM(K17:L17)</f>
        <v>93</v>
      </c>
      <c r="K17" s="25">
        <f>0+93</f>
        <v>93</v>
      </c>
      <c r="L17" s="25">
        <v>0</v>
      </c>
      <c r="M17" s="25">
        <v>0</v>
      </c>
      <c r="N17" s="25">
        <v>0</v>
      </c>
      <c r="O17" s="26">
        <f>SUM(P17:Q17)</f>
        <v>1526</v>
      </c>
      <c r="P17" s="26">
        <v>1526</v>
      </c>
      <c r="Q17" s="25">
        <v>0</v>
      </c>
      <c r="R17" s="25">
        <v>0</v>
      </c>
      <c r="S17" s="25">
        <v>0</v>
      </c>
      <c r="T17" s="25">
        <v>0</v>
      </c>
      <c r="U17" s="25">
        <v>0</v>
      </c>
      <c r="V17" s="25">
        <v>0</v>
      </c>
      <c r="W17" s="25">
        <v>0</v>
      </c>
      <c r="X17" s="25">
        <v>0</v>
      </c>
      <c r="Y17" s="25">
        <v>0</v>
      </c>
      <c r="Z17" s="25">
        <v>0</v>
      </c>
      <c r="AA17" s="25">
        <v>0</v>
      </c>
      <c r="AB17" s="25">
        <v>0</v>
      </c>
      <c r="AC17" s="25">
        <v>0</v>
      </c>
      <c r="AD17" s="42">
        <f t="shared" ref="AD17:AD22" si="5">SUM(Y17,T17,O17,J17,E17)</f>
        <v>3288.6</v>
      </c>
      <c r="AE17" s="35"/>
    </row>
    <row r="18" spans="1:31" s="1" customFormat="1" ht="144" customHeight="1" x14ac:dyDescent="0.25">
      <c r="A18" s="28" t="s">
        <v>25</v>
      </c>
      <c r="B18" s="29" t="s">
        <v>26</v>
      </c>
      <c r="C18" s="28" t="s">
        <v>74</v>
      </c>
      <c r="D18" s="24" t="s">
        <v>44</v>
      </c>
      <c r="E18" s="25">
        <f>SUM(F18:G18)</f>
        <v>409</v>
      </c>
      <c r="F18" s="25">
        <v>409</v>
      </c>
      <c r="G18" s="25">
        <v>0</v>
      </c>
      <c r="H18" s="25">
        <v>0</v>
      </c>
      <c r="I18" s="25">
        <v>0</v>
      </c>
      <c r="J18" s="26">
        <f>SUM(K18:L18)</f>
        <v>337</v>
      </c>
      <c r="K18" s="26">
        <v>337</v>
      </c>
      <c r="L18" s="25">
        <v>0</v>
      </c>
      <c r="M18" s="25">
        <v>0</v>
      </c>
      <c r="N18" s="25">
        <v>0</v>
      </c>
      <c r="O18" s="26">
        <f>SUM(P18:Q18)</f>
        <v>180.48000000000002</v>
      </c>
      <c r="P18" s="26">
        <f>265.88+5.6-91</f>
        <v>180.48000000000002</v>
      </c>
      <c r="Q18" s="26">
        <v>0</v>
      </c>
      <c r="R18" s="26">
        <v>0</v>
      </c>
      <c r="S18" s="26">
        <v>0</v>
      </c>
      <c r="T18" s="123">
        <f t="shared" si="2"/>
        <v>144</v>
      </c>
      <c r="U18" s="123">
        <f>124+12+136+4-114-18</f>
        <v>144</v>
      </c>
      <c r="V18" s="25">
        <v>0</v>
      </c>
      <c r="W18" s="25">
        <v>0</v>
      </c>
      <c r="X18" s="25">
        <v>0</v>
      </c>
      <c r="Y18" s="26">
        <f t="shared" si="3"/>
        <v>263</v>
      </c>
      <c r="Z18" s="26">
        <f>316-53</f>
        <v>263</v>
      </c>
      <c r="AA18" s="25">
        <v>0</v>
      </c>
      <c r="AB18" s="25">
        <v>0</v>
      </c>
      <c r="AC18" s="25">
        <v>0</v>
      </c>
      <c r="AD18" s="43">
        <f t="shared" si="5"/>
        <v>1333.48</v>
      </c>
      <c r="AE18" s="35"/>
    </row>
    <row r="19" spans="1:31" s="1" customFormat="1" ht="96.75" customHeight="1" x14ac:dyDescent="0.25">
      <c r="A19" s="28" t="s">
        <v>36</v>
      </c>
      <c r="B19" s="45" t="s">
        <v>137</v>
      </c>
      <c r="C19" s="28" t="s">
        <v>119</v>
      </c>
      <c r="D19" s="24" t="s">
        <v>235</v>
      </c>
      <c r="E19" s="25">
        <f>SUM(F19:G19)</f>
        <v>8700</v>
      </c>
      <c r="F19" s="25">
        <v>8700</v>
      </c>
      <c r="G19" s="25">
        <v>0</v>
      </c>
      <c r="H19" s="25">
        <v>0</v>
      </c>
      <c r="I19" s="25">
        <v>0</v>
      </c>
      <c r="J19" s="26">
        <f>SUM(K19:L19)</f>
        <v>7910</v>
      </c>
      <c r="K19" s="26">
        <f>8251-341</f>
        <v>7910</v>
      </c>
      <c r="L19" s="25">
        <v>0</v>
      </c>
      <c r="M19" s="25">
        <v>0</v>
      </c>
      <c r="N19" s="25">
        <v>0</v>
      </c>
      <c r="O19" s="25">
        <f>SUM(P19:Q19)</f>
        <v>0</v>
      </c>
      <c r="P19" s="25">
        <v>0</v>
      </c>
      <c r="Q19" s="25">
        <v>0</v>
      </c>
      <c r="R19" s="25">
        <v>0</v>
      </c>
      <c r="S19" s="25">
        <v>0</v>
      </c>
      <c r="T19" s="26">
        <f t="shared" si="2"/>
        <v>16003</v>
      </c>
      <c r="U19" s="25">
        <v>16003</v>
      </c>
      <c r="V19" s="25">
        <v>0</v>
      </c>
      <c r="W19" s="25">
        <v>0</v>
      </c>
      <c r="X19" s="25">
        <v>0</v>
      </c>
      <c r="Y19" s="25">
        <v>0</v>
      </c>
      <c r="Z19" s="25">
        <v>0</v>
      </c>
      <c r="AA19" s="25">
        <v>0</v>
      </c>
      <c r="AB19" s="25">
        <v>0</v>
      </c>
      <c r="AC19" s="25">
        <v>0</v>
      </c>
      <c r="AD19" s="42">
        <f>SUM(Y19,T19,O19,J19,E19)</f>
        <v>32613</v>
      </c>
      <c r="AE19" s="35"/>
    </row>
    <row r="20" spans="1:31" s="1" customFormat="1" ht="71.25" customHeight="1" x14ac:dyDescent="0.25">
      <c r="A20" s="28" t="s">
        <v>47</v>
      </c>
      <c r="B20" s="29" t="s">
        <v>46</v>
      </c>
      <c r="C20" s="28" t="s">
        <v>118</v>
      </c>
      <c r="D20" s="24" t="s">
        <v>233</v>
      </c>
      <c r="E20" s="25">
        <f t="shared" si="0"/>
        <v>0</v>
      </c>
      <c r="F20" s="25">
        <v>0</v>
      </c>
      <c r="G20" s="25">
        <v>0</v>
      </c>
      <c r="H20" s="25">
        <v>0</v>
      </c>
      <c r="I20" s="25">
        <v>0</v>
      </c>
      <c r="J20" s="26">
        <f t="shared" si="1"/>
        <v>297</v>
      </c>
      <c r="K20" s="26">
        <v>297</v>
      </c>
      <c r="L20" s="25">
        <v>0</v>
      </c>
      <c r="M20" s="25">
        <v>0</v>
      </c>
      <c r="N20" s="25">
        <v>0</v>
      </c>
      <c r="O20" s="25">
        <f t="shared" ref="O20:O24" si="6">SUM(P20:S20)</f>
        <v>837</v>
      </c>
      <c r="P20" s="42">
        <f>591+246</f>
        <v>837</v>
      </c>
      <c r="Q20" s="42">
        <v>0</v>
      </c>
      <c r="R20" s="42">
        <v>0</v>
      </c>
      <c r="S20" s="42">
        <v>0</v>
      </c>
      <c r="T20" s="25">
        <f t="shared" si="2"/>
        <v>499</v>
      </c>
      <c r="U20" s="25">
        <f>574-75</f>
        <v>499</v>
      </c>
      <c r="V20" s="25">
        <v>0</v>
      </c>
      <c r="W20" s="25">
        <v>0</v>
      </c>
      <c r="X20" s="25">
        <v>0</v>
      </c>
      <c r="Y20" s="25">
        <f t="shared" si="3"/>
        <v>0</v>
      </c>
      <c r="Z20" s="25">
        <v>0</v>
      </c>
      <c r="AA20" s="25">
        <v>0</v>
      </c>
      <c r="AB20" s="25">
        <v>0</v>
      </c>
      <c r="AC20" s="25">
        <v>0</v>
      </c>
      <c r="AD20" s="42">
        <f t="shared" si="5"/>
        <v>1633</v>
      </c>
      <c r="AE20" s="35"/>
    </row>
    <row r="21" spans="1:31" s="1" customFormat="1" ht="37.9" customHeight="1" x14ac:dyDescent="0.25">
      <c r="A21" s="28" t="s">
        <v>48</v>
      </c>
      <c r="B21" s="29" t="s">
        <v>169</v>
      </c>
      <c r="C21" s="28" t="s">
        <v>75</v>
      </c>
      <c r="D21" s="24" t="s">
        <v>239</v>
      </c>
      <c r="E21" s="25">
        <f t="shared" si="0"/>
        <v>0</v>
      </c>
      <c r="F21" s="25">
        <v>0</v>
      </c>
      <c r="G21" s="25">
        <v>0</v>
      </c>
      <c r="H21" s="25">
        <v>0</v>
      </c>
      <c r="I21" s="25">
        <v>0</v>
      </c>
      <c r="J21" s="25">
        <f t="shared" si="1"/>
        <v>0</v>
      </c>
      <c r="K21" s="25">
        <v>0</v>
      </c>
      <c r="L21" s="25">
        <v>0</v>
      </c>
      <c r="M21" s="25">
        <v>0</v>
      </c>
      <c r="N21" s="25">
        <v>0</v>
      </c>
      <c r="O21" s="25">
        <f t="shared" si="6"/>
        <v>0</v>
      </c>
      <c r="P21" s="42">
        <v>0</v>
      </c>
      <c r="Q21" s="42">
        <v>0</v>
      </c>
      <c r="R21" s="42">
        <v>0</v>
      </c>
      <c r="S21" s="42">
        <v>0</v>
      </c>
      <c r="T21" s="25">
        <f t="shared" si="2"/>
        <v>0</v>
      </c>
      <c r="U21" s="25">
        <v>0</v>
      </c>
      <c r="V21" s="25">
        <v>0</v>
      </c>
      <c r="W21" s="25">
        <v>0</v>
      </c>
      <c r="X21" s="25">
        <v>0</v>
      </c>
      <c r="Y21" s="25">
        <f t="shared" si="3"/>
        <v>0</v>
      </c>
      <c r="Z21" s="25">
        <v>0</v>
      </c>
      <c r="AA21" s="25">
        <v>0</v>
      </c>
      <c r="AB21" s="25">
        <v>0</v>
      </c>
      <c r="AC21" s="25">
        <v>0</v>
      </c>
      <c r="AD21" s="42">
        <f t="shared" si="5"/>
        <v>0</v>
      </c>
      <c r="AE21" s="35"/>
    </row>
    <row r="22" spans="1:31" s="1" customFormat="1" ht="267.75" customHeight="1" x14ac:dyDescent="0.25">
      <c r="A22" s="125" t="s">
        <v>49</v>
      </c>
      <c r="B22" s="29" t="s">
        <v>300</v>
      </c>
      <c r="C22" s="99" t="s">
        <v>292</v>
      </c>
      <c r="D22" s="24" t="s">
        <v>44</v>
      </c>
      <c r="E22" s="25">
        <v>0</v>
      </c>
      <c r="F22" s="25">
        <v>0</v>
      </c>
      <c r="G22" s="25">
        <v>0</v>
      </c>
      <c r="H22" s="25">
        <v>0</v>
      </c>
      <c r="I22" s="25">
        <v>0</v>
      </c>
      <c r="J22" s="26">
        <f>SUM(K22:N22)</f>
        <v>0</v>
      </c>
      <c r="K22" s="26">
        <v>0</v>
      </c>
      <c r="M22" s="26">
        <v>0</v>
      </c>
      <c r="N22" s="25">
        <v>0</v>
      </c>
      <c r="O22" s="25">
        <v>563.99</v>
      </c>
      <c r="P22" s="42">
        <v>563.99</v>
      </c>
      <c r="Q22" s="42">
        <v>0</v>
      </c>
      <c r="R22" s="42">
        <v>0</v>
      </c>
      <c r="S22" s="42">
        <v>0</v>
      </c>
      <c r="T22" s="25">
        <f>SUM(U22:W22)</f>
        <v>0</v>
      </c>
      <c r="U22" s="25">
        <v>0</v>
      </c>
      <c r="V22" s="25">
        <v>0</v>
      </c>
      <c r="W22" s="25">
        <v>0</v>
      </c>
      <c r="X22" s="25">
        <v>0</v>
      </c>
      <c r="Y22" s="25">
        <f>SUM(Z22:AC22)</f>
        <v>0</v>
      </c>
      <c r="Z22" s="25">
        <v>0</v>
      </c>
      <c r="AA22" s="25">
        <v>0</v>
      </c>
      <c r="AB22" s="25">
        <v>0</v>
      </c>
      <c r="AC22" s="25">
        <v>0</v>
      </c>
      <c r="AD22" s="42">
        <f t="shared" si="5"/>
        <v>563.99</v>
      </c>
      <c r="AE22" s="35"/>
    </row>
    <row r="23" spans="1:31" s="1" customFormat="1" ht="66.75" customHeight="1" x14ac:dyDescent="0.25">
      <c r="A23" s="127"/>
      <c r="B23" s="102" t="s">
        <v>301</v>
      </c>
      <c r="C23" s="114" t="s">
        <v>306</v>
      </c>
      <c r="D23" s="115" t="s">
        <v>307</v>
      </c>
      <c r="E23" s="25"/>
      <c r="F23" s="25"/>
      <c r="G23" s="25"/>
      <c r="H23" s="25"/>
      <c r="I23" s="25"/>
      <c r="J23" s="105">
        <f>SUM(K23:N23)</f>
        <v>5736</v>
      </c>
      <c r="K23" s="105">
        <v>574</v>
      </c>
      <c r="L23" s="105">
        <v>723</v>
      </c>
      <c r="M23" s="105">
        <v>4439</v>
      </c>
      <c r="N23" s="25">
        <v>0</v>
      </c>
      <c r="O23" s="25"/>
      <c r="P23" s="42"/>
      <c r="Q23" s="42"/>
      <c r="R23" s="42"/>
      <c r="S23" s="42"/>
      <c r="T23" s="94">
        <f>SUM(U23:W23)</f>
        <v>5735.3225199999997</v>
      </c>
      <c r="U23" s="94">
        <f>574-0.46748</f>
        <v>573.53251999999998</v>
      </c>
      <c r="V23" s="94">
        <v>722.65</v>
      </c>
      <c r="W23" s="94">
        <v>4439.1400000000003</v>
      </c>
      <c r="X23" s="25">
        <v>0</v>
      </c>
      <c r="Y23" s="25"/>
      <c r="Z23" s="25"/>
      <c r="AA23" s="25"/>
      <c r="AB23" s="25"/>
      <c r="AC23" s="25"/>
      <c r="AD23" s="42"/>
      <c r="AE23" s="109"/>
    </row>
    <row r="24" spans="1:31" s="1" customFormat="1" ht="71.25" customHeight="1" x14ac:dyDescent="0.25">
      <c r="A24" s="28" t="s">
        <v>134</v>
      </c>
      <c r="B24" s="29" t="s">
        <v>126</v>
      </c>
      <c r="C24" s="28" t="s">
        <v>78</v>
      </c>
      <c r="D24" s="24" t="s">
        <v>235</v>
      </c>
      <c r="E24" s="25">
        <f t="shared" si="0"/>
        <v>240</v>
      </c>
      <c r="F24" s="25">
        <v>240</v>
      </c>
      <c r="G24" s="25">
        <v>0</v>
      </c>
      <c r="H24" s="25">
        <v>0</v>
      </c>
      <c r="I24" s="25">
        <v>0</v>
      </c>
      <c r="J24" s="26">
        <f t="shared" si="1"/>
        <v>0</v>
      </c>
      <c r="K24" s="26">
        <f>150-150</f>
        <v>0</v>
      </c>
      <c r="L24" s="26">
        <v>0</v>
      </c>
      <c r="M24" s="25">
        <v>0</v>
      </c>
      <c r="N24" s="25">
        <v>0</v>
      </c>
      <c r="O24" s="26">
        <f t="shared" si="6"/>
        <v>0</v>
      </c>
      <c r="P24" s="43">
        <v>0</v>
      </c>
      <c r="Q24" s="43">
        <v>0</v>
      </c>
      <c r="R24" s="43">
        <v>0</v>
      </c>
      <c r="S24" s="43">
        <v>0</v>
      </c>
      <c r="T24" s="26">
        <f t="shared" si="2"/>
        <v>0</v>
      </c>
      <c r="U24" s="43">
        <v>0</v>
      </c>
      <c r="V24" s="42">
        <v>0</v>
      </c>
      <c r="W24" s="42">
        <v>0</v>
      </c>
      <c r="X24" s="42">
        <v>0</v>
      </c>
      <c r="Y24" s="25">
        <f t="shared" si="3"/>
        <v>0</v>
      </c>
      <c r="Z24" s="42">
        <v>0</v>
      </c>
      <c r="AA24" s="42">
        <v>0</v>
      </c>
      <c r="AB24" s="42">
        <v>0</v>
      </c>
      <c r="AC24" s="42">
        <v>0</v>
      </c>
      <c r="AD24" s="42">
        <f>SUM(Y24,T24,O24,J24,E24)</f>
        <v>240</v>
      </c>
      <c r="AE24" s="35"/>
    </row>
    <row r="25" spans="1:31" s="1" customFormat="1" ht="82.9" customHeight="1" x14ac:dyDescent="0.25">
      <c r="A25" s="28" t="s">
        <v>135</v>
      </c>
      <c r="B25" s="29" t="s">
        <v>170</v>
      </c>
      <c r="C25" s="99" t="s">
        <v>295</v>
      </c>
      <c r="D25" s="24" t="s">
        <v>44</v>
      </c>
      <c r="E25" s="25">
        <f t="shared" ref="E25" si="7">SUM(F25:I25)</f>
        <v>0</v>
      </c>
      <c r="F25" s="25">
        <v>0</v>
      </c>
      <c r="G25" s="25">
        <v>0</v>
      </c>
      <c r="H25" s="25">
        <v>0</v>
      </c>
      <c r="I25" s="25">
        <v>0</v>
      </c>
      <c r="J25" s="25">
        <f t="shared" ref="J25" si="8">SUM(K25:N25)</f>
        <v>0</v>
      </c>
      <c r="K25" s="25">
        <v>0</v>
      </c>
      <c r="L25" s="25">
        <v>0</v>
      </c>
      <c r="M25" s="25">
        <v>0</v>
      </c>
      <c r="N25" s="25">
        <v>0</v>
      </c>
      <c r="O25" s="25">
        <f t="shared" ref="O25" si="9">SUM(P25:S25)</f>
        <v>0</v>
      </c>
      <c r="P25" s="42">
        <v>0</v>
      </c>
      <c r="Q25" s="42">
        <v>0</v>
      </c>
      <c r="R25" s="42">
        <v>0</v>
      </c>
      <c r="S25" s="42">
        <v>0</v>
      </c>
      <c r="T25" s="25">
        <f t="shared" ref="T25:T26" si="10">SUM(U25:X25)</f>
        <v>0</v>
      </c>
      <c r="U25" s="42">
        <v>0</v>
      </c>
      <c r="V25" s="42">
        <v>0</v>
      </c>
      <c r="W25" s="42">
        <v>0</v>
      </c>
      <c r="X25" s="42">
        <v>0</v>
      </c>
      <c r="Y25" s="25">
        <f t="shared" ref="Y25:Y26" si="11">SUM(Z25:AC25)</f>
        <v>0</v>
      </c>
      <c r="Z25" s="42">
        <v>0</v>
      </c>
      <c r="AA25" s="42">
        <v>0</v>
      </c>
      <c r="AB25" s="42">
        <v>0</v>
      </c>
      <c r="AC25" s="42">
        <v>0</v>
      </c>
      <c r="AD25" s="42">
        <f t="shared" ref="AD25:AD26" si="12">SUM(Y25,T25,O25,J25,E25)</f>
        <v>0</v>
      </c>
      <c r="AE25" s="35"/>
    </row>
    <row r="26" spans="1:31" s="1" customFormat="1" ht="82.9" customHeight="1" x14ac:dyDescent="0.25">
      <c r="A26" s="28" t="s">
        <v>270</v>
      </c>
      <c r="B26" s="29" t="s">
        <v>271</v>
      </c>
      <c r="C26" s="28" t="s">
        <v>33</v>
      </c>
      <c r="D26" s="24"/>
      <c r="E26" s="25"/>
      <c r="F26" s="25"/>
      <c r="G26" s="25"/>
      <c r="H26" s="25"/>
      <c r="I26" s="25"/>
      <c r="J26" s="25"/>
      <c r="K26" s="25"/>
      <c r="L26" s="25"/>
      <c r="M26" s="25"/>
      <c r="N26" s="25"/>
      <c r="O26" s="25"/>
      <c r="P26" s="42"/>
      <c r="Q26" s="42"/>
      <c r="R26" s="42"/>
      <c r="S26" s="42"/>
      <c r="T26" s="94">
        <f t="shared" si="10"/>
        <v>616</v>
      </c>
      <c r="U26" s="103">
        <f>2916-2300</f>
        <v>616</v>
      </c>
      <c r="V26" s="42">
        <v>0</v>
      </c>
      <c r="W26" s="42">
        <v>0</v>
      </c>
      <c r="X26" s="42">
        <v>0</v>
      </c>
      <c r="Y26" s="25">
        <f t="shared" si="11"/>
        <v>5831</v>
      </c>
      <c r="Z26" s="42">
        <v>5831</v>
      </c>
      <c r="AA26" s="42">
        <v>0</v>
      </c>
      <c r="AB26" s="42">
        <v>0</v>
      </c>
      <c r="AC26" s="42">
        <v>0</v>
      </c>
      <c r="AD26" s="42">
        <f t="shared" si="12"/>
        <v>6447</v>
      </c>
      <c r="AE26" s="35"/>
    </row>
    <row r="27" spans="1:31" s="3" customFormat="1" ht="28.9" customHeight="1" x14ac:dyDescent="0.25">
      <c r="A27" s="46"/>
      <c r="B27" s="32" t="s">
        <v>72</v>
      </c>
      <c r="C27" s="32"/>
      <c r="D27" s="47"/>
      <c r="E27" s="41">
        <f t="shared" ref="E27:S27" si="13">SUM(E13:E25)</f>
        <v>826317.6</v>
      </c>
      <c r="F27" s="41">
        <f t="shared" si="13"/>
        <v>582371.6</v>
      </c>
      <c r="G27" s="41">
        <f t="shared" si="13"/>
        <v>243946</v>
      </c>
      <c r="H27" s="41">
        <f t="shared" si="13"/>
        <v>0</v>
      </c>
      <c r="I27" s="41">
        <f t="shared" si="13"/>
        <v>0</v>
      </c>
      <c r="J27" s="41">
        <f t="shared" si="13"/>
        <v>897054</v>
      </c>
      <c r="K27" s="41">
        <f t="shared" si="13"/>
        <v>891892</v>
      </c>
      <c r="L27" s="41">
        <f t="shared" si="13"/>
        <v>723</v>
      </c>
      <c r="M27" s="41">
        <f t="shared" si="13"/>
        <v>4439</v>
      </c>
      <c r="N27" s="41">
        <f t="shared" si="13"/>
        <v>0</v>
      </c>
      <c r="O27" s="48">
        <f t="shared" si="13"/>
        <v>965849.47</v>
      </c>
      <c r="P27" s="48">
        <f t="shared" si="13"/>
        <v>965849.47</v>
      </c>
      <c r="Q27" s="41">
        <f t="shared" si="13"/>
        <v>0</v>
      </c>
      <c r="R27" s="41">
        <f t="shared" si="13"/>
        <v>0</v>
      </c>
      <c r="S27" s="41">
        <f t="shared" si="13"/>
        <v>0</v>
      </c>
      <c r="T27" s="96">
        <f t="shared" ref="T27:AC27" si="14">SUM(T13:T26)</f>
        <v>979487.91533000011</v>
      </c>
      <c r="U27" s="96">
        <f t="shared" si="14"/>
        <v>974326.12533000007</v>
      </c>
      <c r="V27" s="41">
        <f t="shared" si="14"/>
        <v>722.65</v>
      </c>
      <c r="W27" s="41">
        <f t="shared" si="14"/>
        <v>4439.1400000000003</v>
      </c>
      <c r="X27" s="41">
        <f t="shared" si="14"/>
        <v>0</v>
      </c>
      <c r="Y27" s="41">
        <f t="shared" si="14"/>
        <v>915273</v>
      </c>
      <c r="Z27" s="41">
        <f t="shared" si="14"/>
        <v>915273</v>
      </c>
      <c r="AA27" s="41">
        <f t="shared" si="14"/>
        <v>0</v>
      </c>
      <c r="AB27" s="41">
        <f t="shared" si="14"/>
        <v>0</v>
      </c>
      <c r="AC27" s="41">
        <f t="shared" si="14"/>
        <v>0</v>
      </c>
      <c r="AD27" s="43">
        <f>SUM(Y27,T27,O27,J27,E27)</f>
        <v>4583981.9853299996</v>
      </c>
      <c r="AE27" s="49"/>
    </row>
    <row r="28" spans="1:31" s="1" customFormat="1" ht="47.45" customHeight="1" x14ac:dyDescent="0.25">
      <c r="A28" s="38"/>
      <c r="B28" s="141" t="s">
        <v>112</v>
      </c>
      <c r="C28" s="141"/>
      <c r="D28" s="33"/>
      <c r="E28" s="41"/>
      <c r="F28" s="41"/>
      <c r="G28" s="41"/>
      <c r="H28" s="41"/>
      <c r="I28" s="41"/>
      <c r="J28" s="41"/>
      <c r="K28" s="41"/>
      <c r="L28" s="41"/>
      <c r="M28" s="41"/>
      <c r="N28" s="41"/>
      <c r="O28" s="41"/>
      <c r="P28" s="42"/>
      <c r="Q28" s="42"/>
      <c r="R28" s="42"/>
      <c r="S28" s="42"/>
      <c r="T28" s="42"/>
      <c r="U28" s="42"/>
      <c r="V28" s="42"/>
      <c r="W28" s="42"/>
      <c r="X28" s="42"/>
      <c r="Y28" s="42"/>
      <c r="Z28" s="42"/>
      <c r="AA28" s="42"/>
      <c r="AB28" s="42"/>
      <c r="AC28" s="42"/>
      <c r="AD28" s="42"/>
      <c r="AE28" s="35"/>
    </row>
    <row r="29" spans="1:31" s="1" customFormat="1" ht="94.5" customHeight="1" x14ac:dyDescent="0.25">
      <c r="A29" s="50" t="s">
        <v>3</v>
      </c>
      <c r="B29" s="29" t="s">
        <v>50</v>
      </c>
      <c r="C29" s="28" t="s">
        <v>291</v>
      </c>
      <c r="D29" s="24" t="s">
        <v>44</v>
      </c>
      <c r="E29" s="25">
        <f>SUM(F29:I29)</f>
        <v>0</v>
      </c>
      <c r="F29" s="25">
        <v>0</v>
      </c>
      <c r="G29" s="25">
        <v>0</v>
      </c>
      <c r="H29" s="25">
        <v>0</v>
      </c>
      <c r="I29" s="25">
        <v>0</v>
      </c>
      <c r="J29" s="25">
        <f>SUM(K29:N29)</f>
        <v>0</v>
      </c>
      <c r="K29" s="25">
        <v>0</v>
      </c>
      <c r="L29" s="25">
        <v>0</v>
      </c>
      <c r="M29" s="25">
        <v>0</v>
      </c>
      <c r="N29" s="25">
        <v>0</v>
      </c>
      <c r="O29" s="25">
        <f>SUM(P29:S29)</f>
        <v>0</v>
      </c>
      <c r="P29" s="25">
        <v>0</v>
      </c>
      <c r="Q29" s="25">
        <v>0</v>
      </c>
      <c r="R29" s="25">
        <v>0</v>
      </c>
      <c r="S29" s="25">
        <v>0</v>
      </c>
      <c r="T29" s="25">
        <f>SUM(U29:X29)</f>
        <v>0</v>
      </c>
      <c r="U29" s="25">
        <v>0</v>
      </c>
      <c r="V29" s="25">
        <v>0</v>
      </c>
      <c r="W29" s="25">
        <v>0</v>
      </c>
      <c r="X29" s="25">
        <v>0</v>
      </c>
      <c r="Y29" s="25">
        <f>SUM(Z29:AC29)</f>
        <v>0</v>
      </c>
      <c r="Z29" s="25">
        <v>0</v>
      </c>
      <c r="AA29" s="25">
        <v>0</v>
      </c>
      <c r="AB29" s="25">
        <v>0</v>
      </c>
      <c r="AC29" s="25">
        <v>0</v>
      </c>
      <c r="AD29" s="42">
        <f>SUM(Y29,T29,O29,J29,E29)</f>
        <v>0</v>
      </c>
      <c r="AE29" s="35"/>
    </row>
    <row r="30" spans="1:31" s="1" customFormat="1" ht="95.25" customHeight="1" x14ac:dyDescent="0.25">
      <c r="A30" s="28" t="s">
        <v>4</v>
      </c>
      <c r="B30" s="29" t="s">
        <v>120</v>
      </c>
      <c r="C30" s="28" t="s">
        <v>75</v>
      </c>
      <c r="D30" s="24" t="s">
        <v>44</v>
      </c>
      <c r="E30" s="25">
        <f>SUM(F30:I30)</f>
        <v>0</v>
      </c>
      <c r="F30" s="25">
        <v>0</v>
      </c>
      <c r="G30" s="25">
        <v>0</v>
      </c>
      <c r="H30" s="25">
        <v>0</v>
      </c>
      <c r="I30" s="25">
        <v>0</v>
      </c>
      <c r="J30" s="25">
        <f>SUM(K30:N30)</f>
        <v>0</v>
      </c>
      <c r="K30" s="25">
        <v>0</v>
      </c>
      <c r="L30" s="25">
        <v>0</v>
      </c>
      <c r="M30" s="25">
        <v>0</v>
      </c>
      <c r="N30" s="25">
        <v>0</v>
      </c>
      <c r="O30" s="25">
        <f>SUM(P30:S30)</f>
        <v>0</v>
      </c>
      <c r="P30" s="25">
        <v>0</v>
      </c>
      <c r="Q30" s="25">
        <v>0</v>
      </c>
      <c r="R30" s="25">
        <v>0</v>
      </c>
      <c r="S30" s="25">
        <v>0</v>
      </c>
      <c r="T30" s="25">
        <f>SUM(U30:X30)</f>
        <v>0</v>
      </c>
      <c r="U30" s="25">
        <v>0</v>
      </c>
      <c r="V30" s="25">
        <v>0</v>
      </c>
      <c r="W30" s="25">
        <v>0</v>
      </c>
      <c r="X30" s="25">
        <v>0</v>
      </c>
      <c r="Y30" s="25">
        <f>SUM(Z30:AC30)</f>
        <v>0</v>
      </c>
      <c r="Z30" s="25">
        <v>0</v>
      </c>
      <c r="AA30" s="25">
        <v>0</v>
      </c>
      <c r="AB30" s="25">
        <v>0</v>
      </c>
      <c r="AC30" s="25">
        <v>0</v>
      </c>
      <c r="AD30" s="42">
        <f>SUM(Y30,T30,O30,J30,E30)</f>
        <v>0</v>
      </c>
      <c r="AE30" s="35"/>
    </row>
    <row r="31" spans="1:31" s="1" customFormat="1" ht="73.5" customHeight="1" x14ac:dyDescent="0.25">
      <c r="A31" s="28" t="s">
        <v>5</v>
      </c>
      <c r="B31" s="29" t="s">
        <v>89</v>
      </c>
      <c r="C31" s="28" t="s">
        <v>127</v>
      </c>
      <c r="D31" s="24" t="s">
        <v>44</v>
      </c>
      <c r="E31" s="25">
        <v>0</v>
      </c>
      <c r="F31" s="25">
        <v>0</v>
      </c>
      <c r="G31" s="25">
        <v>0</v>
      </c>
      <c r="H31" s="25">
        <v>0</v>
      </c>
      <c r="I31" s="25">
        <v>0</v>
      </c>
      <c r="J31" s="25">
        <v>0</v>
      </c>
      <c r="K31" s="25">
        <v>0</v>
      </c>
      <c r="L31" s="25">
        <v>0</v>
      </c>
      <c r="M31" s="25">
        <v>0</v>
      </c>
      <c r="N31" s="25">
        <v>0</v>
      </c>
      <c r="O31" s="25">
        <f>SUM(P31:S31)</f>
        <v>0</v>
      </c>
      <c r="P31" s="25">
        <v>0</v>
      </c>
      <c r="Q31" s="25">
        <v>0</v>
      </c>
      <c r="R31" s="25">
        <v>0</v>
      </c>
      <c r="S31" s="25">
        <v>0</v>
      </c>
      <c r="T31" s="25">
        <f>SUM(U31:X31)</f>
        <v>0</v>
      </c>
      <c r="U31" s="25">
        <v>0</v>
      </c>
      <c r="V31" s="25">
        <v>0</v>
      </c>
      <c r="W31" s="25">
        <v>0</v>
      </c>
      <c r="X31" s="25">
        <v>0</v>
      </c>
      <c r="Y31" s="25">
        <f>SUM(Z31:AC31)</f>
        <v>0</v>
      </c>
      <c r="Z31" s="25">
        <v>0</v>
      </c>
      <c r="AA31" s="25">
        <v>0</v>
      </c>
      <c r="AB31" s="25">
        <v>0</v>
      </c>
      <c r="AC31" s="25">
        <v>0</v>
      </c>
      <c r="AD31" s="42">
        <f>SUM(Y31,T31,O31,J31,E31)</f>
        <v>0</v>
      </c>
      <c r="AE31" s="35"/>
    </row>
    <row r="32" spans="1:31" s="1" customFormat="1" ht="85.15" customHeight="1" x14ac:dyDescent="0.25">
      <c r="A32" s="28" t="s">
        <v>6</v>
      </c>
      <c r="B32" s="29" t="s">
        <v>171</v>
      </c>
      <c r="C32" s="28" t="s">
        <v>172</v>
      </c>
      <c r="D32" s="24" t="s">
        <v>44</v>
      </c>
      <c r="E32" s="25">
        <f>SUM(F32:I32)</f>
        <v>0</v>
      </c>
      <c r="F32" s="25">
        <v>0</v>
      </c>
      <c r="G32" s="25">
        <v>0</v>
      </c>
      <c r="H32" s="25">
        <v>0</v>
      </c>
      <c r="I32" s="25">
        <v>0</v>
      </c>
      <c r="J32" s="25">
        <f>SUM(K32:N32)</f>
        <v>0</v>
      </c>
      <c r="K32" s="25">
        <v>0</v>
      </c>
      <c r="L32" s="25">
        <v>0</v>
      </c>
      <c r="M32" s="25">
        <v>0</v>
      </c>
      <c r="N32" s="25">
        <v>0</v>
      </c>
      <c r="O32" s="25">
        <f>SUM(P32:S32)</f>
        <v>0</v>
      </c>
      <c r="P32" s="25">
        <v>0</v>
      </c>
      <c r="Q32" s="25">
        <v>0</v>
      </c>
      <c r="R32" s="25">
        <v>0</v>
      </c>
      <c r="S32" s="25">
        <v>0</v>
      </c>
      <c r="T32" s="25">
        <f>SUM(U32:X32)</f>
        <v>0</v>
      </c>
      <c r="U32" s="25">
        <v>0</v>
      </c>
      <c r="V32" s="25">
        <v>0</v>
      </c>
      <c r="W32" s="25">
        <v>0</v>
      </c>
      <c r="X32" s="25">
        <v>0</v>
      </c>
      <c r="Y32" s="25">
        <f>SUM(Z32:AC32)</f>
        <v>0</v>
      </c>
      <c r="Z32" s="25">
        <v>0</v>
      </c>
      <c r="AA32" s="25">
        <v>0</v>
      </c>
      <c r="AB32" s="25">
        <v>0</v>
      </c>
      <c r="AC32" s="25">
        <v>0</v>
      </c>
      <c r="AD32" s="42">
        <f>SUM(Y32,T32,O32,J32,E32)</f>
        <v>0</v>
      </c>
      <c r="AE32" s="35"/>
    </row>
    <row r="33" spans="1:31" s="3" customFormat="1" ht="30" customHeight="1" x14ac:dyDescent="0.25">
      <c r="A33" s="51"/>
      <c r="B33" s="52" t="s">
        <v>73</v>
      </c>
      <c r="C33" s="47"/>
      <c r="D33" s="53"/>
      <c r="E33" s="41">
        <f>SUM(E29:E32)</f>
        <v>0</v>
      </c>
      <c r="F33" s="41">
        <f t="shared" ref="F33:AC33" si="15">SUM(F29:F32)</f>
        <v>0</v>
      </c>
      <c r="G33" s="41">
        <f t="shared" si="15"/>
        <v>0</v>
      </c>
      <c r="H33" s="41">
        <f t="shared" si="15"/>
        <v>0</v>
      </c>
      <c r="I33" s="41">
        <f t="shared" si="15"/>
        <v>0</v>
      </c>
      <c r="J33" s="41">
        <f t="shared" si="15"/>
        <v>0</v>
      </c>
      <c r="K33" s="41">
        <f t="shared" si="15"/>
        <v>0</v>
      </c>
      <c r="L33" s="41">
        <f t="shared" si="15"/>
        <v>0</v>
      </c>
      <c r="M33" s="41">
        <f t="shared" si="15"/>
        <v>0</v>
      </c>
      <c r="N33" s="41">
        <f t="shared" si="15"/>
        <v>0</v>
      </c>
      <c r="O33" s="41">
        <f t="shared" si="15"/>
        <v>0</v>
      </c>
      <c r="P33" s="41">
        <f t="shared" si="15"/>
        <v>0</v>
      </c>
      <c r="Q33" s="41">
        <f t="shared" si="15"/>
        <v>0</v>
      </c>
      <c r="R33" s="41">
        <f t="shared" si="15"/>
        <v>0</v>
      </c>
      <c r="S33" s="41">
        <f t="shared" si="15"/>
        <v>0</v>
      </c>
      <c r="T33" s="41">
        <f t="shared" si="15"/>
        <v>0</v>
      </c>
      <c r="U33" s="41">
        <f t="shared" si="15"/>
        <v>0</v>
      </c>
      <c r="V33" s="41">
        <f t="shared" si="15"/>
        <v>0</v>
      </c>
      <c r="W33" s="41">
        <f t="shared" si="15"/>
        <v>0</v>
      </c>
      <c r="X33" s="41">
        <f t="shared" si="15"/>
        <v>0</v>
      </c>
      <c r="Y33" s="41">
        <f t="shared" si="15"/>
        <v>0</v>
      </c>
      <c r="Z33" s="41">
        <f t="shared" si="15"/>
        <v>0</v>
      </c>
      <c r="AA33" s="41">
        <f t="shared" si="15"/>
        <v>0</v>
      </c>
      <c r="AB33" s="41">
        <f t="shared" si="15"/>
        <v>0</v>
      </c>
      <c r="AC33" s="41">
        <f t="shared" si="15"/>
        <v>0</v>
      </c>
      <c r="AD33" s="42">
        <f>SUM(Y33,T33,O33,J33,E33)</f>
        <v>0</v>
      </c>
      <c r="AE33" s="49"/>
    </row>
    <row r="34" spans="1:31" s="1" customFormat="1" ht="37.5" customHeight="1" x14ac:dyDescent="0.25">
      <c r="A34" s="38"/>
      <c r="B34" s="141" t="s">
        <v>113</v>
      </c>
      <c r="C34" s="141"/>
      <c r="D34" s="33"/>
      <c r="E34" s="41"/>
      <c r="F34" s="41"/>
      <c r="G34" s="41"/>
      <c r="H34" s="41"/>
      <c r="I34" s="41"/>
      <c r="J34" s="41"/>
      <c r="K34" s="41"/>
      <c r="L34" s="41"/>
      <c r="M34" s="41"/>
      <c r="N34" s="41"/>
      <c r="O34" s="41"/>
      <c r="P34" s="42"/>
      <c r="Q34" s="42"/>
      <c r="R34" s="42"/>
      <c r="S34" s="42"/>
      <c r="T34" s="42"/>
      <c r="U34" s="42"/>
      <c r="V34" s="42"/>
      <c r="W34" s="42"/>
      <c r="X34" s="42"/>
      <c r="Y34" s="42"/>
      <c r="Z34" s="42"/>
      <c r="AA34" s="42"/>
      <c r="AB34" s="42"/>
      <c r="AC34" s="42"/>
      <c r="AD34" s="42"/>
      <c r="AE34" s="35"/>
    </row>
    <row r="35" spans="1:31" s="1" customFormat="1" ht="72.75" customHeight="1" x14ac:dyDescent="0.25">
      <c r="A35" s="28" t="s">
        <v>7</v>
      </c>
      <c r="B35" s="29" t="s">
        <v>173</v>
      </c>
      <c r="C35" s="28" t="s">
        <v>128</v>
      </c>
      <c r="D35" s="24" t="s">
        <v>44</v>
      </c>
      <c r="E35" s="25">
        <f>SUM(F35:I35)</f>
        <v>0</v>
      </c>
      <c r="F35" s="25">
        <v>0</v>
      </c>
      <c r="G35" s="25">
        <v>0</v>
      </c>
      <c r="H35" s="25">
        <v>0</v>
      </c>
      <c r="I35" s="25">
        <v>0</v>
      </c>
      <c r="J35" s="25">
        <f>SUM(K35:N35)</f>
        <v>0</v>
      </c>
      <c r="K35" s="25">
        <v>0</v>
      </c>
      <c r="L35" s="25">
        <v>0</v>
      </c>
      <c r="M35" s="25">
        <v>0</v>
      </c>
      <c r="N35" s="25">
        <v>0</v>
      </c>
      <c r="O35" s="25">
        <f>SUM(P35:S35)</f>
        <v>0</v>
      </c>
      <c r="P35" s="25">
        <v>0</v>
      </c>
      <c r="Q35" s="25">
        <v>0</v>
      </c>
      <c r="R35" s="25">
        <v>0</v>
      </c>
      <c r="S35" s="25">
        <v>0</v>
      </c>
      <c r="T35" s="25">
        <f>SUM(U35:X35)</f>
        <v>0</v>
      </c>
      <c r="U35" s="25">
        <v>0</v>
      </c>
      <c r="V35" s="25">
        <v>0</v>
      </c>
      <c r="W35" s="25">
        <v>0</v>
      </c>
      <c r="X35" s="25">
        <v>0</v>
      </c>
      <c r="Y35" s="25">
        <f>SUM(Z35:AC35)</f>
        <v>0</v>
      </c>
      <c r="Z35" s="25">
        <v>0</v>
      </c>
      <c r="AA35" s="25">
        <v>0</v>
      </c>
      <c r="AB35" s="25">
        <v>0</v>
      </c>
      <c r="AC35" s="25">
        <v>0</v>
      </c>
      <c r="AD35" s="42">
        <f t="shared" ref="AD35:AD44" si="16">SUM(Y35,T35,O35,J35,E35)</f>
        <v>0</v>
      </c>
      <c r="AE35" s="35"/>
    </row>
    <row r="36" spans="1:31" s="1" customFormat="1" ht="87.6" customHeight="1" x14ac:dyDescent="0.25">
      <c r="A36" s="28" t="s">
        <v>16</v>
      </c>
      <c r="B36" s="29" t="s">
        <v>269</v>
      </c>
      <c r="C36" s="28" t="s">
        <v>129</v>
      </c>
      <c r="D36" s="24">
        <v>2019</v>
      </c>
      <c r="E36" s="25">
        <f t="shared" ref="E36:E55" si="17">SUM(F36:I36)</f>
        <v>0</v>
      </c>
      <c r="F36" s="25">
        <v>0</v>
      </c>
      <c r="G36" s="25">
        <v>0</v>
      </c>
      <c r="H36" s="25">
        <v>0</v>
      </c>
      <c r="I36" s="25">
        <v>0</v>
      </c>
      <c r="J36" s="25">
        <f t="shared" ref="J36:J51" si="18">SUM(K36:N36)</f>
        <v>0</v>
      </c>
      <c r="K36" s="25">
        <v>0</v>
      </c>
      <c r="L36" s="25">
        <v>0</v>
      </c>
      <c r="M36" s="25">
        <v>0</v>
      </c>
      <c r="N36" s="25">
        <v>0</v>
      </c>
      <c r="O36" s="25">
        <f t="shared" ref="O36:O55" si="19">SUM(P36:S36)</f>
        <v>0</v>
      </c>
      <c r="P36" s="25">
        <v>0</v>
      </c>
      <c r="Q36" s="25">
        <v>0</v>
      </c>
      <c r="R36" s="25">
        <v>0</v>
      </c>
      <c r="S36" s="25">
        <v>0</v>
      </c>
      <c r="T36" s="25">
        <f t="shared" ref="T36:T55" si="20">SUM(U36:X36)</f>
        <v>0</v>
      </c>
      <c r="U36" s="25">
        <v>0</v>
      </c>
      <c r="V36" s="25">
        <v>0</v>
      </c>
      <c r="W36" s="25">
        <v>0</v>
      </c>
      <c r="X36" s="25">
        <v>0</v>
      </c>
      <c r="Y36" s="25">
        <f t="shared" ref="Y36:Y55" si="21">SUM(Z36:AC36)</f>
        <v>0</v>
      </c>
      <c r="Z36" s="25">
        <v>0</v>
      </c>
      <c r="AA36" s="25">
        <v>0</v>
      </c>
      <c r="AB36" s="25">
        <v>0</v>
      </c>
      <c r="AC36" s="25">
        <v>0</v>
      </c>
      <c r="AD36" s="42">
        <f t="shared" si="16"/>
        <v>0</v>
      </c>
      <c r="AE36" s="35"/>
    </row>
    <row r="37" spans="1:31" s="2" customFormat="1" ht="85.5" customHeight="1" x14ac:dyDescent="0.25">
      <c r="A37" s="125" t="s">
        <v>38</v>
      </c>
      <c r="B37" s="29" t="s">
        <v>97</v>
      </c>
      <c r="C37" s="125" t="s">
        <v>221</v>
      </c>
      <c r="D37" s="146" t="s">
        <v>182</v>
      </c>
      <c r="E37" s="25"/>
      <c r="F37" s="42"/>
      <c r="G37" s="25"/>
      <c r="H37" s="25"/>
      <c r="I37" s="25"/>
      <c r="J37" s="25"/>
      <c r="K37" s="42"/>
      <c r="L37" s="42"/>
      <c r="M37" s="42"/>
      <c r="N37" s="42"/>
      <c r="O37" s="25"/>
      <c r="P37" s="25"/>
      <c r="Q37" s="25"/>
      <c r="R37" s="25"/>
      <c r="S37" s="25"/>
      <c r="T37" s="25"/>
      <c r="U37" s="25"/>
      <c r="V37" s="25"/>
      <c r="W37" s="25"/>
      <c r="X37" s="42"/>
      <c r="Y37" s="25"/>
      <c r="Z37" s="42"/>
      <c r="AA37" s="42"/>
      <c r="AB37" s="42"/>
      <c r="AC37" s="42"/>
      <c r="AD37" s="42">
        <f t="shared" si="16"/>
        <v>0</v>
      </c>
      <c r="AE37" s="54"/>
    </row>
    <row r="38" spans="1:31" s="2" customFormat="1" ht="40.15" customHeight="1" x14ac:dyDescent="0.25">
      <c r="A38" s="129"/>
      <c r="B38" s="29" t="s">
        <v>154</v>
      </c>
      <c r="C38" s="159"/>
      <c r="D38" s="160"/>
      <c r="E38" s="25">
        <f>F38+G38</f>
        <v>865</v>
      </c>
      <c r="F38" s="42">
        <v>43</v>
      </c>
      <c r="G38" s="25">
        <v>822</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42">
        <f t="shared" si="16"/>
        <v>865</v>
      </c>
      <c r="AE38" s="54"/>
    </row>
    <row r="39" spans="1:31" s="2" customFormat="1" ht="24.6" customHeight="1" x14ac:dyDescent="0.25">
      <c r="A39" s="129"/>
      <c r="B39" s="29" t="s">
        <v>51</v>
      </c>
      <c r="C39" s="128"/>
      <c r="D39" s="161"/>
      <c r="E39" s="25">
        <f t="shared" si="17"/>
        <v>0</v>
      </c>
      <c r="F39" s="42">
        <v>0</v>
      </c>
      <c r="G39" s="42">
        <v>0</v>
      </c>
      <c r="H39" s="42">
        <v>0</v>
      </c>
      <c r="I39" s="42">
        <v>0</v>
      </c>
      <c r="J39" s="25">
        <f t="shared" si="18"/>
        <v>0</v>
      </c>
      <c r="K39" s="42">
        <v>0</v>
      </c>
      <c r="L39" s="42">
        <v>0</v>
      </c>
      <c r="M39" s="42">
        <v>0</v>
      </c>
      <c r="N39" s="42">
        <v>0</v>
      </c>
      <c r="O39" s="25">
        <f t="shared" si="19"/>
        <v>0</v>
      </c>
      <c r="P39" s="42">
        <v>0</v>
      </c>
      <c r="Q39" s="42">
        <v>0</v>
      </c>
      <c r="R39" s="42">
        <v>0</v>
      </c>
      <c r="S39" s="42">
        <v>0</v>
      </c>
      <c r="T39" s="25">
        <f t="shared" si="20"/>
        <v>0</v>
      </c>
      <c r="U39" s="42">
        <v>0</v>
      </c>
      <c r="V39" s="42">
        <v>0</v>
      </c>
      <c r="W39" s="42">
        <v>0</v>
      </c>
      <c r="X39" s="42">
        <v>0</v>
      </c>
      <c r="Y39" s="25">
        <f t="shared" si="21"/>
        <v>0</v>
      </c>
      <c r="Z39" s="42">
        <v>0</v>
      </c>
      <c r="AA39" s="42">
        <v>0</v>
      </c>
      <c r="AB39" s="42">
        <v>0</v>
      </c>
      <c r="AC39" s="42">
        <v>0</v>
      </c>
      <c r="AD39" s="42">
        <f t="shared" si="16"/>
        <v>0</v>
      </c>
      <c r="AE39" s="54"/>
    </row>
    <row r="40" spans="1:31" s="2" customFormat="1" ht="78.75" customHeight="1" x14ac:dyDescent="0.25">
      <c r="A40" s="129"/>
      <c r="B40" s="29" t="s">
        <v>174</v>
      </c>
      <c r="C40" s="125" t="s">
        <v>222</v>
      </c>
      <c r="D40" s="55">
        <v>2020</v>
      </c>
      <c r="E40" s="25">
        <f t="shared" si="17"/>
        <v>0</v>
      </c>
      <c r="F40" s="42">
        <v>0</v>
      </c>
      <c r="G40" s="42">
        <v>0</v>
      </c>
      <c r="H40" s="42">
        <v>0</v>
      </c>
      <c r="I40" s="42">
        <v>0</v>
      </c>
      <c r="J40" s="26">
        <f t="shared" si="18"/>
        <v>13547</v>
      </c>
      <c r="K40" s="43">
        <f>14277-730</f>
        <v>13547</v>
      </c>
      <c r="L40" s="42">
        <v>0</v>
      </c>
      <c r="M40" s="42">
        <v>0</v>
      </c>
      <c r="N40" s="42">
        <v>0</v>
      </c>
      <c r="O40" s="25">
        <f t="shared" si="19"/>
        <v>0</v>
      </c>
      <c r="P40" s="42">
        <v>0</v>
      </c>
      <c r="Q40" s="42">
        <v>0</v>
      </c>
      <c r="R40" s="42">
        <v>0</v>
      </c>
      <c r="S40" s="42">
        <v>0</v>
      </c>
      <c r="T40" s="25">
        <f t="shared" si="20"/>
        <v>0</v>
      </c>
      <c r="U40" s="42">
        <v>0</v>
      </c>
      <c r="V40" s="42">
        <v>0</v>
      </c>
      <c r="W40" s="42">
        <v>0</v>
      </c>
      <c r="X40" s="42">
        <v>0</v>
      </c>
      <c r="Y40" s="25">
        <f t="shared" si="21"/>
        <v>0</v>
      </c>
      <c r="Z40" s="42">
        <v>0</v>
      </c>
      <c r="AA40" s="42">
        <v>0</v>
      </c>
      <c r="AB40" s="42">
        <v>0</v>
      </c>
      <c r="AC40" s="42">
        <v>0</v>
      </c>
      <c r="AD40" s="42">
        <f t="shared" si="16"/>
        <v>13547</v>
      </c>
      <c r="AE40" s="54"/>
    </row>
    <row r="41" spans="1:31" s="2" customFormat="1" ht="39" customHeight="1" x14ac:dyDescent="0.25">
      <c r="A41" s="129"/>
      <c r="B41" s="29" t="s">
        <v>267</v>
      </c>
      <c r="C41" s="128"/>
      <c r="D41" s="55">
        <v>2021</v>
      </c>
      <c r="E41" s="25">
        <v>0</v>
      </c>
      <c r="F41" s="42">
        <v>0</v>
      </c>
      <c r="G41" s="42">
        <v>0</v>
      </c>
      <c r="H41" s="42">
        <v>0</v>
      </c>
      <c r="I41" s="42">
        <v>0</v>
      </c>
      <c r="J41" s="26">
        <v>0</v>
      </c>
      <c r="K41" s="43">
        <v>0</v>
      </c>
      <c r="L41" s="42">
        <v>0</v>
      </c>
      <c r="M41" s="42">
        <v>0</v>
      </c>
      <c r="N41" s="42">
        <v>0</v>
      </c>
      <c r="O41" s="25">
        <f t="shared" si="19"/>
        <v>211</v>
      </c>
      <c r="P41" s="42">
        <v>211</v>
      </c>
      <c r="Q41" s="42">
        <v>0</v>
      </c>
      <c r="R41" s="42">
        <v>0</v>
      </c>
      <c r="S41" s="42">
        <v>0</v>
      </c>
      <c r="T41" s="25">
        <v>0</v>
      </c>
      <c r="U41" s="42">
        <v>0</v>
      </c>
      <c r="V41" s="42">
        <v>0</v>
      </c>
      <c r="W41" s="42">
        <v>0</v>
      </c>
      <c r="X41" s="42">
        <v>0</v>
      </c>
      <c r="Y41" s="25">
        <v>0</v>
      </c>
      <c r="Z41" s="42">
        <v>0</v>
      </c>
      <c r="AA41" s="42">
        <v>0</v>
      </c>
      <c r="AB41" s="42">
        <v>0</v>
      </c>
      <c r="AC41" s="42">
        <v>0</v>
      </c>
      <c r="AD41" s="42">
        <f t="shared" si="16"/>
        <v>211</v>
      </c>
      <c r="AE41" s="54"/>
    </row>
    <row r="42" spans="1:31" s="2" customFormat="1" ht="36" customHeight="1" x14ac:dyDescent="0.25">
      <c r="A42" s="130"/>
      <c r="B42" s="29" t="s">
        <v>156</v>
      </c>
      <c r="C42" s="55" t="s">
        <v>155</v>
      </c>
      <c r="D42" s="55">
        <v>2021</v>
      </c>
      <c r="E42" s="25">
        <v>0</v>
      </c>
      <c r="F42" s="25">
        <v>0</v>
      </c>
      <c r="G42" s="25">
        <v>0</v>
      </c>
      <c r="H42" s="25">
        <v>0</v>
      </c>
      <c r="I42" s="25">
        <v>0</v>
      </c>
      <c r="J42" s="25">
        <f>SUM(K42:N42)</f>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43">
        <f t="shared" si="16"/>
        <v>0</v>
      </c>
      <c r="AE42" s="54"/>
    </row>
    <row r="43" spans="1:31" s="2" customFormat="1" ht="42" customHeight="1" x14ac:dyDescent="0.25">
      <c r="A43" s="28" t="s">
        <v>8</v>
      </c>
      <c r="B43" s="29" t="s">
        <v>95</v>
      </c>
      <c r="C43" s="28" t="s">
        <v>96</v>
      </c>
      <c r="D43" s="24">
        <v>2019</v>
      </c>
      <c r="E43" s="25">
        <f t="shared" si="17"/>
        <v>359</v>
      </c>
      <c r="F43" s="42">
        <v>359</v>
      </c>
      <c r="G43" s="42">
        <v>0</v>
      </c>
      <c r="H43" s="42">
        <v>0</v>
      </c>
      <c r="I43" s="42">
        <v>0</v>
      </c>
      <c r="J43" s="26">
        <v>0</v>
      </c>
      <c r="K43" s="43">
        <v>0</v>
      </c>
      <c r="L43" s="42">
        <v>0</v>
      </c>
      <c r="M43" s="42">
        <v>0</v>
      </c>
      <c r="N43" s="42">
        <v>0</v>
      </c>
      <c r="O43" s="26">
        <f t="shared" si="19"/>
        <v>0</v>
      </c>
      <c r="P43" s="43">
        <v>0</v>
      </c>
      <c r="Q43" s="42">
        <v>0</v>
      </c>
      <c r="R43" s="42">
        <v>0</v>
      </c>
      <c r="S43" s="42">
        <v>0</v>
      </c>
      <c r="T43" s="25">
        <f t="shared" si="20"/>
        <v>0</v>
      </c>
      <c r="U43" s="42">
        <v>0</v>
      </c>
      <c r="V43" s="42">
        <v>0</v>
      </c>
      <c r="W43" s="42">
        <v>0</v>
      </c>
      <c r="X43" s="42">
        <v>0</v>
      </c>
      <c r="Y43" s="25">
        <f t="shared" si="21"/>
        <v>0</v>
      </c>
      <c r="Z43" s="42">
        <v>0</v>
      </c>
      <c r="AA43" s="42">
        <v>0</v>
      </c>
      <c r="AB43" s="42">
        <v>0</v>
      </c>
      <c r="AC43" s="42">
        <v>0</v>
      </c>
      <c r="AD43" s="42">
        <f t="shared" si="16"/>
        <v>359</v>
      </c>
      <c r="AE43" s="54"/>
    </row>
    <row r="44" spans="1:31" s="1" customFormat="1" ht="107.25" customHeight="1" x14ac:dyDescent="0.25">
      <c r="A44" s="125" t="s">
        <v>52</v>
      </c>
      <c r="B44" s="29" t="s">
        <v>79</v>
      </c>
      <c r="C44" s="28"/>
      <c r="D44" s="24"/>
      <c r="E44" s="25"/>
      <c r="F44" s="42"/>
      <c r="G44" s="42"/>
      <c r="H44" s="42"/>
      <c r="I44" s="42"/>
      <c r="J44" s="25"/>
      <c r="K44" s="42"/>
      <c r="L44" s="42"/>
      <c r="M44" s="42"/>
      <c r="N44" s="42"/>
      <c r="O44" s="25"/>
      <c r="P44" s="42"/>
      <c r="Q44" s="42"/>
      <c r="R44" s="42"/>
      <c r="S44" s="42"/>
      <c r="T44" s="25"/>
      <c r="U44" s="42"/>
      <c r="V44" s="42"/>
      <c r="W44" s="42"/>
      <c r="X44" s="42"/>
      <c r="Y44" s="25"/>
      <c r="Z44" s="42"/>
      <c r="AA44" s="42"/>
      <c r="AB44" s="42"/>
      <c r="AC44" s="42"/>
      <c r="AD44" s="42">
        <f t="shared" si="16"/>
        <v>0</v>
      </c>
      <c r="AE44" s="35"/>
    </row>
    <row r="45" spans="1:31" s="1" customFormat="1" ht="106.5" customHeight="1" x14ac:dyDescent="0.25">
      <c r="A45" s="129"/>
      <c r="B45" s="29" t="s">
        <v>283</v>
      </c>
      <c r="C45" s="28" t="s">
        <v>163</v>
      </c>
      <c r="D45" s="146" t="s">
        <v>183</v>
      </c>
      <c r="E45" s="25">
        <f t="shared" si="17"/>
        <v>242.2</v>
      </c>
      <c r="F45" s="42">
        <v>0</v>
      </c>
      <c r="G45" s="42">
        <v>84.8</v>
      </c>
      <c r="H45" s="42">
        <v>157.4</v>
      </c>
      <c r="I45" s="42">
        <v>0</v>
      </c>
      <c r="J45" s="26">
        <f t="shared" si="18"/>
        <v>231</v>
      </c>
      <c r="K45" s="43">
        <v>0</v>
      </c>
      <c r="L45" s="43">
        <v>81</v>
      </c>
      <c r="M45" s="43">
        <v>150</v>
      </c>
      <c r="N45" s="42">
        <v>0</v>
      </c>
      <c r="O45" s="25">
        <f t="shared" si="19"/>
        <v>0</v>
      </c>
      <c r="P45" s="42">
        <v>0</v>
      </c>
      <c r="Q45" s="42">
        <v>0</v>
      </c>
      <c r="R45" s="42">
        <v>0</v>
      </c>
      <c r="S45" s="42">
        <v>0</v>
      </c>
      <c r="T45" s="25">
        <f t="shared" si="20"/>
        <v>0</v>
      </c>
      <c r="U45" s="42">
        <v>0</v>
      </c>
      <c r="V45" s="42">
        <v>0</v>
      </c>
      <c r="W45" s="42">
        <v>0</v>
      </c>
      <c r="X45" s="42">
        <v>0</v>
      </c>
      <c r="Y45" s="25">
        <f t="shared" si="21"/>
        <v>0</v>
      </c>
      <c r="Z45" s="42">
        <v>0</v>
      </c>
      <c r="AA45" s="42">
        <v>0</v>
      </c>
      <c r="AB45" s="42">
        <v>0</v>
      </c>
      <c r="AC45" s="42">
        <v>0</v>
      </c>
      <c r="AD45" s="42">
        <f t="shared" ref="AD45:AD50" si="22">SUM(Y45,T45,O45,J45,E45)</f>
        <v>473.2</v>
      </c>
      <c r="AE45" s="35"/>
    </row>
    <row r="46" spans="1:31" s="1" customFormat="1" ht="86.25" customHeight="1" x14ac:dyDescent="0.25">
      <c r="A46" s="129"/>
      <c r="B46" s="29" t="s">
        <v>302</v>
      </c>
      <c r="C46" s="28" t="s">
        <v>252</v>
      </c>
      <c r="D46" s="147"/>
      <c r="E46" s="25">
        <f t="shared" si="17"/>
        <v>0</v>
      </c>
      <c r="F46" s="42">
        <v>0</v>
      </c>
      <c r="G46" s="42">
        <v>0</v>
      </c>
      <c r="H46" s="42">
        <v>0</v>
      </c>
      <c r="I46" s="42">
        <v>0</v>
      </c>
      <c r="J46" s="26">
        <f t="shared" si="18"/>
        <v>350</v>
      </c>
      <c r="K46" s="43">
        <v>350</v>
      </c>
      <c r="L46" s="42">
        <v>0</v>
      </c>
      <c r="M46" s="42">
        <v>0</v>
      </c>
      <c r="N46" s="42">
        <v>0</v>
      </c>
      <c r="O46" s="105">
        <f t="shared" si="19"/>
        <v>350</v>
      </c>
      <c r="P46" s="106">
        <f>350</f>
        <v>350</v>
      </c>
      <c r="Q46" s="106">
        <v>0</v>
      </c>
      <c r="R46" s="106">
        <v>0</v>
      </c>
      <c r="S46" s="43">
        <v>0</v>
      </c>
      <c r="T46" s="105">
        <f t="shared" si="20"/>
        <v>820</v>
      </c>
      <c r="U46" s="106">
        <f>330+470+20</f>
        <v>820</v>
      </c>
      <c r="V46" s="103">
        <v>0</v>
      </c>
      <c r="W46" s="116">
        <v>0</v>
      </c>
      <c r="X46" s="42">
        <v>0</v>
      </c>
      <c r="Y46" s="105">
        <f t="shared" si="21"/>
        <v>1670</v>
      </c>
      <c r="Z46" s="106">
        <f>700+470+480+20</f>
        <v>1670</v>
      </c>
      <c r="AA46" s="103"/>
      <c r="AB46" s="103"/>
      <c r="AC46" s="42">
        <v>0</v>
      </c>
      <c r="AD46" s="42">
        <f t="shared" si="22"/>
        <v>3190</v>
      </c>
      <c r="AE46" s="35"/>
    </row>
    <row r="47" spans="1:31" s="1" customFormat="1" ht="86.25" customHeight="1" x14ac:dyDescent="0.25">
      <c r="A47" s="129"/>
      <c r="B47" s="102" t="s">
        <v>276</v>
      </c>
      <c r="C47" s="114" t="s">
        <v>252</v>
      </c>
      <c r="D47" s="147"/>
      <c r="E47" s="25"/>
      <c r="F47" s="42"/>
      <c r="G47" s="42"/>
      <c r="H47" s="42"/>
      <c r="I47" s="42"/>
      <c r="J47" s="26"/>
      <c r="K47" s="43"/>
      <c r="L47" s="42"/>
      <c r="M47" s="42"/>
      <c r="N47" s="42"/>
      <c r="O47" s="105">
        <f t="shared" si="19"/>
        <v>3266</v>
      </c>
      <c r="P47" s="106">
        <v>33</v>
      </c>
      <c r="Q47" s="106">
        <v>1131</v>
      </c>
      <c r="R47" s="106">
        <v>2102</v>
      </c>
      <c r="S47" s="43"/>
      <c r="T47" s="105">
        <f t="shared" si="20"/>
        <v>3243.56</v>
      </c>
      <c r="U47" s="106">
        <v>32.44</v>
      </c>
      <c r="V47" s="103">
        <v>1156</v>
      </c>
      <c r="W47" s="103">
        <v>2055.12</v>
      </c>
      <c r="X47" s="42">
        <v>0</v>
      </c>
      <c r="Y47" s="105">
        <f t="shared" si="21"/>
        <v>3243.55</v>
      </c>
      <c r="Z47" s="106">
        <v>32.43</v>
      </c>
      <c r="AA47" s="103">
        <v>1156</v>
      </c>
      <c r="AB47" s="103">
        <v>2055.12</v>
      </c>
      <c r="AC47" s="42"/>
      <c r="AD47" s="42">
        <f t="shared" si="22"/>
        <v>9753.11</v>
      </c>
      <c r="AE47" s="109"/>
    </row>
    <row r="48" spans="1:31" s="1" customFormat="1" ht="101.25" customHeight="1" x14ac:dyDescent="0.25">
      <c r="A48" s="129"/>
      <c r="B48" s="29" t="s">
        <v>303</v>
      </c>
      <c r="C48" s="28" t="s">
        <v>290</v>
      </c>
      <c r="D48" s="147"/>
      <c r="E48" s="25">
        <f t="shared" si="17"/>
        <v>0</v>
      </c>
      <c r="F48" s="42">
        <v>0</v>
      </c>
      <c r="G48" s="42">
        <v>0</v>
      </c>
      <c r="H48" s="42">
        <v>0</v>
      </c>
      <c r="I48" s="42">
        <v>0</v>
      </c>
      <c r="J48" s="26">
        <f t="shared" si="18"/>
        <v>379</v>
      </c>
      <c r="K48" s="43">
        <v>379</v>
      </c>
      <c r="L48" s="42">
        <v>0</v>
      </c>
      <c r="M48" s="42">
        <v>0</v>
      </c>
      <c r="N48" s="42">
        <v>0</v>
      </c>
      <c r="O48" s="26">
        <f t="shared" si="19"/>
        <v>0</v>
      </c>
      <c r="P48" s="43">
        <v>0</v>
      </c>
      <c r="Q48" s="42">
        <v>0</v>
      </c>
      <c r="R48" s="42">
        <v>0</v>
      </c>
      <c r="S48" s="42">
        <v>0</v>
      </c>
      <c r="T48" s="94">
        <f t="shared" si="20"/>
        <v>0</v>
      </c>
      <c r="U48" s="103">
        <v>0</v>
      </c>
      <c r="V48" s="103">
        <v>0</v>
      </c>
      <c r="W48" s="103">
        <v>0</v>
      </c>
      <c r="X48" s="42">
        <v>0</v>
      </c>
      <c r="Y48" s="94">
        <f t="shared" si="21"/>
        <v>0</v>
      </c>
      <c r="Z48" s="103">
        <v>0</v>
      </c>
      <c r="AA48" s="103">
        <v>0</v>
      </c>
      <c r="AB48" s="103">
        <v>0</v>
      </c>
      <c r="AC48" s="42">
        <v>0</v>
      </c>
      <c r="AD48" s="42">
        <f t="shared" si="22"/>
        <v>379</v>
      </c>
      <c r="AE48" s="35"/>
    </row>
    <row r="49" spans="1:31" s="1" customFormat="1" ht="101.25" customHeight="1" x14ac:dyDescent="0.25">
      <c r="A49" s="129"/>
      <c r="B49" s="102" t="s">
        <v>274</v>
      </c>
      <c r="C49" s="114" t="s">
        <v>290</v>
      </c>
      <c r="D49" s="153"/>
      <c r="E49" s="25"/>
      <c r="F49" s="42"/>
      <c r="G49" s="42"/>
      <c r="H49" s="42"/>
      <c r="I49" s="42"/>
      <c r="J49" s="26"/>
      <c r="K49" s="43"/>
      <c r="L49" s="42"/>
      <c r="M49" s="42"/>
      <c r="N49" s="42"/>
      <c r="O49" s="26"/>
      <c r="P49" s="43"/>
      <c r="Q49" s="42"/>
      <c r="R49" s="42"/>
      <c r="S49" s="42"/>
      <c r="T49" s="94">
        <f t="shared" si="20"/>
        <v>2447.9833199999998</v>
      </c>
      <c r="U49" s="103">
        <f>110.80332+11.6</f>
        <v>122.40331999999999</v>
      </c>
      <c r="V49" s="103">
        <f>105.26+220.32</f>
        <v>325.58</v>
      </c>
      <c r="W49" s="103">
        <v>2000</v>
      </c>
      <c r="X49" s="42">
        <v>0</v>
      </c>
      <c r="Y49" s="94">
        <f t="shared" si="21"/>
        <v>2829.5686700000001</v>
      </c>
      <c r="Z49" s="103">
        <v>141.47866999999999</v>
      </c>
      <c r="AA49" s="103">
        <v>134.4</v>
      </c>
      <c r="AB49" s="103">
        <v>2553.69</v>
      </c>
      <c r="AC49" s="42"/>
      <c r="AD49" s="42">
        <f t="shared" si="22"/>
        <v>5277.5519899999999</v>
      </c>
      <c r="AE49" s="113"/>
    </row>
    <row r="50" spans="1:31" s="1" customFormat="1" ht="40.9" customHeight="1" x14ac:dyDescent="0.25">
      <c r="A50" s="130"/>
      <c r="B50" s="29" t="s">
        <v>88</v>
      </c>
      <c r="C50" s="28" t="s">
        <v>164</v>
      </c>
      <c r="D50" s="154"/>
      <c r="E50" s="25">
        <f t="shared" si="17"/>
        <v>257</v>
      </c>
      <c r="F50" s="25">
        <v>257</v>
      </c>
      <c r="G50" s="25">
        <v>0</v>
      </c>
      <c r="H50" s="25">
        <v>0</v>
      </c>
      <c r="I50" s="25">
        <v>0</v>
      </c>
      <c r="J50" s="25">
        <f t="shared" si="18"/>
        <v>0</v>
      </c>
      <c r="K50" s="25">
        <v>0</v>
      </c>
      <c r="L50" s="25">
        <v>0</v>
      </c>
      <c r="M50" s="25">
        <v>0</v>
      </c>
      <c r="N50" s="25">
        <v>0</v>
      </c>
      <c r="O50" s="26">
        <f t="shared" si="19"/>
        <v>0</v>
      </c>
      <c r="P50" s="25">
        <v>0</v>
      </c>
      <c r="Q50" s="25">
        <v>0</v>
      </c>
      <c r="R50" s="25">
        <v>0</v>
      </c>
      <c r="S50" s="25">
        <v>0</v>
      </c>
      <c r="T50" s="25">
        <v>0</v>
      </c>
      <c r="U50" s="25">
        <v>0</v>
      </c>
      <c r="V50" s="25">
        <v>0</v>
      </c>
      <c r="W50" s="25">
        <v>0</v>
      </c>
      <c r="X50" s="25">
        <v>0</v>
      </c>
      <c r="Y50" s="25">
        <f t="shared" si="21"/>
        <v>0</v>
      </c>
      <c r="Z50" s="25">
        <v>0</v>
      </c>
      <c r="AA50" s="25">
        <v>0</v>
      </c>
      <c r="AB50" s="25">
        <v>0</v>
      </c>
      <c r="AC50" s="25">
        <v>0</v>
      </c>
      <c r="AD50" s="42">
        <f t="shared" si="22"/>
        <v>257</v>
      </c>
      <c r="AE50" s="35"/>
    </row>
    <row r="51" spans="1:31" s="1" customFormat="1" ht="49.5" customHeight="1" x14ac:dyDescent="0.25">
      <c r="A51" s="50" t="s">
        <v>53</v>
      </c>
      <c r="B51" s="29" t="s">
        <v>184</v>
      </c>
      <c r="C51" s="28" t="s">
        <v>165</v>
      </c>
      <c r="D51" s="24">
        <v>2020</v>
      </c>
      <c r="E51" s="25">
        <f t="shared" si="17"/>
        <v>0</v>
      </c>
      <c r="F51" s="25">
        <f t="shared" ref="F51" si="23">SUM(G51:J51)</f>
        <v>0</v>
      </c>
      <c r="G51" s="25">
        <f t="shared" ref="G51" si="24">SUM(H51:K51)</f>
        <v>0</v>
      </c>
      <c r="H51" s="25">
        <f t="shared" ref="H51" si="25">SUM(I51:L51)</f>
        <v>0</v>
      </c>
      <c r="I51" s="25">
        <f t="shared" ref="I51:I52" si="26">SUM(J51:M51)</f>
        <v>0</v>
      </c>
      <c r="J51" s="25">
        <f t="shared" si="18"/>
        <v>0</v>
      </c>
      <c r="K51" s="25">
        <f t="shared" ref="K51" si="27">SUM(L51:O51)</f>
        <v>0</v>
      </c>
      <c r="L51" s="25">
        <f t="shared" ref="L51" si="28">SUM(M51:P51)</f>
        <v>0</v>
      </c>
      <c r="M51" s="25">
        <f t="shared" ref="M51" si="29">SUM(N51:Q51)</f>
        <v>0</v>
      </c>
      <c r="N51" s="25">
        <f t="shared" ref="N51" si="30">SUM(O51:R51)</f>
        <v>0</v>
      </c>
      <c r="O51" s="26">
        <f t="shared" si="19"/>
        <v>0</v>
      </c>
      <c r="P51" s="25">
        <f t="shared" ref="P51" si="31">SUM(Q51:T51)</f>
        <v>0</v>
      </c>
      <c r="Q51" s="25">
        <f t="shared" ref="Q51" si="32">SUM(R51:U51)</f>
        <v>0</v>
      </c>
      <c r="R51" s="25">
        <f t="shared" ref="R51" si="33">SUM(S51:V51)</f>
        <v>0</v>
      </c>
      <c r="S51" s="25">
        <v>0</v>
      </c>
      <c r="T51" s="25">
        <f t="shared" si="20"/>
        <v>0</v>
      </c>
      <c r="U51" s="25">
        <v>0</v>
      </c>
      <c r="V51" s="25">
        <v>0</v>
      </c>
      <c r="W51" s="25">
        <v>0</v>
      </c>
      <c r="X51" s="25">
        <v>0</v>
      </c>
      <c r="Y51" s="25">
        <f t="shared" si="21"/>
        <v>0</v>
      </c>
      <c r="Z51" s="25">
        <v>0</v>
      </c>
      <c r="AA51" s="25">
        <v>0</v>
      </c>
      <c r="AB51" s="25">
        <v>0</v>
      </c>
      <c r="AC51" s="25">
        <v>0</v>
      </c>
      <c r="AD51" s="25">
        <f t="shared" ref="AD51:AD55" si="34">SUM(E51,J51,O51,T51,Y51)</f>
        <v>0</v>
      </c>
      <c r="AE51" s="35"/>
    </row>
    <row r="52" spans="1:31" s="1" customFormat="1" ht="72" customHeight="1" x14ac:dyDescent="0.25">
      <c r="A52" s="155" t="s">
        <v>54</v>
      </c>
      <c r="B52" s="102" t="s">
        <v>308</v>
      </c>
      <c r="C52" s="28" t="s">
        <v>250</v>
      </c>
      <c r="D52" s="115" t="s">
        <v>231</v>
      </c>
      <c r="E52" s="94">
        <f>SUM(F52:H52)</f>
        <v>1154.5</v>
      </c>
      <c r="F52" s="94">
        <f>1087+67.5</f>
        <v>1154.5</v>
      </c>
      <c r="G52" s="25">
        <v>0</v>
      </c>
      <c r="H52" s="25">
        <v>0</v>
      </c>
      <c r="I52" s="25">
        <f t="shared" si="26"/>
        <v>0</v>
      </c>
      <c r="J52" s="25">
        <v>0</v>
      </c>
      <c r="K52" s="25">
        <v>0</v>
      </c>
      <c r="L52" s="25">
        <v>0</v>
      </c>
      <c r="M52" s="25">
        <v>0</v>
      </c>
      <c r="N52" s="25">
        <v>0</v>
      </c>
      <c r="O52" s="105">
        <f t="shared" si="19"/>
        <v>167</v>
      </c>
      <c r="P52" s="94">
        <v>167</v>
      </c>
      <c r="Q52" s="25">
        <v>0</v>
      </c>
      <c r="R52" s="25">
        <v>0</v>
      </c>
      <c r="S52" s="25">
        <v>0</v>
      </c>
      <c r="T52" s="25">
        <f t="shared" si="20"/>
        <v>0</v>
      </c>
      <c r="U52" s="26">
        <v>0</v>
      </c>
      <c r="V52" s="25">
        <v>0</v>
      </c>
      <c r="W52" s="25">
        <v>0</v>
      </c>
      <c r="X52" s="25">
        <v>0</v>
      </c>
      <c r="Y52" s="25">
        <v>0</v>
      </c>
      <c r="Z52" s="25">
        <v>0</v>
      </c>
      <c r="AA52" s="25">
        <v>0</v>
      </c>
      <c r="AB52" s="25">
        <v>0</v>
      </c>
      <c r="AC52" s="25">
        <v>0</v>
      </c>
      <c r="AD52" s="25">
        <f>SUM(E52,J52,O52,T52,Y52)</f>
        <v>1321.5</v>
      </c>
      <c r="AE52" s="35"/>
    </row>
    <row r="53" spans="1:31" s="1" customFormat="1" ht="98.25" customHeight="1" x14ac:dyDescent="0.25">
      <c r="A53" s="156"/>
      <c r="B53" s="102" t="s">
        <v>275</v>
      </c>
      <c r="C53" s="111" t="s">
        <v>250</v>
      </c>
      <c r="D53" s="115" t="s">
        <v>309</v>
      </c>
      <c r="E53" s="94">
        <f>SUM(F53:H53)</f>
        <v>5000</v>
      </c>
      <c r="F53" s="25">
        <v>0</v>
      </c>
      <c r="G53" s="25">
        <v>0</v>
      </c>
      <c r="H53" s="94">
        <v>5000</v>
      </c>
      <c r="I53" s="25">
        <v>0</v>
      </c>
      <c r="J53" s="25"/>
      <c r="K53" s="25"/>
      <c r="L53" s="25"/>
      <c r="M53" s="25"/>
      <c r="N53" s="25"/>
      <c r="O53" s="105">
        <f t="shared" si="19"/>
        <v>10000</v>
      </c>
      <c r="P53" s="25">
        <v>0</v>
      </c>
      <c r="Q53" s="25">
        <v>0</v>
      </c>
      <c r="R53" s="94">
        <v>10000</v>
      </c>
      <c r="S53" s="25">
        <v>0</v>
      </c>
      <c r="T53" s="94">
        <f t="shared" si="20"/>
        <v>5000</v>
      </c>
      <c r="U53" s="26">
        <v>0</v>
      </c>
      <c r="V53" s="25">
        <v>0</v>
      </c>
      <c r="W53" s="94">
        <v>5000</v>
      </c>
      <c r="X53" s="25">
        <v>0</v>
      </c>
      <c r="Y53" s="25">
        <v>0</v>
      </c>
      <c r="Z53" s="25">
        <v>0</v>
      </c>
      <c r="AA53" s="25">
        <v>0</v>
      </c>
      <c r="AB53" s="25">
        <v>0</v>
      </c>
      <c r="AC53" s="25">
        <v>0</v>
      </c>
      <c r="AD53" s="25">
        <f>SUM(E53,J53,O53,T53,Y53)</f>
        <v>20000</v>
      </c>
      <c r="AE53" s="113"/>
    </row>
    <row r="54" spans="1:31" s="1" customFormat="1" ht="84" customHeight="1" x14ac:dyDescent="0.25">
      <c r="A54" s="50" t="s">
        <v>55</v>
      </c>
      <c r="B54" s="29" t="s">
        <v>282</v>
      </c>
      <c r="C54" s="28" t="s">
        <v>166</v>
      </c>
      <c r="D54" s="24">
        <v>2019</v>
      </c>
      <c r="E54" s="25">
        <f>SUM(F54:H54)</f>
        <v>5600</v>
      </c>
      <c r="F54" s="25">
        <v>0</v>
      </c>
      <c r="G54" s="25">
        <v>0</v>
      </c>
      <c r="H54" s="25">
        <v>5600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f>SUM(E54,J54,O54,T54,Y54)</f>
        <v>5600</v>
      </c>
      <c r="AE54" s="35"/>
    </row>
    <row r="55" spans="1:31" s="4" customFormat="1" ht="104.25" customHeight="1" x14ac:dyDescent="0.25">
      <c r="A55" s="50" t="s">
        <v>148</v>
      </c>
      <c r="B55" s="29" t="s">
        <v>147</v>
      </c>
      <c r="C55" s="28" t="s">
        <v>167</v>
      </c>
      <c r="D55" s="24">
        <v>2019</v>
      </c>
      <c r="E55" s="25">
        <f t="shared" si="17"/>
        <v>1738.1</v>
      </c>
      <c r="F55" s="25">
        <v>1738.1</v>
      </c>
      <c r="G55" s="25">
        <v>0</v>
      </c>
      <c r="H55" s="25">
        <v>0</v>
      </c>
      <c r="I55" s="25">
        <v>0</v>
      </c>
      <c r="J55" s="25">
        <v>0</v>
      </c>
      <c r="K55" s="25">
        <v>0</v>
      </c>
      <c r="L55" s="25">
        <v>0</v>
      </c>
      <c r="M55" s="25">
        <v>0</v>
      </c>
      <c r="N55" s="42">
        <v>0</v>
      </c>
      <c r="O55" s="25">
        <f t="shared" si="19"/>
        <v>0</v>
      </c>
      <c r="P55" s="42">
        <v>0</v>
      </c>
      <c r="Q55" s="42">
        <v>0</v>
      </c>
      <c r="R55" s="42">
        <v>0</v>
      </c>
      <c r="S55" s="42">
        <v>0</v>
      </c>
      <c r="T55" s="25">
        <f t="shared" si="20"/>
        <v>0</v>
      </c>
      <c r="U55" s="42">
        <v>0</v>
      </c>
      <c r="V55" s="42">
        <v>0</v>
      </c>
      <c r="W55" s="42">
        <v>0</v>
      </c>
      <c r="X55" s="42">
        <v>0</v>
      </c>
      <c r="Y55" s="25">
        <f t="shared" si="21"/>
        <v>0</v>
      </c>
      <c r="Z55" s="42">
        <v>0</v>
      </c>
      <c r="AA55" s="42">
        <v>0</v>
      </c>
      <c r="AB55" s="42">
        <v>0</v>
      </c>
      <c r="AC55" s="42">
        <v>0</v>
      </c>
      <c r="AD55" s="25">
        <f t="shared" si="34"/>
        <v>1738.1</v>
      </c>
      <c r="AE55" s="30"/>
    </row>
    <row r="56" spans="1:31" s="4" customFormat="1" ht="201" customHeight="1" x14ac:dyDescent="0.25">
      <c r="A56" s="157" t="s">
        <v>149</v>
      </c>
      <c r="B56" s="29" t="s">
        <v>153</v>
      </c>
      <c r="C56" s="125" t="s">
        <v>146</v>
      </c>
      <c r="D56" s="146" t="s">
        <v>183</v>
      </c>
      <c r="E56" s="94">
        <f>SUM(F56:I56)</f>
        <v>0</v>
      </c>
      <c r="F56" s="94">
        <v>0</v>
      </c>
      <c r="G56" s="94">
        <v>0</v>
      </c>
      <c r="H56" s="25">
        <v>0</v>
      </c>
      <c r="I56" s="25">
        <v>0</v>
      </c>
      <c r="J56" s="26">
        <f>K56+L56</f>
        <v>2685</v>
      </c>
      <c r="K56" s="26">
        <v>2685</v>
      </c>
      <c r="L56" s="42">
        <v>0</v>
      </c>
      <c r="M56" s="42">
        <v>0</v>
      </c>
      <c r="N56" s="42">
        <v>0</v>
      </c>
      <c r="O56" s="26">
        <f>P56+Q56+R56+S56</f>
        <v>0</v>
      </c>
      <c r="P56" s="43">
        <v>0</v>
      </c>
      <c r="Q56" s="43">
        <v>0</v>
      </c>
      <c r="R56" s="42">
        <v>0</v>
      </c>
      <c r="S56" s="42">
        <v>0</v>
      </c>
      <c r="T56" s="25">
        <f>U56</f>
        <v>0</v>
      </c>
      <c r="U56" s="42">
        <v>0</v>
      </c>
      <c r="V56" s="42">
        <v>0</v>
      </c>
      <c r="W56" s="42">
        <v>0</v>
      </c>
      <c r="X56" s="42">
        <v>0</v>
      </c>
      <c r="Y56" s="25">
        <v>0</v>
      </c>
      <c r="Z56" s="42">
        <v>0</v>
      </c>
      <c r="AA56" s="42">
        <v>0</v>
      </c>
      <c r="AB56" s="42">
        <v>0</v>
      </c>
      <c r="AC56" s="42">
        <v>0</v>
      </c>
      <c r="AD56" s="42">
        <f t="shared" ref="AD56:AD61" si="35">SUM(Y56,T56,O56,J56,E56)</f>
        <v>2685</v>
      </c>
      <c r="AE56" s="30"/>
    </row>
    <row r="57" spans="1:31" s="4" customFormat="1" ht="225.75" customHeight="1" x14ac:dyDescent="0.25">
      <c r="A57" s="158"/>
      <c r="B57" s="102" t="s">
        <v>310</v>
      </c>
      <c r="C57" s="129"/>
      <c r="D57" s="148"/>
      <c r="E57" s="94">
        <f>SUM(F57:I57)</f>
        <v>13950.9</v>
      </c>
      <c r="F57" s="94">
        <v>697.6</v>
      </c>
      <c r="G57" s="94">
        <v>13253.3</v>
      </c>
      <c r="H57" s="25"/>
      <c r="I57" s="25"/>
      <c r="J57" s="26"/>
      <c r="K57" s="26"/>
      <c r="L57" s="42"/>
      <c r="M57" s="42"/>
      <c r="N57" s="42"/>
      <c r="O57" s="26"/>
      <c r="P57" s="43"/>
      <c r="Q57" s="43"/>
      <c r="R57" s="42"/>
      <c r="S57" s="42"/>
      <c r="T57" s="25"/>
      <c r="U57" s="42"/>
      <c r="V57" s="42"/>
      <c r="W57" s="42"/>
      <c r="X57" s="42"/>
      <c r="Y57" s="25"/>
      <c r="Z57" s="42"/>
      <c r="AA57" s="42"/>
      <c r="AB57" s="42"/>
      <c r="AC57" s="42"/>
      <c r="AD57" s="42">
        <f t="shared" si="35"/>
        <v>13950.9</v>
      </c>
      <c r="AE57" s="30"/>
    </row>
    <row r="58" spans="1:31" s="4" customFormat="1" ht="39" customHeight="1" x14ac:dyDescent="0.25">
      <c r="A58" s="128"/>
      <c r="B58" s="29" t="s">
        <v>268</v>
      </c>
      <c r="C58" s="128"/>
      <c r="D58" s="24">
        <v>2022</v>
      </c>
      <c r="E58" s="25">
        <v>0</v>
      </c>
      <c r="F58" s="25">
        <v>0</v>
      </c>
      <c r="G58" s="25">
        <v>0</v>
      </c>
      <c r="H58" s="25">
        <v>0</v>
      </c>
      <c r="I58" s="25">
        <v>0</v>
      </c>
      <c r="J58" s="26">
        <v>0</v>
      </c>
      <c r="K58" s="26">
        <v>0</v>
      </c>
      <c r="L58" s="42">
        <v>0</v>
      </c>
      <c r="M58" s="42">
        <v>0</v>
      </c>
      <c r="N58" s="42">
        <v>0</v>
      </c>
      <c r="O58" s="26">
        <v>0</v>
      </c>
      <c r="P58" s="43">
        <v>0</v>
      </c>
      <c r="Q58" s="43">
        <v>0</v>
      </c>
      <c r="R58" s="42">
        <v>0</v>
      </c>
      <c r="S58" s="42">
        <v>0</v>
      </c>
      <c r="T58" s="25">
        <f>U58</f>
        <v>12272.19</v>
      </c>
      <c r="U58" s="42">
        <v>12272.19</v>
      </c>
      <c r="V58" s="42">
        <v>0</v>
      </c>
      <c r="W58" s="42">
        <v>0</v>
      </c>
      <c r="X58" s="42">
        <v>0</v>
      </c>
      <c r="Y58" s="25">
        <v>0</v>
      </c>
      <c r="Z58" s="42">
        <v>0</v>
      </c>
      <c r="AA58" s="42">
        <v>0</v>
      </c>
      <c r="AB58" s="42">
        <v>0</v>
      </c>
      <c r="AC58" s="42">
        <v>0</v>
      </c>
      <c r="AD58" s="42">
        <f t="shared" si="35"/>
        <v>12272.19</v>
      </c>
      <c r="AE58" s="30"/>
    </row>
    <row r="59" spans="1:31" s="4" customFormat="1" ht="75" customHeight="1" x14ac:dyDescent="0.25">
      <c r="A59" s="56" t="s">
        <v>188</v>
      </c>
      <c r="B59" s="29" t="s">
        <v>190</v>
      </c>
      <c r="C59" s="28" t="s">
        <v>189</v>
      </c>
      <c r="D59" s="24">
        <v>2020</v>
      </c>
      <c r="E59" s="25">
        <f>SUM(F59:I59)</f>
        <v>0</v>
      </c>
      <c r="F59" s="42">
        <v>0</v>
      </c>
      <c r="G59" s="42">
        <v>0</v>
      </c>
      <c r="H59" s="42">
        <v>0</v>
      </c>
      <c r="I59" s="42">
        <v>0</v>
      </c>
      <c r="J59" s="26">
        <f>K59+L59+M59+N59</f>
        <v>15125</v>
      </c>
      <c r="K59" s="26">
        <v>15125</v>
      </c>
      <c r="L59" s="42">
        <v>0</v>
      </c>
      <c r="M59" s="42">
        <v>0</v>
      </c>
      <c r="N59" s="42">
        <v>0</v>
      </c>
      <c r="O59" s="25">
        <f>P59+Q59+R59+S533</f>
        <v>0</v>
      </c>
      <c r="P59" s="42">
        <v>0</v>
      </c>
      <c r="Q59" s="42">
        <v>0</v>
      </c>
      <c r="R59" s="42">
        <v>0</v>
      </c>
      <c r="S59" s="42">
        <v>0</v>
      </c>
      <c r="T59" s="25">
        <v>0</v>
      </c>
      <c r="U59" s="42">
        <v>0</v>
      </c>
      <c r="V59" s="42">
        <v>0</v>
      </c>
      <c r="W59" s="42">
        <v>0</v>
      </c>
      <c r="X59" s="42">
        <v>0</v>
      </c>
      <c r="Y59" s="25">
        <v>0</v>
      </c>
      <c r="Z59" s="42">
        <v>0</v>
      </c>
      <c r="AA59" s="42">
        <v>0</v>
      </c>
      <c r="AB59" s="42">
        <v>0</v>
      </c>
      <c r="AC59" s="42">
        <v>0</v>
      </c>
      <c r="AD59" s="42">
        <f t="shared" si="35"/>
        <v>15125</v>
      </c>
      <c r="AE59" s="30"/>
    </row>
    <row r="60" spans="1:31" s="4" customFormat="1" ht="80.25" customHeight="1" x14ac:dyDescent="0.25">
      <c r="A60" s="157" t="s">
        <v>193</v>
      </c>
      <c r="B60" s="29" t="s">
        <v>284</v>
      </c>
      <c r="C60" s="125" t="s">
        <v>196</v>
      </c>
      <c r="D60" s="28" t="s">
        <v>266</v>
      </c>
      <c r="E60" s="42">
        <v>0</v>
      </c>
      <c r="F60" s="42">
        <v>0</v>
      </c>
      <c r="G60" s="42">
        <v>0</v>
      </c>
      <c r="H60" s="42">
        <v>0</v>
      </c>
      <c r="I60" s="42">
        <v>0</v>
      </c>
      <c r="J60" s="26">
        <f>K60+L60+M60+N60</f>
        <v>69261</v>
      </c>
      <c r="K60" s="26">
        <f>3692-229</f>
        <v>3463</v>
      </c>
      <c r="L60" s="42">
        <f>70149-4351</f>
        <v>65798</v>
      </c>
      <c r="M60" s="42">
        <v>0</v>
      </c>
      <c r="N60" s="42">
        <v>0</v>
      </c>
      <c r="O60" s="57">
        <v>0</v>
      </c>
      <c r="P60" s="58">
        <v>0</v>
      </c>
      <c r="Q60" s="43">
        <v>0</v>
      </c>
      <c r="R60" s="42">
        <v>0</v>
      </c>
      <c r="S60" s="42">
        <v>0</v>
      </c>
      <c r="T60" s="25">
        <v>0</v>
      </c>
      <c r="U60" s="42">
        <v>0</v>
      </c>
      <c r="V60" s="42">
        <v>0</v>
      </c>
      <c r="W60" s="42">
        <v>0</v>
      </c>
      <c r="X60" s="42">
        <v>0</v>
      </c>
      <c r="Y60" s="25">
        <v>0</v>
      </c>
      <c r="Z60" s="42">
        <v>0</v>
      </c>
      <c r="AA60" s="42">
        <v>0</v>
      </c>
      <c r="AB60" s="42">
        <v>0</v>
      </c>
      <c r="AC60" s="42">
        <v>0</v>
      </c>
      <c r="AD60" s="42">
        <f t="shared" si="35"/>
        <v>69261</v>
      </c>
      <c r="AE60" s="30"/>
    </row>
    <row r="61" spans="1:31" s="4" customFormat="1" ht="63" customHeight="1" x14ac:dyDescent="0.25">
      <c r="A61" s="128"/>
      <c r="B61" s="102" t="s">
        <v>318</v>
      </c>
      <c r="C61" s="128"/>
      <c r="D61" s="28">
        <v>2021</v>
      </c>
      <c r="E61" s="42">
        <v>0</v>
      </c>
      <c r="F61" s="42">
        <v>0</v>
      </c>
      <c r="G61" s="42">
        <v>0</v>
      </c>
      <c r="H61" s="42">
        <v>0</v>
      </c>
      <c r="I61" s="42">
        <v>0</v>
      </c>
      <c r="J61" s="26">
        <v>0</v>
      </c>
      <c r="K61" s="26">
        <v>0</v>
      </c>
      <c r="L61" s="42">
        <v>0</v>
      </c>
      <c r="M61" s="42">
        <v>0</v>
      </c>
      <c r="N61" s="42">
        <v>0</v>
      </c>
      <c r="O61" s="25">
        <f>P61+Q61+R61+S61</f>
        <v>13736</v>
      </c>
      <c r="P61" s="42">
        <v>687</v>
      </c>
      <c r="Q61" s="43">
        <v>13049</v>
      </c>
      <c r="R61" s="42">
        <v>0</v>
      </c>
      <c r="S61" s="42">
        <v>0</v>
      </c>
      <c r="T61" s="25">
        <v>0</v>
      </c>
      <c r="U61" s="42">
        <v>0</v>
      </c>
      <c r="V61" s="42">
        <v>0</v>
      </c>
      <c r="W61" s="42">
        <v>0</v>
      </c>
      <c r="X61" s="42">
        <v>0</v>
      </c>
      <c r="Y61" s="25">
        <v>0</v>
      </c>
      <c r="Z61" s="42">
        <v>0</v>
      </c>
      <c r="AA61" s="42">
        <v>0</v>
      </c>
      <c r="AB61" s="42">
        <v>0</v>
      </c>
      <c r="AC61" s="42">
        <v>0</v>
      </c>
      <c r="AD61" s="42">
        <f t="shared" si="35"/>
        <v>13736</v>
      </c>
      <c r="AE61" s="30"/>
    </row>
    <row r="62" spans="1:31" s="4" customFormat="1" ht="44.25" customHeight="1" x14ac:dyDescent="0.25">
      <c r="A62" s="56" t="s">
        <v>194</v>
      </c>
      <c r="B62" s="29" t="s">
        <v>195</v>
      </c>
      <c r="C62" s="28" t="s">
        <v>197</v>
      </c>
      <c r="D62" s="24">
        <v>2020</v>
      </c>
      <c r="E62" s="42">
        <v>0</v>
      </c>
      <c r="F62" s="42">
        <v>0</v>
      </c>
      <c r="G62" s="42">
        <v>0</v>
      </c>
      <c r="H62" s="42">
        <v>0</v>
      </c>
      <c r="I62" s="42">
        <v>0</v>
      </c>
      <c r="J62" s="26">
        <f>K62+L62+M62+N62</f>
        <v>127</v>
      </c>
      <c r="K62" s="26">
        <v>127</v>
      </c>
      <c r="L62" s="42">
        <v>0</v>
      </c>
      <c r="M62" s="42">
        <v>0</v>
      </c>
      <c r="N62" s="42">
        <v>0</v>
      </c>
      <c r="O62" s="25">
        <f>P62+Q62+R62+S535</f>
        <v>0</v>
      </c>
      <c r="P62" s="42">
        <v>0</v>
      </c>
      <c r="Q62" s="42">
        <v>0</v>
      </c>
      <c r="R62" s="42">
        <v>0</v>
      </c>
      <c r="S62" s="42">
        <v>0</v>
      </c>
      <c r="T62" s="25">
        <v>0</v>
      </c>
      <c r="U62" s="42">
        <v>0</v>
      </c>
      <c r="V62" s="42">
        <v>0</v>
      </c>
      <c r="W62" s="42">
        <v>0</v>
      </c>
      <c r="X62" s="42">
        <v>0</v>
      </c>
      <c r="Y62" s="25">
        <v>0</v>
      </c>
      <c r="Z62" s="42">
        <v>0</v>
      </c>
      <c r="AA62" s="42">
        <v>0</v>
      </c>
      <c r="AB62" s="42">
        <v>0</v>
      </c>
      <c r="AC62" s="42">
        <v>0</v>
      </c>
      <c r="AD62" s="42">
        <f t="shared" ref="AD62" si="36">SUM(Y62,T62,O62,J62,E62)</f>
        <v>127</v>
      </c>
      <c r="AE62" s="30"/>
    </row>
    <row r="63" spans="1:31" s="4" customFormat="1" ht="45" customHeight="1" x14ac:dyDescent="0.25">
      <c r="A63" s="56" t="s">
        <v>201</v>
      </c>
      <c r="B63" s="29" t="s">
        <v>202</v>
      </c>
      <c r="C63" s="28" t="s">
        <v>197</v>
      </c>
      <c r="D63" s="24">
        <v>2020</v>
      </c>
      <c r="E63" s="42">
        <v>0</v>
      </c>
      <c r="F63" s="42">
        <v>0</v>
      </c>
      <c r="G63" s="42">
        <v>0</v>
      </c>
      <c r="H63" s="42">
        <v>0</v>
      </c>
      <c r="I63" s="42">
        <v>0</v>
      </c>
      <c r="J63" s="26">
        <f>K63+L63+M63+N63</f>
        <v>810</v>
      </c>
      <c r="K63" s="26">
        <v>810</v>
      </c>
      <c r="L63" s="42">
        <v>0</v>
      </c>
      <c r="M63" s="42">
        <v>0</v>
      </c>
      <c r="N63" s="42">
        <v>0</v>
      </c>
      <c r="O63" s="25">
        <f>P63+Q63+R63+S536</f>
        <v>0</v>
      </c>
      <c r="P63" s="42">
        <v>0</v>
      </c>
      <c r="Q63" s="42">
        <v>0</v>
      </c>
      <c r="R63" s="42">
        <v>0</v>
      </c>
      <c r="S63" s="42">
        <v>0</v>
      </c>
      <c r="T63" s="25">
        <v>0</v>
      </c>
      <c r="U63" s="42">
        <v>0</v>
      </c>
      <c r="V63" s="42">
        <v>0</v>
      </c>
      <c r="W63" s="42">
        <v>0</v>
      </c>
      <c r="X63" s="42">
        <v>0</v>
      </c>
      <c r="Y63" s="25">
        <v>0</v>
      </c>
      <c r="Z63" s="42">
        <v>0</v>
      </c>
      <c r="AA63" s="42">
        <v>0</v>
      </c>
      <c r="AB63" s="42">
        <v>0</v>
      </c>
      <c r="AC63" s="42">
        <v>0</v>
      </c>
      <c r="AD63" s="42">
        <f t="shared" ref="AD63:AD64" si="37">SUM(Y63,T63,O63,J63,E63)</f>
        <v>810</v>
      </c>
      <c r="AE63" s="30"/>
    </row>
    <row r="64" spans="1:31" s="4" customFormat="1" ht="96.75" customHeight="1" x14ac:dyDescent="0.25">
      <c r="A64" s="56" t="s">
        <v>229</v>
      </c>
      <c r="B64" s="29" t="s">
        <v>230</v>
      </c>
      <c r="C64" s="28" t="s">
        <v>289</v>
      </c>
      <c r="D64" s="24">
        <v>2021</v>
      </c>
      <c r="E64" s="59" t="s">
        <v>238</v>
      </c>
      <c r="F64" s="59" t="s">
        <v>238</v>
      </c>
      <c r="G64" s="59" t="s">
        <v>238</v>
      </c>
      <c r="H64" s="59" t="s">
        <v>238</v>
      </c>
      <c r="I64" s="59" t="s">
        <v>238</v>
      </c>
      <c r="J64" s="59" t="s">
        <v>238</v>
      </c>
      <c r="K64" s="59" t="s">
        <v>238</v>
      </c>
      <c r="L64" s="59" t="s">
        <v>238</v>
      </c>
      <c r="M64" s="59" t="s">
        <v>238</v>
      </c>
      <c r="N64" s="59" t="s">
        <v>238</v>
      </c>
      <c r="O64" s="60">
        <f>P64+Q64+R64+S537</f>
        <v>4318</v>
      </c>
      <c r="P64" s="59">
        <v>4318</v>
      </c>
      <c r="Q64" s="59">
        <v>0</v>
      </c>
      <c r="R64" s="59">
        <v>0</v>
      </c>
      <c r="S64" s="59">
        <v>0</v>
      </c>
      <c r="T64" s="59" t="s">
        <v>238</v>
      </c>
      <c r="U64" s="59" t="s">
        <v>238</v>
      </c>
      <c r="V64" s="59" t="s">
        <v>238</v>
      </c>
      <c r="W64" s="59" t="s">
        <v>238</v>
      </c>
      <c r="X64" s="59" t="s">
        <v>238</v>
      </c>
      <c r="Y64" s="59" t="s">
        <v>238</v>
      </c>
      <c r="Z64" s="59" t="s">
        <v>238</v>
      </c>
      <c r="AA64" s="59" t="s">
        <v>238</v>
      </c>
      <c r="AB64" s="59" t="s">
        <v>238</v>
      </c>
      <c r="AC64" s="59" t="s">
        <v>238</v>
      </c>
      <c r="AD64" s="42">
        <f t="shared" si="37"/>
        <v>4318</v>
      </c>
      <c r="AE64" s="30"/>
    </row>
    <row r="65" spans="1:31" s="3" customFormat="1" ht="42.75" customHeight="1" x14ac:dyDescent="0.25">
      <c r="A65" s="61"/>
      <c r="B65" s="32" t="s">
        <v>219</v>
      </c>
      <c r="C65" s="62"/>
      <c r="D65" s="46"/>
      <c r="E65" s="41">
        <f>SUM(E35:E59)</f>
        <v>29166.7</v>
      </c>
      <c r="F65" s="41">
        <f>SUM(F35:F59)</f>
        <v>4249.2</v>
      </c>
      <c r="G65" s="41">
        <f>SUM(G35:G59)</f>
        <v>14160.099999999999</v>
      </c>
      <c r="H65" s="41">
        <f>SUM(H35:H59)</f>
        <v>10757.4</v>
      </c>
      <c r="I65" s="41">
        <f>SUM(I35:I55)</f>
        <v>0</v>
      </c>
      <c r="J65" s="41">
        <f>SUM(J35:J63)</f>
        <v>102515</v>
      </c>
      <c r="K65" s="41">
        <f>SUM(K35:K63)</f>
        <v>36486</v>
      </c>
      <c r="L65" s="41">
        <f>SUM(L35:L63)</f>
        <v>65879</v>
      </c>
      <c r="M65" s="41">
        <f>SUM(M35:M63)</f>
        <v>150</v>
      </c>
      <c r="N65" s="41">
        <f>SUM(N35:N63)</f>
        <v>0</v>
      </c>
      <c r="O65" s="48">
        <f>SUM(O35:O63)-O41-O61+O64</f>
        <v>18101</v>
      </c>
      <c r="P65" s="48">
        <f>SUM(P35:P63)-P41-P61+P64</f>
        <v>4868</v>
      </c>
      <c r="Q65" s="48">
        <f>SUM(Q35:Q63)-Q40-Q61+Q64</f>
        <v>1131</v>
      </c>
      <c r="R65" s="48">
        <f>SUM(R35:R63)-R40-R61+R64</f>
        <v>12102</v>
      </c>
      <c r="S65" s="48">
        <f>SUM(S35:S63)-S40-S60+S64</f>
        <v>0</v>
      </c>
      <c r="T65" s="41">
        <f>U65+V65+W65+X65</f>
        <v>11511.543319999999</v>
      </c>
      <c r="U65" s="41">
        <f>SUM(U35:U64)-U58</f>
        <v>974.84331999999995</v>
      </c>
      <c r="V65" s="41">
        <f>SUM(V35:V64)-V56</f>
        <v>1481.58</v>
      </c>
      <c r="W65" s="41">
        <f>SUM(W35:W64)-W56</f>
        <v>9055.119999999999</v>
      </c>
      <c r="X65" s="41">
        <f t="shared" ref="X65:AC65" si="38">SUM(X35:X63)</f>
        <v>0</v>
      </c>
      <c r="Y65" s="41">
        <f t="shared" si="38"/>
        <v>7743.1186699999998</v>
      </c>
      <c r="Z65" s="41">
        <f t="shared" si="38"/>
        <v>1843.90867</v>
      </c>
      <c r="AA65" s="41">
        <f t="shared" si="38"/>
        <v>1290.4000000000001</v>
      </c>
      <c r="AB65" s="41">
        <f t="shared" si="38"/>
        <v>4608.8099999999995</v>
      </c>
      <c r="AC65" s="41">
        <f t="shared" si="38"/>
        <v>0</v>
      </c>
      <c r="AD65" s="48">
        <f>SUM(AD35:AD63)-AD66+AD64</f>
        <v>169037.36199</v>
      </c>
      <c r="AE65" s="49"/>
    </row>
    <row r="66" spans="1:31" s="3" customFormat="1" ht="40.5" customHeight="1" x14ac:dyDescent="0.25">
      <c r="A66" s="61"/>
      <c r="B66" s="32" t="s">
        <v>220</v>
      </c>
      <c r="C66" s="62"/>
      <c r="D66" s="24" t="s">
        <v>44</v>
      </c>
      <c r="E66" s="48">
        <v>0</v>
      </c>
      <c r="F66" s="48">
        <v>0</v>
      </c>
      <c r="G66" s="48">
        <v>0</v>
      </c>
      <c r="H66" s="48">
        <v>0</v>
      </c>
      <c r="I66" s="48">
        <v>0</v>
      </c>
      <c r="J66" s="48">
        <v>0</v>
      </c>
      <c r="K66" s="48">
        <v>0</v>
      </c>
      <c r="L66" s="48">
        <v>0</v>
      </c>
      <c r="M66" s="48">
        <v>0</v>
      </c>
      <c r="N66" s="48">
        <v>0</v>
      </c>
      <c r="O66" s="48">
        <f>O61+O41</f>
        <v>13947</v>
      </c>
      <c r="P66" s="48">
        <f>P61+P41</f>
        <v>898</v>
      </c>
      <c r="Q66" s="48">
        <f>Q61+Q40</f>
        <v>13049</v>
      </c>
      <c r="R66" s="48">
        <f>R60+R40</f>
        <v>0</v>
      </c>
      <c r="S66" s="48">
        <f>S60+S40</f>
        <v>0</v>
      </c>
      <c r="T66" s="41">
        <f>U66+V66+V66+W66+X66</f>
        <v>12272.19</v>
      </c>
      <c r="U66" s="48">
        <f>U60+U40+U58</f>
        <v>12272.19</v>
      </c>
      <c r="V66" s="48">
        <f>V60+V40</f>
        <v>0</v>
      </c>
      <c r="W66" s="48">
        <f>W60+W40</f>
        <v>0</v>
      </c>
      <c r="X66" s="48">
        <v>0</v>
      </c>
      <c r="Y66" s="48">
        <v>0</v>
      </c>
      <c r="Z66" s="48">
        <v>0</v>
      </c>
      <c r="AA66" s="48">
        <v>0</v>
      </c>
      <c r="AB66" s="48">
        <v>0</v>
      </c>
      <c r="AC66" s="48">
        <v>0</v>
      </c>
      <c r="AD66" s="63">
        <f>SUM(Y66,T66,O66,J66,E66)</f>
        <v>26219.190000000002</v>
      </c>
      <c r="AE66" s="49"/>
    </row>
    <row r="67" spans="1:31" s="1" customFormat="1" ht="40.15" customHeight="1" x14ac:dyDescent="0.25">
      <c r="A67" s="50"/>
      <c r="B67" s="141" t="s">
        <v>114</v>
      </c>
      <c r="C67" s="142"/>
      <c r="D67" s="38"/>
      <c r="E67" s="25"/>
      <c r="F67" s="25"/>
      <c r="G67" s="25"/>
      <c r="H67" s="25"/>
      <c r="I67" s="25"/>
      <c r="J67" s="42"/>
      <c r="K67" s="42"/>
      <c r="L67" s="42"/>
      <c r="M67" s="42"/>
      <c r="N67" s="42"/>
      <c r="O67" s="25"/>
      <c r="P67" s="42"/>
      <c r="Q67" s="25"/>
      <c r="R67" s="25"/>
      <c r="S67" s="25"/>
      <c r="T67" s="42"/>
      <c r="U67" s="42"/>
      <c r="V67" s="25"/>
      <c r="W67" s="25"/>
      <c r="X67" s="42"/>
      <c r="Y67" s="42"/>
      <c r="Z67" s="42"/>
      <c r="AA67" s="42"/>
      <c r="AB67" s="42"/>
      <c r="AC67" s="42"/>
      <c r="AD67" s="42"/>
      <c r="AE67" s="35"/>
    </row>
    <row r="68" spans="1:31" s="1" customFormat="1" ht="71.25" customHeight="1" x14ac:dyDescent="0.25">
      <c r="A68" s="50" t="s">
        <v>9</v>
      </c>
      <c r="B68" s="29" t="s">
        <v>175</v>
      </c>
      <c r="C68" s="28" t="s">
        <v>130</v>
      </c>
      <c r="D68" s="24" t="s">
        <v>44</v>
      </c>
      <c r="E68" s="25">
        <f t="shared" ref="E68:E75" si="39">SUM(F68:I68)</f>
        <v>0</v>
      </c>
      <c r="F68" s="25">
        <v>0</v>
      </c>
      <c r="G68" s="25">
        <v>0</v>
      </c>
      <c r="H68" s="25">
        <v>0</v>
      </c>
      <c r="I68" s="25">
        <v>0</v>
      </c>
      <c r="J68" s="25">
        <f t="shared" ref="J68:J75" si="40">SUM(K68:N68)</f>
        <v>0</v>
      </c>
      <c r="K68" s="25">
        <v>0</v>
      </c>
      <c r="L68" s="25">
        <v>0</v>
      </c>
      <c r="M68" s="25">
        <v>0</v>
      </c>
      <c r="N68" s="25">
        <v>0</v>
      </c>
      <c r="O68" s="25">
        <f t="shared" ref="O68:O75" si="41">SUM(P68:S68)</f>
        <v>0</v>
      </c>
      <c r="P68" s="25">
        <v>0</v>
      </c>
      <c r="Q68" s="25">
        <v>0</v>
      </c>
      <c r="R68" s="25">
        <v>0</v>
      </c>
      <c r="S68" s="25">
        <v>0</v>
      </c>
      <c r="T68" s="25">
        <f t="shared" ref="T68:T78" si="42">SUM(U68:X68)</f>
        <v>0</v>
      </c>
      <c r="U68" s="25">
        <v>0</v>
      </c>
      <c r="V68" s="25">
        <v>0</v>
      </c>
      <c r="W68" s="25">
        <v>0</v>
      </c>
      <c r="X68" s="25">
        <v>0</v>
      </c>
      <c r="Y68" s="25">
        <f t="shared" ref="Y68:Y74" si="43">SUM(Z68:AC68)</f>
        <v>0</v>
      </c>
      <c r="Z68" s="25">
        <v>0</v>
      </c>
      <c r="AA68" s="25">
        <v>0</v>
      </c>
      <c r="AB68" s="25">
        <v>0</v>
      </c>
      <c r="AC68" s="25">
        <v>0</v>
      </c>
      <c r="AD68" s="42">
        <f t="shared" ref="AD68:AD78" si="44">SUM(Y68,T68,O68,J68,E68)</f>
        <v>0</v>
      </c>
      <c r="AE68" s="35"/>
    </row>
    <row r="69" spans="1:31" s="1" customFormat="1" ht="106.5" customHeight="1" x14ac:dyDescent="0.25">
      <c r="A69" s="50" t="s">
        <v>10</v>
      </c>
      <c r="B69" s="29" t="s">
        <v>81</v>
      </c>
      <c r="C69" s="28" t="s">
        <v>150</v>
      </c>
      <c r="D69" s="24">
        <v>2021</v>
      </c>
      <c r="E69" s="25">
        <f t="shared" si="39"/>
        <v>0</v>
      </c>
      <c r="F69" s="25">
        <v>0</v>
      </c>
      <c r="G69" s="25">
        <v>0</v>
      </c>
      <c r="H69" s="25">
        <v>0</v>
      </c>
      <c r="I69" s="25">
        <v>0</v>
      </c>
      <c r="J69" s="25">
        <f t="shared" si="40"/>
        <v>0</v>
      </c>
      <c r="K69" s="42">
        <v>0</v>
      </c>
      <c r="L69" s="42">
        <v>0</v>
      </c>
      <c r="M69" s="42">
        <v>0</v>
      </c>
      <c r="N69" s="42">
        <v>0</v>
      </c>
      <c r="O69" s="25">
        <f t="shared" si="41"/>
        <v>1000</v>
      </c>
      <c r="P69" s="42">
        <v>1000</v>
      </c>
      <c r="Q69" s="42">
        <v>0</v>
      </c>
      <c r="R69" s="42">
        <v>0</v>
      </c>
      <c r="S69" s="42">
        <v>0</v>
      </c>
      <c r="T69" s="26">
        <f t="shared" si="42"/>
        <v>1000</v>
      </c>
      <c r="U69" s="43">
        <v>1000</v>
      </c>
      <c r="V69" s="25">
        <v>0</v>
      </c>
      <c r="W69" s="25">
        <v>0</v>
      </c>
      <c r="X69" s="25">
        <v>0</v>
      </c>
      <c r="Y69" s="25">
        <f t="shared" si="43"/>
        <v>0</v>
      </c>
      <c r="Z69" s="42">
        <v>0</v>
      </c>
      <c r="AA69" s="25">
        <v>0</v>
      </c>
      <c r="AB69" s="25">
        <v>0</v>
      </c>
      <c r="AC69" s="25">
        <v>0</v>
      </c>
      <c r="AD69" s="43">
        <f t="shared" si="44"/>
        <v>2000</v>
      </c>
      <c r="AE69" s="35"/>
    </row>
    <row r="70" spans="1:31" s="1" customFormat="1" ht="85.5" customHeight="1" x14ac:dyDescent="0.25">
      <c r="A70" s="50" t="s">
        <v>57</v>
      </c>
      <c r="B70" s="45" t="s">
        <v>279</v>
      </c>
      <c r="C70" s="28" t="s">
        <v>124</v>
      </c>
      <c r="D70" s="24" t="s">
        <v>44</v>
      </c>
      <c r="E70" s="25">
        <f>SUM(F70:I70)</f>
        <v>13539.8</v>
      </c>
      <c r="F70" s="25">
        <v>677</v>
      </c>
      <c r="G70" s="25">
        <v>4502</v>
      </c>
      <c r="H70" s="25">
        <v>8360.7999999999993</v>
      </c>
      <c r="I70" s="25">
        <v>0</v>
      </c>
      <c r="J70" s="25">
        <f t="shared" si="40"/>
        <v>11086</v>
      </c>
      <c r="K70" s="43">
        <v>555</v>
      </c>
      <c r="L70" s="43">
        <v>3686</v>
      </c>
      <c r="M70" s="43">
        <v>6845</v>
      </c>
      <c r="N70" s="42">
        <v>0</v>
      </c>
      <c r="O70" s="26">
        <f>SUM(P70:S70)</f>
        <v>9578</v>
      </c>
      <c r="P70" s="43">
        <f>554-75</f>
        <v>479</v>
      </c>
      <c r="Q70" s="43">
        <f>3685.85-993.85+492.45</f>
        <v>3184.45</v>
      </c>
      <c r="R70" s="43">
        <f>6845.15-1845.15+914.55</f>
        <v>5914.55</v>
      </c>
      <c r="S70" s="42">
        <v>0</v>
      </c>
      <c r="T70" s="26">
        <f t="shared" si="42"/>
        <v>6842.1052600000003</v>
      </c>
      <c r="U70" s="26">
        <f>563-194-26.89474</f>
        <v>342.10525999999999</v>
      </c>
      <c r="V70" s="26">
        <v>2340</v>
      </c>
      <c r="W70" s="26">
        <v>4160</v>
      </c>
      <c r="X70" s="25">
        <v>0</v>
      </c>
      <c r="Y70" s="26">
        <f t="shared" si="43"/>
        <v>6315.7894699999997</v>
      </c>
      <c r="Z70" s="26">
        <f>342-26.21053</f>
        <v>315.78946999999999</v>
      </c>
      <c r="AA70" s="25">
        <v>2160</v>
      </c>
      <c r="AB70" s="25">
        <v>3840</v>
      </c>
      <c r="AC70" s="25">
        <v>0</v>
      </c>
      <c r="AD70" s="42">
        <f>SUM(Y70,T70,O70,J70,E70)</f>
        <v>47361.694730000003</v>
      </c>
      <c r="AE70" s="35"/>
    </row>
    <row r="71" spans="1:31" s="1" customFormat="1" ht="68.45" customHeight="1" x14ac:dyDescent="0.25">
      <c r="A71" s="50" t="s">
        <v>58</v>
      </c>
      <c r="B71" s="29" t="s">
        <v>56</v>
      </c>
      <c r="C71" s="28" t="s">
        <v>75</v>
      </c>
      <c r="D71" s="24" t="s">
        <v>44</v>
      </c>
      <c r="E71" s="25">
        <f t="shared" si="39"/>
        <v>0</v>
      </c>
      <c r="F71" s="25">
        <v>0</v>
      </c>
      <c r="G71" s="25">
        <v>0</v>
      </c>
      <c r="H71" s="25">
        <v>0</v>
      </c>
      <c r="I71" s="25">
        <v>0</v>
      </c>
      <c r="J71" s="25">
        <f t="shared" si="40"/>
        <v>0</v>
      </c>
      <c r="K71" s="25">
        <v>0</v>
      </c>
      <c r="L71" s="25">
        <v>0</v>
      </c>
      <c r="M71" s="25">
        <v>0</v>
      </c>
      <c r="N71" s="25">
        <v>0</v>
      </c>
      <c r="O71" s="25">
        <f>SUM(P71:S71)</f>
        <v>0</v>
      </c>
      <c r="P71" s="25">
        <v>0</v>
      </c>
      <c r="Q71" s="25">
        <v>0</v>
      </c>
      <c r="R71" s="25">
        <v>0</v>
      </c>
      <c r="S71" s="25">
        <v>0</v>
      </c>
      <c r="T71" s="25">
        <f t="shared" si="42"/>
        <v>0</v>
      </c>
      <c r="U71" s="25">
        <v>0</v>
      </c>
      <c r="V71" s="25">
        <v>0</v>
      </c>
      <c r="W71" s="25">
        <v>0</v>
      </c>
      <c r="X71" s="25">
        <v>0</v>
      </c>
      <c r="Y71" s="25">
        <f t="shared" si="43"/>
        <v>0</v>
      </c>
      <c r="Z71" s="25">
        <v>0</v>
      </c>
      <c r="AA71" s="25">
        <v>0</v>
      </c>
      <c r="AB71" s="25">
        <v>0</v>
      </c>
      <c r="AC71" s="25">
        <v>0</v>
      </c>
      <c r="AD71" s="42">
        <f t="shared" si="44"/>
        <v>0</v>
      </c>
      <c r="AE71" s="35"/>
    </row>
    <row r="72" spans="1:31" s="1" customFormat="1" ht="104.45" customHeight="1" x14ac:dyDescent="0.25">
      <c r="A72" s="50" t="s">
        <v>60</v>
      </c>
      <c r="B72" s="29" t="s">
        <v>59</v>
      </c>
      <c r="C72" s="28" t="s">
        <v>75</v>
      </c>
      <c r="D72" s="24">
        <v>2021</v>
      </c>
      <c r="E72" s="25">
        <f t="shared" si="39"/>
        <v>0</v>
      </c>
      <c r="F72" s="25">
        <v>0</v>
      </c>
      <c r="G72" s="25">
        <v>0</v>
      </c>
      <c r="H72" s="25">
        <v>0</v>
      </c>
      <c r="I72" s="25">
        <v>0</v>
      </c>
      <c r="J72" s="25">
        <f t="shared" si="40"/>
        <v>0</v>
      </c>
      <c r="K72" s="25">
        <v>0</v>
      </c>
      <c r="L72" s="42">
        <v>0</v>
      </c>
      <c r="M72" s="42">
        <v>0</v>
      </c>
      <c r="N72" s="42">
        <v>0</v>
      </c>
      <c r="O72" s="25">
        <f t="shared" si="41"/>
        <v>2500</v>
      </c>
      <c r="P72" s="25">
        <v>2500</v>
      </c>
      <c r="Q72" s="25">
        <v>0</v>
      </c>
      <c r="R72" s="25">
        <v>0</v>
      </c>
      <c r="S72" s="25">
        <v>0</v>
      </c>
      <c r="T72" s="94">
        <f t="shared" si="42"/>
        <v>2218</v>
      </c>
      <c r="U72" s="94">
        <f>2500-178-104</f>
        <v>2218</v>
      </c>
      <c r="V72" s="25">
        <v>0</v>
      </c>
      <c r="W72" s="25">
        <v>0</v>
      </c>
      <c r="X72" s="25">
        <v>0</v>
      </c>
      <c r="Y72" s="25">
        <f t="shared" si="43"/>
        <v>0</v>
      </c>
      <c r="Z72" s="25">
        <v>0</v>
      </c>
      <c r="AA72" s="42">
        <v>0</v>
      </c>
      <c r="AB72" s="42">
        <v>0</v>
      </c>
      <c r="AC72" s="42">
        <v>0</v>
      </c>
      <c r="AD72" s="42">
        <f t="shared" si="44"/>
        <v>4718</v>
      </c>
      <c r="AE72" s="35"/>
    </row>
    <row r="73" spans="1:31" s="1" customFormat="1" ht="69.75" customHeight="1" x14ac:dyDescent="0.25">
      <c r="A73" s="50" t="s">
        <v>61</v>
      </c>
      <c r="B73" s="29" t="s">
        <v>117</v>
      </c>
      <c r="C73" s="28" t="s">
        <v>33</v>
      </c>
      <c r="D73" s="24" t="s">
        <v>44</v>
      </c>
      <c r="E73" s="25">
        <f t="shared" si="39"/>
        <v>0</v>
      </c>
      <c r="F73" s="25">
        <v>0</v>
      </c>
      <c r="G73" s="25">
        <v>0</v>
      </c>
      <c r="H73" s="25">
        <v>0</v>
      </c>
      <c r="I73" s="25">
        <v>0</v>
      </c>
      <c r="J73" s="25">
        <f t="shared" si="40"/>
        <v>0</v>
      </c>
      <c r="K73" s="25">
        <v>0</v>
      </c>
      <c r="L73" s="25">
        <v>0</v>
      </c>
      <c r="M73" s="25">
        <v>0</v>
      </c>
      <c r="N73" s="25">
        <v>0</v>
      </c>
      <c r="O73" s="25">
        <f t="shared" si="41"/>
        <v>0</v>
      </c>
      <c r="P73" s="25">
        <v>0</v>
      </c>
      <c r="Q73" s="25">
        <v>0</v>
      </c>
      <c r="R73" s="25">
        <v>0</v>
      </c>
      <c r="S73" s="25">
        <v>0</v>
      </c>
      <c r="T73" s="25">
        <f t="shared" si="42"/>
        <v>0</v>
      </c>
      <c r="U73" s="25">
        <v>0</v>
      </c>
      <c r="V73" s="25">
        <v>0</v>
      </c>
      <c r="W73" s="25">
        <v>0</v>
      </c>
      <c r="X73" s="25">
        <v>0</v>
      </c>
      <c r="Y73" s="25">
        <f t="shared" si="43"/>
        <v>0</v>
      </c>
      <c r="Z73" s="25">
        <v>0</v>
      </c>
      <c r="AA73" s="25">
        <v>0</v>
      </c>
      <c r="AB73" s="25">
        <v>0</v>
      </c>
      <c r="AC73" s="25">
        <v>0</v>
      </c>
      <c r="AD73" s="42">
        <f t="shared" si="44"/>
        <v>0</v>
      </c>
      <c r="AE73" s="35"/>
    </row>
    <row r="74" spans="1:31" s="1" customFormat="1" ht="85.9" customHeight="1" x14ac:dyDescent="0.25">
      <c r="A74" s="50" t="s">
        <v>63</v>
      </c>
      <c r="B74" s="29" t="s">
        <v>62</v>
      </c>
      <c r="C74" s="28" t="s">
        <v>168</v>
      </c>
      <c r="D74" s="24" t="s">
        <v>44</v>
      </c>
      <c r="E74" s="25">
        <f t="shared" si="39"/>
        <v>0</v>
      </c>
      <c r="F74" s="25">
        <v>0</v>
      </c>
      <c r="G74" s="25">
        <v>0</v>
      </c>
      <c r="H74" s="25">
        <v>0</v>
      </c>
      <c r="I74" s="25">
        <v>0</v>
      </c>
      <c r="J74" s="25">
        <f t="shared" si="40"/>
        <v>0</v>
      </c>
      <c r="K74" s="25">
        <v>0</v>
      </c>
      <c r="L74" s="25">
        <v>0</v>
      </c>
      <c r="M74" s="25">
        <v>0</v>
      </c>
      <c r="N74" s="25">
        <v>0</v>
      </c>
      <c r="O74" s="25">
        <f t="shared" si="41"/>
        <v>0</v>
      </c>
      <c r="P74" s="25">
        <v>0</v>
      </c>
      <c r="Q74" s="25">
        <v>0</v>
      </c>
      <c r="R74" s="25">
        <v>0</v>
      </c>
      <c r="S74" s="25">
        <v>0</v>
      </c>
      <c r="T74" s="25">
        <f t="shared" si="42"/>
        <v>0</v>
      </c>
      <c r="U74" s="25">
        <v>0</v>
      </c>
      <c r="V74" s="25">
        <v>0</v>
      </c>
      <c r="W74" s="25">
        <v>0</v>
      </c>
      <c r="X74" s="25">
        <v>0</v>
      </c>
      <c r="Y74" s="25">
        <f t="shared" si="43"/>
        <v>0</v>
      </c>
      <c r="Z74" s="25">
        <v>0</v>
      </c>
      <c r="AA74" s="25">
        <v>0</v>
      </c>
      <c r="AB74" s="25">
        <v>0</v>
      </c>
      <c r="AC74" s="25">
        <v>0</v>
      </c>
      <c r="AD74" s="42">
        <f t="shared" si="44"/>
        <v>0</v>
      </c>
      <c r="AE74" s="35"/>
    </row>
    <row r="75" spans="1:31" s="1" customFormat="1" ht="72.599999999999994" customHeight="1" x14ac:dyDescent="0.25">
      <c r="A75" s="28" t="s">
        <v>125</v>
      </c>
      <c r="B75" s="29" t="s">
        <v>136</v>
      </c>
      <c r="C75" s="28" t="s">
        <v>108</v>
      </c>
      <c r="D75" s="24">
        <v>2019.2022999999999</v>
      </c>
      <c r="E75" s="25">
        <f t="shared" si="39"/>
        <v>273</v>
      </c>
      <c r="F75" s="25">
        <f>347-74</f>
        <v>273</v>
      </c>
      <c r="G75" s="25">
        <v>0</v>
      </c>
      <c r="H75" s="25">
        <v>0</v>
      </c>
      <c r="I75" s="25">
        <v>0</v>
      </c>
      <c r="J75" s="25">
        <f t="shared" si="40"/>
        <v>0</v>
      </c>
      <c r="K75" s="25">
        <v>0</v>
      </c>
      <c r="L75" s="25">
        <v>0</v>
      </c>
      <c r="M75" s="25">
        <v>0</v>
      </c>
      <c r="N75" s="25">
        <v>0</v>
      </c>
      <c r="O75" s="26">
        <f t="shared" si="41"/>
        <v>0</v>
      </c>
      <c r="P75" s="26">
        <f>49-49</f>
        <v>0</v>
      </c>
      <c r="Q75" s="25">
        <v>0</v>
      </c>
      <c r="R75" s="25">
        <v>0</v>
      </c>
      <c r="S75" s="25">
        <v>0</v>
      </c>
      <c r="T75" s="25">
        <f t="shared" si="42"/>
        <v>0</v>
      </c>
      <c r="U75" s="25">
        <v>0</v>
      </c>
      <c r="V75" s="25">
        <v>0</v>
      </c>
      <c r="W75" s="25">
        <v>0</v>
      </c>
      <c r="X75" s="25">
        <v>0</v>
      </c>
      <c r="Y75" s="25">
        <v>0</v>
      </c>
      <c r="Z75" s="25">
        <v>0</v>
      </c>
      <c r="AA75" s="25">
        <v>0</v>
      </c>
      <c r="AB75" s="25">
        <v>0</v>
      </c>
      <c r="AC75" s="25">
        <v>0</v>
      </c>
      <c r="AD75" s="42">
        <f t="shared" si="44"/>
        <v>273</v>
      </c>
      <c r="AE75" s="35"/>
    </row>
    <row r="76" spans="1:31" s="1" customFormat="1" ht="72.599999999999994" customHeight="1" x14ac:dyDescent="0.25">
      <c r="A76" s="28" t="s">
        <v>177</v>
      </c>
      <c r="B76" s="29" t="s">
        <v>176</v>
      </c>
      <c r="C76" s="28" t="s">
        <v>33</v>
      </c>
      <c r="D76" s="24" t="s">
        <v>44</v>
      </c>
      <c r="E76" s="25">
        <v>74</v>
      </c>
      <c r="F76" s="25">
        <v>74</v>
      </c>
      <c r="G76" s="25">
        <v>0</v>
      </c>
      <c r="H76" s="25">
        <v>0</v>
      </c>
      <c r="I76" s="25">
        <v>0</v>
      </c>
      <c r="J76" s="25">
        <f t="shared" ref="J76" si="45">SUM(K76:N76)</f>
        <v>74</v>
      </c>
      <c r="K76" s="25">
        <v>74</v>
      </c>
      <c r="L76" s="25">
        <v>0</v>
      </c>
      <c r="M76" s="25">
        <v>0</v>
      </c>
      <c r="N76" s="25">
        <v>0</v>
      </c>
      <c r="O76" s="26">
        <v>74</v>
      </c>
      <c r="P76" s="26">
        <v>74</v>
      </c>
      <c r="Q76" s="25">
        <v>0</v>
      </c>
      <c r="R76" s="25">
        <v>0</v>
      </c>
      <c r="S76" s="25">
        <v>0</v>
      </c>
      <c r="T76" s="25">
        <f t="shared" si="42"/>
        <v>74</v>
      </c>
      <c r="U76" s="25">
        <v>74</v>
      </c>
      <c r="V76" s="25">
        <v>0</v>
      </c>
      <c r="W76" s="25">
        <v>0</v>
      </c>
      <c r="X76" s="25">
        <v>0</v>
      </c>
      <c r="Y76" s="26">
        <f t="shared" ref="Y76" si="46">SUM(Z76:AC76)</f>
        <v>74</v>
      </c>
      <c r="Z76" s="26">
        <v>74</v>
      </c>
      <c r="AA76" s="25">
        <v>0</v>
      </c>
      <c r="AB76" s="25">
        <v>0</v>
      </c>
      <c r="AC76" s="25">
        <v>0</v>
      </c>
      <c r="AD76" s="42">
        <f t="shared" ref="AD76" si="47">SUM(Y76,T76,O76,J76,E76)</f>
        <v>370</v>
      </c>
      <c r="AE76" s="35"/>
    </row>
    <row r="77" spans="1:31" s="1" customFormat="1" ht="64.5" customHeight="1" x14ac:dyDescent="0.25">
      <c r="A77" s="28" t="s">
        <v>216</v>
      </c>
      <c r="B77" s="29" t="s">
        <v>217</v>
      </c>
      <c r="C77" s="28" t="s">
        <v>33</v>
      </c>
      <c r="D77" s="24" t="s">
        <v>240</v>
      </c>
      <c r="E77" s="25">
        <v>0</v>
      </c>
      <c r="F77" s="25">
        <v>0</v>
      </c>
      <c r="G77" s="25">
        <v>0</v>
      </c>
      <c r="H77" s="25">
        <v>0</v>
      </c>
      <c r="I77" s="25">
        <v>0</v>
      </c>
      <c r="J77" s="25">
        <v>0</v>
      </c>
      <c r="K77" s="25">
        <v>0</v>
      </c>
      <c r="L77" s="25">
        <v>0</v>
      </c>
      <c r="M77" s="25">
        <v>0</v>
      </c>
      <c r="N77" s="25">
        <v>0</v>
      </c>
      <c r="O77" s="25">
        <v>0</v>
      </c>
      <c r="P77" s="25">
        <v>0</v>
      </c>
      <c r="Q77" s="25">
        <v>0</v>
      </c>
      <c r="R77" s="25">
        <v>0</v>
      </c>
      <c r="S77" s="25">
        <v>0</v>
      </c>
      <c r="T77" s="25">
        <f t="shared" si="42"/>
        <v>0</v>
      </c>
      <c r="U77" s="25">
        <v>0</v>
      </c>
      <c r="V77" s="25">
        <v>0</v>
      </c>
      <c r="W77" s="25">
        <v>0</v>
      </c>
      <c r="X77" s="25">
        <v>0</v>
      </c>
      <c r="Y77" s="25">
        <v>0</v>
      </c>
      <c r="Z77" s="25">
        <v>0</v>
      </c>
      <c r="AA77" s="25">
        <v>0</v>
      </c>
      <c r="AB77" s="25">
        <v>0</v>
      </c>
      <c r="AC77" s="25">
        <v>0</v>
      </c>
      <c r="AD77" s="42">
        <f t="shared" si="44"/>
        <v>0</v>
      </c>
      <c r="AE77" s="35"/>
    </row>
    <row r="78" spans="1:31" s="1" customFormat="1" ht="125.25" customHeight="1" x14ac:dyDescent="0.25">
      <c r="A78" s="28" t="s">
        <v>272</v>
      </c>
      <c r="B78" s="29" t="s">
        <v>277</v>
      </c>
      <c r="C78" s="28" t="s">
        <v>273</v>
      </c>
      <c r="D78" s="24">
        <v>2022</v>
      </c>
      <c r="E78" s="25"/>
      <c r="F78" s="25"/>
      <c r="G78" s="25"/>
      <c r="H78" s="25"/>
      <c r="I78" s="25"/>
      <c r="J78" s="25"/>
      <c r="K78" s="25"/>
      <c r="L78" s="25"/>
      <c r="M78" s="25"/>
      <c r="N78" s="25"/>
      <c r="O78" s="25"/>
      <c r="P78" s="25"/>
      <c r="Q78" s="25"/>
      <c r="R78" s="25"/>
      <c r="S78" s="25"/>
      <c r="T78" s="25">
        <f t="shared" si="42"/>
        <v>1500</v>
      </c>
      <c r="U78" s="25">
        <v>0</v>
      </c>
      <c r="V78" s="25">
        <v>1500</v>
      </c>
      <c r="W78" s="25">
        <v>0</v>
      </c>
      <c r="X78" s="25">
        <v>0</v>
      </c>
      <c r="Y78" s="25">
        <v>0</v>
      </c>
      <c r="Z78" s="25">
        <v>0</v>
      </c>
      <c r="AA78" s="25">
        <v>0</v>
      </c>
      <c r="AB78" s="25">
        <v>0</v>
      </c>
      <c r="AC78" s="25">
        <v>0</v>
      </c>
      <c r="AD78" s="42">
        <f t="shared" si="44"/>
        <v>1500</v>
      </c>
      <c r="AE78" s="35"/>
    </row>
    <row r="79" spans="1:31" s="3" customFormat="1" ht="22.9" customHeight="1" x14ac:dyDescent="0.25">
      <c r="A79" s="64"/>
      <c r="B79" s="32" t="s">
        <v>35</v>
      </c>
      <c r="C79" s="32"/>
      <c r="D79" s="65"/>
      <c r="E79" s="41">
        <f>SUM(F79:I79)</f>
        <v>13886.8</v>
      </c>
      <c r="F79" s="41">
        <f>SUM(F68:F77)</f>
        <v>1024</v>
      </c>
      <c r="G79" s="41">
        <f t="shared" ref="G79:I79" si="48">SUM(G68:G77)</f>
        <v>4502</v>
      </c>
      <c r="H79" s="41">
        <f t="shared" si="48"/>
        <v>8360.7999999999993</v>
      </c>
      <c r="I79" s="41">
        <f t="shared" si="48"/>
        <v>0</v>
      </c>
      <c r="J79" s="48">
        <f>SUM(J68:J77)</f>
        <v>11160</v>
      </c>
      <c r="K79" s="48">
        <f>SUM(K68:K77)</f>
        <v>629</v>
      </c>
      <c r="L79" s="48">
        <f>SUM(L68:L77)</f>
        <v>3686</v>
      </c>
      <c r="M79" s="48">
        <f>SUM(M68:M77)</f>
        <v>6845</v>
      </c>
      <c r="N79" s="41">
        <f t="shared" ref="N79" si="49">SUM(N68:N75)</f>
        <v>0</v>
      </c>
      <c r="O79" s="48">
        <f>SUM(P79:S79)</f>
        <v>13152</v>
      </c>
      <c r="P79" s="41">
        <f>SUM(P68:P77)</f>
        <v>4053</v>
      </c>
      <c r="Q79" s="41">
        <f>SUM(Q68:Q77)</f>
        <v>3184.45</v>
      </c>
      <c r="R79" s="41">
        <f>SUM(R68:R77)</f>
        <v>5914.55</v>
      </c>
      <c r="S79" s="41">
        <f>SUM(S68:S77)</f>
        <v>0</v>
      </c>
      <c r="T79" s="107">
        <f>SUM(U79:X79)</f>
        <v>11634.10526</v>
      </c>
      <c r="U79" s="96">
        <f>SUM(U68:U78)</f>
        <v>3634.1052600000003</v>
      </c>
      <c r="V79" s="41">
        <f>SUM(V68:V78)</f>
        <v>3840</v>
      </c>
      <c r="W79" s="41">
        <f>SUM(W68:W78)</f>
        <v>4160</v>
      </c>
      <c r="X79" s="41">
        <f>SUM(X68:X78)</f>
        <v>0</v>
      </c>
      <c r="Y79" s="41">
        <f>SUM(Y68:Y77)</f>
        <v>6389.7894699999997</v>
      </c>
      <c r="Z79" s="41">
        <f>SUM(Z68:Z77)</f>
        <v>389.78946999999999</v>
      </c>
      <c r="AA79" s="41">
        <f t="shared" ref="AA79:AC79" si="50">SUM(AA68:AA77)</f>
        <v>2160</v>
      </c>
      <c r="AB79" s="41">
        <f t="shared" si="50"/>
        <v>3840</v>
      </c>
      <c r="AC79" s="41">
        <f t="shared" si="50"/>
        <v>0</v>
      </c>
      <c r="AD79" s="43">
        <f>SUM(AD68:AD78)</f>
        <v>56222.694730000003</v>
      </c>
      <c r="AE79" s="49"/>
    </row>
    <row r="80" spans="1:31" s="1" customFormat="1" ht="46.15" customHeight="1" x14ac:dyDescent="0.25">
      <c r="A80" s="66"/>
      <c r="B80" s="141" t="s">
        <v>115</v>
      </c>
      <c r="C80" s="167"/>
      <c r="D80" s="40"/>
      <c r="E80" s="25"/>
      <c r="F80" s="25"/>
      <c r="G80" s="25"/>
      <c r="H80" s="25"/>
      <c r="I80" s="25"/>
      <c r="J80" s="42"/>
      <c r="K80" s="42"/>
      <c r="L80" s="42"/>
      <c r="M80" s="42"/>
      <c r="N80" s="42"/>
      <c r="O80" s="42"/>
      <c r="P80" s="42"/>
      <c r="Q80" s="25"/>
      <c r="R80" s="25"/>
      <c r="S80" s="25"/>
      <c r="T80" s="25"/>
      <c r="U80" s="25"/>
      <c r="V80" s="25"/>
      <c r="W80" s="25"/>
      <c r="X80" s="42"/>
      <c r="Y80" s="42"/>
      <c r="Z80" s="42"/>
      <c r="AA80" s="42"/>
      <c r="AB80" s="42"/>
      <c r="AC80" s="42"/>
      <c r="AD80" s="42"/>
      <c r="AE80" s="35"/>
    </row>
    <row r="81" spans="1:31" s="1" customFormat="1" ht="40.9" customHeight="1" x14ac:dyDescent="0.25">
      <c r="A81" s="28" t="s">
        <v>11</v>
      </c>
      <c r="B81" s="29" t="s">
        <v>76</v>
      </c>
      <c r="C81" s="28" t="s">
        <v>75</v>
      </c>
      <c r="D81" s="24" t="s">
        <v>236</v>
      </c>
      <c r="E81" s="25">
        <f t="shared" ref="E81:E95" si="51">SUM(F81:I81)</f>
        <v>0</v>
      </c>
      <c r="F81" s="25">
        <v>0</v>
      </c>
      <c r="G81" s="25">
        <v>0</v>
      </c>
      <c r="H81" s="25">
        <v>0</v>
      </c>
      <c r="I81" s="25">
        <v>0</v>
      </c>
      <c r="J81" s="25">
        <v>0</v>
      </c>
      <c r="K81" s="25">
        <v>0</v>
      </c>
      <c r="L81" s="25">
        <v>0</v>
      </c>
      <c r="M81" s="25">
        <v>0</v>
      </c>
      <c r="N81" s="25">
        <v>0</v>
      </c>
      <c r="O81" s="25">
        <v>0</v>
      </c>
      <c r="P81" s="25">
        <v>0</v>
      </c>
      <c r="Q81" s="25">
        <v>0</v>
      </c>
      <c r="R81" s="25">
        <v>0</v>
      </c>
      <c r="S81" s="25">
        <v>0</v>
      </c>
      <c r="T81" s="25">
        <f t="shared" ref="T81:T98" si="52">SUM(U81:X81)</f>
        <v>0</v>
      </c>
      <c r="U81" s="25">
        <v>0</v>
      </c>
      <c r="V81" s="25">
        <v>0</v>
      </c>
      <c r="W81" s="25">
        <v>0</v>
      </c>
      <c r="X81" s="25">
        <v>0</v>
      </c>
      <c r="Y81" s="25">
        <f t="shared" ref="Y81:Y95" si="53">SUM(Z81:AC81)</f>
        <v>0</v>
      </c>
      <c r="Z81" s="25">
        <v>0</v>
      </c>
      <c r="AA81" s="25">
        <v>0</v>
      </c>
      <c r="AB81" s="25">
        <v>0</v>
      </c>
      <c r="AC81" s="25">
        <v>0</v>
      </c>
      <c r="AD81" s="42">
        <f t="shared" ref="AD81:AD87" si="54">SUM(Y81,T81,O81,J81,E81)</f>
        <v>0</v>
      </c>
      <c r="AE81" s="35"/>
    </row>
    <row r="82" spans="1:31" s="2" customFormat="1" ht="291.75" customHeight="1" x14ac:dyDescent="0.25">
      <c r="A82" s="28" t="s">
        <v>12</v>
      </c>
      <c r="B82" s="29" t="s">
        <v>64</v>
      </c>
      <c r="C82" s="28" t="s">
        <v>288</v>
      </c>
      <c r="D82" s="24" t="s">
        <v>44</v>
      </c>
      <c r="E82" s="25">
        <f t="shared" si="51"/>
        <v>167984.2</v>
      </c>
      <c r="F82" s="25">
        <v>0</v>
      </c>
      <c r="G82" s="25">
        <v>0</v>
      </c>
      <c r="H82" s="25">
        <v>0</v>
      </c>
      <c r="I82" s="42">
        <v>167984.2</v>
      </c>
      <c r="J82" s="25">
        <f t="shared" ref="J82:J94" si="55">SUM(K82:N82)</f>
        <v>144287.70000000001</v>
      </c>
      <c r="K82" s="25">
        <v>0</v>
      </c>
      <c r="L82" s="25">
        <v>0</v>
      </c>
      <c r="M82" s="25">
        <v>0</v>
      </c>
      <c r="N82" s="42">
        <f>156096-11808.3</f>
        <v>144287.70000000001</v>
      </c>
      <c r="O82" s="25">
        <f t="shared" ref="O82:O97" si="56">SUM(P82:S82)</f>
        <v>174143</v>
      </c>
      <c r="P82" s="25">
        <v>0</v>
      </c>
      <c r="Q82" s="25">
        <v>0</v>
      </c>
      <c r="R82" s="25">
        <v>0</v>
      </c>
      <c r="S82" s="42">
        <v>174143</v>
      </c>
      <c r="T82" s="25">
        <f t="shared" si="52"/>
        <v>181317.57</v>
      </c>
      <c r="U82" s="25">
        <v>0</v>
      </c>
      <c r="V82" s="25">
        <v>0</v>
      </c>
      <c r="W82" s="25">
        <v>0</v>
      </c>
      <c r="X82" s="103">
        <v>181317.57</v>
      </c>
      <c r="Y82" s="25">
        <f t="shared" si="53"/>
        <v>160578</v>
      </c>
      <c r="Z82" s="25">
        <v>0</v>
      </c>
      <c r="AA82" s="25">
        <v>0</v>
      </c>
      <c r="AB82" s="25">
        <v>0</v>
      </c>
      <c r="AC82" s="42">
        <v>160578</v>
      </c>
      <c r="AD82" s="42">
        <f t="shared" si="54"/>
        <v>828310.47</v>
      </c>
      <c r="AE82" s="54"/>
    </row>
    <row r="83" spans="1:31" s="1" customFormat="1" ht="102.75" customHeight="1" x14ac:dyDescent="0.25">
      <c r="A83" s="28" t="s">
        <v>17</v>
      </c>
      <c r="B83" s="29" t="s">
        <v>203</v>
      </c>
      <c r="C83" s="28" t="s">
        <v>131</v>
      </c>
      <c r="D83" s="24">
        <v>2020</v>
      </c>
      <c r="E83" s="25">
        <f t="shared" si="51"/>
        <v>0</v>
      </c>
      <c r="F83" s="67">
        <v>0</v>
      </c>
      <c r="G83" s="67">
        <v>0</v>
      </c>
      <c r="H83" s="67">
        <v>0</v>
      </c>
      <c r="I83" s="67">
        <v>0</v>
      </c>
      <c r="J83" s="26">
        <f t="shared" si="55"/>
        <v>1300</v>
      </c>
      <c r="K83" s="26">
        <f>2000-700</f>
        <v>1300</v>
      </c>
      <c r="L83" s="25">
        <v>0</v>
      </c>
      <c r="M83" s="25">
        <v>0</v>
      </c>
      <c r="N83" s="42">
        <v>0</v>
      </c>
      <c r="O83" s="25">
        <f t="shared" si="56"/>
        <v>0</v>
      </c>
      <c r="P83" s="42">
        <v>0</v>
      </c>
      <c r="Q83" s="42">
        <v>0</v>
      </c>
      <c r="R83" s="42">
        <v>0</v>
      </c>
      <c r="S83" s="42">
        <v>0</v>
      </c>
      <c r="T83" s="25">
        <f t="shared" si="52"/>
        <v>0</v>
      </c>
      <c r="U83" s="42">
        <v>0</v>
      </c>
      <c r="V83" s="42">
        <v>0</v>
      </c>
      <c r="W83" s="42">
        <v>0</v>
      </c>
      <c r="X83" s="42">
        <v>0</v>
      </c>
      <c r="Y83" s="25">
        <f t="shared" si="53"/>
        <v>0</v>
      </c>
      <c r="Z83" s="42">
        <v>0</v>
      </c>
      <c r="AA83" s="42">
        <v>0</v>
      </c>
      <c r="AB83" s="42">
        <v>0</v>
      </c>
      <c r="AC83" s="42">
        <v>0</v>
      </c>
      <c r="AD83" s="42">
        <f t="shared" si="54"/>
        <v>1300</v>
      </c>
      <c r="AE83" s="35"/>
    </row>
    <row r="84" spans="1:31" s="1" customFormat="1" ht="42.75" customHeight="1" x14ac:dyDescent="0.25">
      <c r="A84" s="28" t="s">
        <v>37</v>
      </c>
      <c r="B84" s="29" t="s">
        <v>80</v>
      </c>
      <c r="C84" s="28" t="s">
        <v>218</v>
      </c>
      <c r="D84" s="24">
        <v>2020</v>
      </c>
      <c r="E84" s="25">
        <f t="shared" si="51"/>
        <v>0</v>
      </c>
      <c r="F84" s="67">
        <v>0</v>
      </c>
      <c r="G84" s="67">
        <v>0</v>
      </c>
      <c r="H84" s="67">
        <v>0</v>
      </c>
      <c r="I84" s="67">
        <v>0</v>
      </c>
      <c r="J84" s="26">
        <f t="shared" si="55"/>
        <v>0</v>
      </c>
      <c r="K84" s="26">
        <f>150-150</f>
        <v>0</v>
      </c>
      <c r="L84" s="25">
        <v>0</v>
      </c>
      <c r="M84" s="42">
        <v>0</v>
      </c>
      <c r="N84" s="42">
        <v>0</v>
      </c>
      <c r="O84" s="25">
        <f t="shared" si="56"/>
        <v>0</v>
      </c>
      <c r="P84" s="42">
        <v>0</v>
      </c>
      <c r="Q84" s="42">
        <v>0</v>
      </c>
      <c r="R84" s="42">
        <v>0</v>
      </c>
      <c r="S84" s="42">
        <v>0</v>
      </c>
      <c r="T84" s="25">
        <f t="shared" si="52"/>
        <v>0</v>
      </c>
      <c r="U84" s="42">
        <v>0</v>
      </c>
      <c r="V84" s="42">
        <v>0</v>
      </c>
      <c r="W84" s="42">
        <v>0</v>
      </c>
      <c r="X84" s="42">
        <v>0</v>
      </c>
      <c r="Y84" s="25">
        <f t="shared" si="53"/>
        <v>0</v>
      </c>
      <c r="Z84" s="42">
        <v>0</v>
      </c>
      <c r="AA84" s="42">
        <v>0</v>
      </c>
      <c r="AB84" s="42">
        <v>0</v>
      </c>
      <c r="AC84" s="42">
        <v>0</v>
      </c>
      <c r="AD84" s="42">
        <f t="shared" si="54"/>
        <v>0</v>
      </c>
      <c r="AE84" s="35"/>
    </row>
    <row r="85" spans="1:31" s="1" customFormat="1" ht="53.45" customHeight="1" x14ac:dyDescent="0.25">
      <c r="A85" s="28" t="s">
        <v>66</v>
      </c>
      <c r="B85" s="29" t="s">
        <v>65</v>
      </c>
      <c r="C85" s="28" t="s">
        <v>131</v>
      </c>
      <c r="D85" s="24">
        <v>2019</v>
      </c>
      <c r="E85" s="25">
        <f t="shared" si="51"/>
        <v>100</v>
      </c>
      <c r="F85" s="25">
        <v>100</v>
      </c>
      <c r="G85" s="25">
        <v>0</v>
      </c>
      <c r="H85" s="67">
        <v>0</v>
      </c>
      <c r="I85" s="67">
        <v>0</v>
      </c>
      <c r="J85" s="25">
        <f t="shared" si="55"/>
        <v>0</v>
      </c>
      <c r="K85" s="67">
        <v>0</v>
      </c>
      <c r="L85" s="67">
        <v>0</v>
      </c>
      <c r="M85" s="67">
        <v>0</v>
      </c>
      <c r="N85" s="67">
        <v>0</v>
      </c>
      <c r="O85" s="25">
        <f t="shared" si="56"/>
        <v>0</v>
      </c>
      <c r="P85" s="67">
        <v>0</v>
      </c>
      <c r="Q85" s="67">
        <v>0</v>
      </c>
      <c r="R85" s="67">
        <v>0</v>
      </c>
      <c r="S85" s="67">
        <v>0</v>
      </c>
      <c r="T85" s="25">
        <f t="shared" si="52"/>
        <v>0</v>
      </c>
      <c r="U85" s="67">
        <v>0</v>
      </c>
      <c r="V85" s="67">
        <v>0</v>
      </c>
      <c r="W85" s="67">
        <v>0</v>
      </c>
      <c r="X85" s="67">
        <v>0</v>
      </c>
      <c r="Y85" s="25">
        <f t="shared" si="53"/>
        <v>0</v>
      </c>
      <c r="Z85" s="67">
        <v>0</v>
      </c>
      <c r="AA85" s="67">
        <v>0</v>
      </c>
      <c r="AB85" s="67">
        <v>0</v>
      </c>
      <c r="AC85" s="67">
        <v>0</v>
      </c>
      <c r="AD85" s="42">
        <f t="shared" si="54"/>
        <v>100</v>
      </c>
      <c r="AE85" s="35"/>
    </row>
    <row r="86" spans="1:31" s="1" customFormat="1" ht="69.75" customHeight="1" x14ac:dyDescent="0.25">
      <c r="A86" s="140" t="s">
        <v>67</v>
      </c>
      <c r="B86" s="29" t="s">
        <v>226</v>
      </c>
      <c r="C86" s="125" t="s">
        <v>225</v>
      </c>
      <c r="D86" s="146" t="s">
        <v>237</v>
      </c>
      <c r="E86" s="25"/>
      <c r="F86" s="25"/>
      <c r="G86" s="25"/>
      <c r="H86" s="25"/>
      <c r="I86" s="25"/>
      <c r="J86" s="25"/>
      <c r="K86" s="42"/>
      <c r="L86" s="42"/>
      <c r="M86" s="42"/>
      <c r="N86" s="42"/>
      <c r="O86" s="25">
        <f t="shared" si="56"/>
        <v>0</v>
      </c>
      <c r="P86" s="25"/>
      <c r="Q86" s="25"/>
      <c r="R86" s="25"/>
      <c r="S86" s="25"/>
      <c r="T86" s="25"/>
      <c r="U86" s="25"/>
      <c r="V86" s="25"/>
      <c r="W86" s="25"/>
      <c r="X86" s="42"/>
      <c r="Y86" s="25"/>
      <c r="Z86" s="42"/>
      <c r="AA86" s="42"/>
      <c r="AB86" s="42"/>
      <c r="AC86" s="42"/>
      <c r="AD86" s="42">
        <f t="shared" si="54"/>
        <v>0</v>
      </c>
      <c r="AE86" s="35"/>
    </row>
    <row r="87" spans="1:31" s="1" customFormat="1" ht="32.450000000000003" customHeight="1" x14ac:dyDescent="0.25">
      <c r="A87" s="140"/>
      <c r="B87" s="29" t="s">
        <v>207</v>
      </c>
      <c r="C87" s="129"/>
      <c r="D87" s="147"/>
      <c r="E87" s="25">
        <f t="shared" si="51"/>
        <v>100</v>
      </c>
      <c r="F87" s="25">
        <v>100</v>
      </c>
      <c r="G87" s="25">
        <v>0</v>
      </c>
      <c r="H87" s="25">
        <v>0</v>
      </c>
      <c r="I87" s="25">
        <v>0</v>
      </c>
      <c r="J87" s="26">
        <f t="shared" si="55"/>
        <v>0</v>
      </c>
      <c r="K87" s="43">
        <f>100-100</f>
        <v>0</v>
      </c>
      <c r="L87" s="42">
        <v>0</v>
      </c>
      <c r="M87" s="42">
        <v>0</v>
      </c>
      <c r="N87" s="42">
        <v>0</v>
      </c>
      <c r="O87" s="25">
        <f t="shared" si="56"/>
        <v>49</v>
      </c>
      <c r="P87" s="26">
        <v>49</v>
      </c>
      <c r="Q87" s="26">
        <v>0</v>
      </c>
      <c r="R87" s="26">
        <v>0</v>
      </c>
      <c r="S87" s="26">
        <v>0</v>
      </c>
      <c r="T87" s="105">
        <f t="shared" si="52"/>
        <v>232</v>
      </c>
      <c r="U87" s="105">
        <f>256-24</f>
        <v>232</v>
      </c>
      <c r="V87" s="25">
        <v>0</v>
      </c>
      <c r="W87" s="25">
        <v>0</v>
      </c>
      <c r="X87" s="25">
        <v>0</v>
      </c>
      <c r="Y87" s="26">
        <f t="shared" si="53"/>
        <v>256</v>
      </c>
      <c r="Z87" s="43">
        <v>256</v>
      </c>
      <c r="AA87" s="42">
        <v>0</v>
      </c>
      <c r="AB87" s="42">
        <v>0</v>
      </c>
      <c r="AC87" s="42">
        <v>0</v>
      </c>
      <c r="AD87" s="42">
        <f t="shared" si="54"/>
        <v>637</v>
      </c>
      <c r="AE87" s="35"/>
    </row>
    <row r="88" spans="1:31" s="1" customFormat="1" ht="28.9" customHeight="1" x14ac:dyDescent="0.25">
      <c r="A88" s="140"/>
      <c r="B88" s="29" t="s">
        <v>208</v>
      </c>
      <c r="C88" s="129"/>
      <c r="D88" s="147"/>
      <c r="E88" s="25">
        <f t="shared" si="51"/>
        <v>300</v>
      </c>
      <c r="F88" s="25">
        <v>300</v>
      </c>
      <c r="G88" s="25">
        <v>0</v>
      </c>
      <c r="H88" s="25">
        <v>0</v>
      </c>
      <c r="I88" s="25">
        <v>0</v>
      </c>
      <c r="J88" s="26">
        <f t="shared" si="55"/>
        <v>0</v>
      </c>
      <c r="K88" s="43">
        <f>303-303</f>
        <v>0</v>
      </c>
      <c r="L88" s="42">
        <v>0</v>
      </c>
      <c r="M88" s="42">
        <v>0</v>
      </c>
      <c r="N88" s="42">
        <v>0</v>
      </c>
      <c r="O88" s="25">
        <f t="shared" si="56"/>
        <v>0</v>
      </c>
      <c r="P88" s="26">
        <v>0</v>
      </c>
      <c r="Q88" s="26">
        <v>0</v>
      </c>
      <c r="R88" s="26">
        <v>0</v>
      </c>
      <c r="S88" s="26">
        <v>0</v>
      </c>
      <c r="T88" s="26">
        <f t="shared" si="52"/>
        <v>0</v>
      </c>
      <c r="U88" s="26">
        <v>0</v>
      </c>
      <c r="V88" s="25">
        <v>0</v>
      </c>
      <c r="W88" s="25">
        <v>0</v>
      </c>
      <c r="X88" s="25">
        <v>0</v>
      </c>
      <c r="Y88" s="25">
        <v>0</v>
      </c>
      <c r="Z88" s="42">
        <v>0</v>
      </c>
      <c r="AA88" s="42">
        <v>0</v>
      </c>
      <c r="AB88" s="42">
        <v>0</v>
      </c>
      <c r="AC88" s="42">
        <v>0</v>
      </c>
      <c r="AD88" s="42">
        <f t="shared" ref="AD88:AD94" si="57">SUM(Y88,T88,O88,J88,E88)</f>
        <v>300</v>
      </c>
      <c r="AE88" s="35"/>
    </row>
    <row r="89" spans="1:31" s="1" customFormat="1" ht="36" customHeight="1" x14ac:dyDescent="0.25">
      <c r="A89" s="140"/>
      <c r="B89" s="29" t="s">
        <v>209</v>
      </c>
      <c r="C89" s="129"/>
      <c r="D89" s="147"/>
      <c r="E89" s="25">
        <f t="shared" si="51"/>
        <v>73</v>
      </c>
      <c r="F89" s="25">
        <v>73</v>
      </c>
      <c r="G89" s="25">
        <v>0</v>
      </c>
      <c r="H89" s="25">
        <v>0</v>
      </c>
      <c r="I89" s="25">
        <v>0</v>
      </c>
      <c r="J89" s="25">
        <f t="shared" si="55"/>
        <v>0</v>
      </c>
      <c r="K89" s="42">
        <v>0</v>
      </c>
      <c r="L89" s="42">
        <v>0</v>
      </c>
      <c r="M89" s="42">
        <v>0</v>
      </c>
      <c r="N89" s="42">
        <v>0</v>
      </c>
      <c r="O89" s="25">
        <f t="shared" si="56"/>
        <v>0</v>
      </c>
      <c r="P89" s="26">
        <v>0</v>
      </c>
      <c r="Q89" s="25">
        <v>0</v>
      </c>
      <c r="R89" s="25">
        <v>0</v>
      </c>
      <c r="S89" s="25">
        <v>0</v>
      </c>
      <c r="T89" s="26">
        <f t="shared" si="52"/>
        <v>0</v>
      </c>
      <c r="U89" s="26">
        <v>0</v>
      </c>
      <c r="V89" s="25">
        <v>0</v>
      </c>
      <c r="W89" s="25">
        <v>0</v>
      </c>
      <c r="X89" s="25">
        <v>0</v>
      </c>
      <c r="Y89" s="25">
        <f t="shared" si="53"/>
        <v>0</v>
      </c>
      <c r="Z89" s="42">
        <v>0</v>
      </c>
      <c r="AA89" s="42">
        <v>0</v>
      </c>
      <c r="AB89" s="42">
        <v>0</v>
      </c>
      <c r="AC89" s="42">
        <v>0</v>
      </c>
      <c r="AD89" s="42">
        <f t="shared" si="57"/>
        <v>73</v>
      </c>
      <c r="AE89" s="35"/>
    </row>
    <row r="90" spans="1:31" s="1" customFormat="1" ht="26.45" customHeight="1" x14ac:dyDescent="0.25">
      <c r="A90" s="140"/>
      <c r="B90" s="29" t="s">
        <v>210</v>
      </c>
      <c r="C90" s="129"/>
      <c r="D90" s="147"/>
      <c r="E90" s="25">
        <f t="shared" si="51"/>
        <v>0</v>
      </c>
      <c r="F90" s="25">
        <v>0</v>
      </c>
      <c r="G90" s="25">
        <v>0</v>
      </c>
      <c r="H90" s="25">
        <v>0</v>
      </c>
      <c r="I90" s="25">
        <v>0</v>
      </c>
      <c r="J90" s="25">
        <f t="shared" si="55"/>
        <v>0</v>
      </c>
      <c r="K90" s="25">
        <v>0</v>
      </c>
      <c r="L90" s="25">
        <v>0</v>
      </c>
      <c r="M90" s="25">
        <v>0</v>
      </c>
      <c r="N90" s="25">
        <v>0</v>
      </c>
      <c r="O90" s="25">
        <f t="shared" si="56"/>
        <v>0</v>
      </c>
      <c r="P90" s="25">
        <v>0</v>
      </c>
      <c r="Q90" s="25">
        <v>0</v>
      </c>
      <c r="R90" s="25">
        <v>0</v>
      </c>
      <c r="S90" s="25">
        <v>0</v>
      </c>
      <c r="T90" s="25">
        <f t="shared" si="52"/>
        <v>0</v>
      </c>
      <c r="U90" s="25">
        <v>0</v>
      </c>
      <c r="V90" s="25">
        <v>0</v>
      </c>
      <c r="W90" s="25">
        <v>0</v>
      </c>
      <c r="X90" s="25">
        <v>0</v>
      </c>
      <c r="Y90" s="25">
        <f t="shared" si="53"/>
        <v>0</v>
      </c>
      <c r="Z90" s="42">
        <v>0</v>
      </c>
      <c r="AA90" s="42">
        <v>0</v>
      </c>
      <c r="AB90" s="42">
        <v>0</v>
      </c>
      <c r="AC90" s="42">
        <v>0</v>
      </c>
      <c r="AD90" s="42">
        <f t="shared" si="57"/>
        <v>0</v>
      </c>
      <c r="AE90" s="35"/>
    </row>
    <row r="91" spans="1:31" s="1" customFormat="1" ht="26.45" customHeight="1" x14ac:dyDescent="0.25">
      <c r="A91" s="140"/>
      <c r="B91" s="29" t="s">
        <v>211</v>
      </c>
      <c r="C91" s="129"/>
      <c r="D91" s="147"/>
      <c r="E91" s="25">
        <f t="shared" ref="E91" si="58">SUM(F91:I91)</f>
        <v>0</v>
      </c>
      <c r="F91" s="25">
        <v>0</v>
      </c>
      <c r="G91" s="25">
        <v>0</v>
      </c>
      <c r="H91" s="25">
        <v>0</v>
      </c>
      <c r="I91" s="25">
        <v>0</v>
      </c>
      <c r="J91" s="25">
        <f t="shared" ref="J91" si="59">SUM(K91:N91)</f>
        <v>0</v>
      </c>
      <c r="K91" s="25">
        <v>0</v>
      </c>
      <c r="L91" s="25">
        <v>0</v>
      </c>
      <c r="M91" s="25">
        <v>0</v>
      </c>
      <c r="N91" s="25">
        <v>0</v>
      </c>
      <c r="O91" s="25">
        <f t="shared" ref="O91" si="60">SUM(P91:S91)</f>
        <v>0</v>
      </c>
      <c r="P91" s="25">
        <v>0</v>
      </c>
      <c r="Q91" s="25">
        <v>0</v>
      </c>
      <c r="R91" s="25">
        <v>0</v>
      </c>
      <c r="S91" s="25">
        <v>0</v>
      </c>
      <c r="T91" s="25">
        <f t="shared" ref="T91" si="61">SUM(U91:X91)</f>
        <v>0</v>
      </c>
      <c r="U91" s="25">
        <v>0</v>
      </c>
      <c r="V91" s="25">
        <v>0</v>
      </c>
      <c r="W91" s="25">
        <v>0</v>
      </c>
      <c r="X91" s="25">
        <v>0</v>
      </c>
      <c r="Y91" s="25">
        <f t="shared" ref="Y91" si="62">SUM(Z91:AC91)</f>
        <v>0</v>
      </c>
      <c r="Z91" s="42">
        <v>0</v>
      </c>
      <c r="AA91" s="42">
        <v>0</v>
      </c>
      <c r="AB91" s="42">
        <v>0</v>
      </c>
      <c r="AC91" s="42">
        <v>0</v>
      </c>
      <c r="AD91" s="42">
        <f t="shared" ref="AD91" si="63">SUM(Y91,T91,O91,J91,E91)</f>
        <v>0</v>
      </c>
      <c r="AE91" s="35"/>
    </row>
    <row r="92" spans="1:31" s="1" customFormat="1" ht="23.45" customHeight="1" x14ac:dyDescent="0.25">
      <c r="A92" s="140"/>
      <c r="B92" s="29" t="s">
        <v>224</v>
      </c>
      <c r="C92" s="130"/>
      <c r="D92" s="148"/>
      <c r="E92" s="25">
        <f t="shared" si="51"/>
        <v>0</v>
      </c>
      <c r="F92" s="25">
        <v>0</v>
      </c>
      <c r="G92" s="25">
        <v>0</v>
      </c>
      <c r="H92" s="25">
        <v>0</v>
      </c>
      <c r="I92" s="25">
        <v>0</v>
      </c>
      <c r="J92" s="25">
        <f t="shared" si="55"/>
        <v>0</v>
      </c>
      <c r="K92" s="25">
        <v>0</v>
      </c>
      <c r="L92" s="25">
        <v>0</v>
      </c>
      <c r="M92" s="25">
        <v>0</v>
      </c>
      <c r="N92" s="25">
        <v>0</v>
      </c>
      <c r="O92" s="25">
        <f t="shared" si="56"/>
        <v>0</v>
      </c>
      <c r="P92" s="26">
        <v>0</v>
      </c>
      <c r="Q92" s="25">
        <v>0</v>
      </c>
      <c r="R92" s="25">
        <v>0</v>
      </c>
      <c r="S92" s="25">
        <v>0</v>
      </c>
      <c r="T92" s="25">
        <f t="shared" si="52"/>
        <v>0</v>
      </c>
      <c r="U92" s="25">
        <v>0</v>
      </c>
      <c r="V92" s="25">
        <v>0</v>
      </c>
      <c r="W92" s="25">
        <v>0</v>
      </c>
      <c r="X92" s="25">
        <v>0</v>
      </c>
      <c r="Y92" s="25">
        <f t="shared" si="53"/>
        <v>0</v>
      </c>
      <c r="Z92" s="42">
        <v>0</v>
      </c>
      <c r="AA92" s="42">
        <v>0</v>
      </c>
      <c r="AB92" s="42">
        <v>0</v>
      </c>
      <c r="AC92" s="42">
        <v>0</v>
      </c>
      <c r="AD92" s="43">
        <f t="shared" si="57"/>
        <v>0</v>
      </c>
      <c r="AE92" s="35"/>
    </row>
    <row r="93" spans="1:31" s="1" customFormat="1" ht="45.75" customHeight="1" x14ac:dyDescent="0.25">
      <c r="A93" s="28" t="s">
        <v>68</v>
      </c>
      <c r="B93" s="29" t="s">
        <v>178</v>
      </c>
      <c r="C93" s="55" t="s">
        <v>179</v>
      </c>
      <c r="D93" s="44">
        <v>2020</v>
      </c>
      <c r="E93" s="25">
        <v>0</v>
      </c>
      <c r="F93" s="25">
        <v>0</v>
      </c>
      <c r="G93" s="25">
        <v>0</v>
      </c>
      <c r="H93" s="25">
        <v>0</v>
      </c>
      <c r="I93" s="25">
        <v>0</v>
      </c>
      <c r="J93" s="26">
        <f t="shared" si="55"/>
        <v>400</v>
      </c>
      <c r="K93" s="26">
        <v>400</v>
      </c>
      <c r="L93" s="25">
        <v>0</v>
      </c>
      <c r="M93" s="25">
        <v>0</v>
      </c>
      <c r="N93" s="25">
        <v>0</v>
      </c>
      <c r="O93" s="25">
        <f t="shared" si="56"/>
        <v>0</v>
      </c>
      <c r="P93" s="25">
        <v>0</v>
      </c>
      <c r="Q93" s="25">
        <v>0</v>
      </c>
      <c r="R93" s="25">
        <v>0</v>
      </c>
      <c r="S93" s="25">
        <v>0</v>
      </c>
      <c r="T93" s="25">
        <v>0</v>
      </c>
      <c r="U93" s="25">
        <v>0</v>
      </c>
      <c r="V93" s="25">
        <v>0</v>
      </c>
      <c r="W93" s="25">
        <v>0</v>
      </c>
      <c r="X93" s="25">
        <v>0</v>
      </c>
      <c r="Y93" s="25">
        <v>0</v>
      </c>
      <c r="Z93" s="42">
        <v>0</v>
      </c>
      <c r="AA93" s="42">
        <v>0</v>
      </c>
      <c r="AB93" s="42">
        <v>0</v>
      </c>
      <c r="AC93" s="42">
        <v>0</v>
      </c>
      <c r="AD93" s="42">
        <f t="shared" si="57"/>
        <v>400</v>
      </c>
      <c r="AE93" s="35"/>
    </row>
    <row r="94" spans="1:31" s="1" customFormat="1" ht="92.25" customHeight="1" x14ac:dyDescent="0.25">
      <c r="A94" s="28" t="s">
        <v>77</v>
      </c>
      <c r="B94" s="29" t="s">
        <v>162</v>
      </c>
      <c r="C94" s="28" t="s">
        <v>161</v>
      </c>
      <c r="D94" s="24">
        <v>2019</v>
      </c>
      <c r="E94" s="25">
        <f t="shared" si="51"/>
        <v>627.20000000000005</v>
      </c>
      <c r="F94" s="25">
        <v>627.20000000000005</v>
      </c>
      <c r="G94" s="25">
        <v>0</v>
      </c>
      <c r="H94" s="25">
        <v>0</v>
      </c>
      <c r="I94" s="25">
        <v>0</v>
      </c>
      <c r="J94" s="25">
        <f t="shared" si="55"/>
        <v>0</v>
      </c>
      <c r="K94" s="25">
        <v>0</v>
      </c>
      <c r="L94" s="25">
        <v>0</v>
      </c>
      <c r="M94" s="25">
        <v>0</v>
      </c>
      <c r="N94" s="25">
        <v>0</v>
      </c>
      <c r="O94" s="25">
        <f t="shared" si="56"/>
        <v>0</v>
      </c>
      <c r="P94" s="25">
        <v>0</v>
      </c>
      <c r="Q94" s="25">
        <v>0</v>
      </c>
      <c r="R94" s="25">
        <v>0</v>
      </c>
      <c r="S94" s="25">
        <v>0</v>
      </c>
      <c r="T94" s="25">
        <f t="shared" si="52"/>
        <v>0</v>
      </c>
      <c r="U94" s="25">
        <v>0</v>
      </c>
      <c r="V94" s="25">
        <v>0</v>
      </c>
      <c r="W94" s="25">
        <v>0</v>
      </c>
      <c r="X94" s="25">
        <v>0</v>
      </c>
      <c r="Y94" s="25">
        <f t="shared" si="53"/>
        <v>0</v>
      </c>
      <c r="Z94" s="25">
        <v>0</v>
      </c>
      <c r="AA94" s="25">
        <v>0</v>
      </c>
      <c r="AB94" s="25">
        <v>0</v>
      </c>
      <c r="AC94" s="25">
        <v>0</v>
      </c>
      <c r="AD94" s="42">
        <f t="shared" si="57"/>
        <v>627.20000000000005</v>
      </c>
      <c r="AE94" s="35"/>
    </row>
    <row r="95" spans="1:31" s="1" customFormat="1" ht="51.75" customHeight="1" x14ac:dyDescent="0.25">
      <c r="A95" s="28" t="s">
        <v>180</v>
      </c>
      <c r="B95" s="29" t="s">
        <v>138</v>
      </c>
      <c r="C95" s="28" t="s">
        <v>132</v>
      </c>
      <c r="D95" s="24" t="s">
        <v>44</v>
      </c>
      <c r="E95" s="25">
        <f t="shared" si="51"/>
        <v>0</v>
      </c>
      <c r="F95" s="25">
        <v>0</v>
      </c>
      <c r="G95" s="25">
        <v>0</v>
      </c>
      <c r="H95" s="25">
        <v>0</v>
      </c>
      <c r="I95" s="25">
        <v>0</v>
      </c>
      <c r="J95" s="25">
        <f>SUM(K95:N95)</f>
        <v>0</v>
      </c>
      <c r="K95" s="25">
        <v>0</v>
      </c>
      <c r="L95" s="25">
        <v>0</v>
      </c>
      <c r="M95" s="25">
        <v>0</v>
      </c>
      <c r="N95" s="25">
        <v>0</v>
      </c>
      <c r="O95" s="25">
        <f t="shared" si="56"/>
        <v>0</v>
      </c>
      <c r="P95" s="25">
        <v>0</v>
      </c>
      <c r="Q95" s="25">
        <v>0</v>
      </c>
      <c r="R95" s="25">
        <v>0</v>
      </c>
      <c r="S95" s="25">
        <v>0</v>
      </c>
      <c r="T95" s="25">
        <f t="shared" si="52"/>
        <v>0</v>
      </c>
      <c r="U95" s="25">
        <v>0</v>
      </c>
      <c r="V95" s="25">
        <v>0</v>
      </c>
      <c r="W95" s="25">
        <v>0</v>
      </c>
      <c r="X95" s="25">
        <v>0</v>
      </c>
      <c r="Y95" s="25">
        <f t="shared" si="53"/>
        <v>0</v>
      </c>
      <c r="Z95" s="25">
        <v>0</v>
      </c>
      <c r="AA95" s="25">
        <v>0</v>
      </c>
      <c r="AB95" s="25">
        <v>0</v>
      </c>
      <c r="AC95" s="25">
        <v>0</v>
      </c>
      <c r="AD95" s="42">
        <f>SUM(Y95,T95,O95,J95,E95)</f>
        <v>0</v>
      </c>
      <c r="AE95" s="35"/>
    </row>
    <row r="96" spans="1:31" s="1" customFormat="1" ht="51.75" customHeight="1" x14ac:dyDescent="0.25">
      <c r="A96" s="28" t="s">
        <v>181</v>
      </c>
      <c r="B96" s="29" t="s">
        <v>185</v>
      </c>
      <c r="C96" s="28" t="s">
        <v>108</v>
      </c>
      <c r="D96" s="24">
        <v>2020</v>
      </c>
      <c r="E96" s="25">
        <v>0</v>
      </c>
      <c r="F96" s="25">
        <v>0</v>
      </c>
      <c r="G96" s="25">
        <v>0</v>
      </c>
      <c r="H96" s="25">
        <v>0</v>
      </c>
      <c r="I96" s="25">
        <v>0</v>
      </c>
      <c r="J96" s="25">
        <f>SUM(K96:N96)</f>
        <v>0</v>
      </c>
      <c r="K96" s="25">
        <f>280-280</f>
        <v>0</v>
      </c>
      <c r="L96" s="25">
        <v>0</v>
      </c>
      <c r="M96" s="25">
        <v>0</v>
      </c>
      <c r="N96" s="25">
        <v>0</v>
      </c>
      <c r="O96" s="25">
        <f t="shared" si="56"/>
        <v>0</v>
      </c>
      <c r="P96" s="25">
        <v>0</v>
      </c>
      <c r="Q96" s="25">
        <v>0</v>
      </c>
      <c r="R96" s="25">
        <v>0</v>
      </c>
      <c r="S96" s="25">
        <v>0</v>
      </c>
      <c r="T96" s="25">
        <f t="shared" si="52"/>
        <v>0</v>
      </c>
      <c r="U96" s="25">
        <v>0</v>
      </c>
      <c r="V96" s="25">
        <v>0</v>
      </c>
      <c r="W96" s="25">
        <v>0</v>
      </c>
      <c r="X96" s="25">
        <v>0</v>
      </c>
      <c r="Y96" s="25">
        <v>0</v>
      </c>
      <c r="Z96" s="25">
        <v>0</v>
      </c>
      <c r="AA96" s="25">
        <v>0</v>
      </c>
      <c r="AB96" s="25">
        <v>0</v>
      </c>
      <c r="AC96" s="25">
        <v>0</v>
      </c>
      <c r="AD96" s="42">
        <f>SUM(Y96,T96,O96,J96,E96)</f>
        <v>0</v>
      </c>
      <c r="AE96" s="35"/>
    </row>
    <row r="97" spans="1:31" s="1" customFormat="1" ht="103.5" customHeight="1" x14ac:dyDescent="0.25">
      <c r="A97" s="28" t="s">
        <v>191</v>
      </c>
      <c r="B97" s="29" t="s">
        <v>278</v>
      </c>
      <c r="C97" s="28" t="s">
        <v>287</v>
      </c>
      <c r="D97" s="24" t="s">
        <v>233</v>
      </c>
      <c r="E97" s="25">
        <v>0</v>
      </c>
      <c r="F97" s="25">
        <v>0</v>
      </c>
      <c r="G97" s="25">
        <v>0</v>
      </c>
      <c r="H97" s="25">
        <v>0</v>
      </c>
      <c r="I97" s="25">
        <v>0</v>
      </c>
      <c r="J97" s="68">
        <f>SUM(K97:N97)</f>
        <v>9552</v>
      </c>
      <c r="K97" s="68">
        <f>2289+626.545+1.455-130</f>
        <v>2787</v>
      </c>
      <c r="L97" s="25">
        <f>5628+1527.3-0.3-390</f>
        <v>6765</v>
      </c>
      <c r="M97" s="25">
        <v>0</v>
      </c>
      <c r="N97" s="25">
        <v>0</v>
      </c>
      <c r="O97" s="26">
        <f t="shared" si="56"/>
        <v>25424</v>
      </c>
      <c r="P97" s="26">
        <f>6134-338</f>
        <v>5796</v>
      </c>
      <c r="Q97" s="26">
        <f>20825-1197</f>
        <v>19628</v>
      </c>
      <c r="R97" s="25">
        <v>0</v>
      </c>
      <c r="S97" s="25">
        <v>0</v>
      </c>
      <c r="T97" s="94">
        <f t="shared" si="52"/>
        <v>7519.8220000000001</v>
      </c>
      <c r="U97" s="94">
        <f>1782.543+354.18-9.92392-0.1-195</f>
        <v>1931.6990799999999</v>
      </c>
      <c r="V97" s="94">
        <f>6315.1-34.85708-692.12</f>
        <v>5588.1229200000007</v>
      </c>
      <c r="W97" s="25">
        <v>0</v>
      </c>
      <c r="X97" s="25">
        <v>0</v>
      </c>
      <c r="Y97" s="25">
        <v>0</v>
      </c>
      <c r="Z97" s="25">
        <v>0</v>
      </c>
      <c r="AA97" s="25">
        <v>0</v>
      </c>
      <c r="AB97" s="25">
        <v>0</v>
      </c>
      <c r="AC97" s="25">
        <v>0</v>
      </c>
      <c r="AD97" s="69">
        <f>SUM(Y97,T97,O97,J97,E97)</f>
        <v>42495.822</v>
      </c>
      <c r="AE97" s="35"/>
    </row>
    <row r="98" spans="1:31" s="1" customFormat="1" ht="43.5" customHeight="1" x14ac:dyDescent="0.25">
      <c r="A98" s="28" t="s">
        <v>264</v>
      </c>
      <c r="B98" s="29" t="s">
        <v>265</v>
      </c>
      <c r="C98" s="28" t="s">
        <v>75</v>
      </c>
      <c r="D98" s="24">
        <v>2022</v>
      </c>
      <c r="E98" s="25"/>
      <c r="F98" s="25"/>
      <c r="G98" s="25"/>
      <c r="H98" s="25"/>
      <c r="I98" s="25"/>
      <c r="J98" s="68"/>
      <c r="K98" s="68"/>
      <c r="L98" s="25"/>
      <c r="M98" s="25"/>
      <c r="N98" s="25"/>
      <c r="O98" s="26"/>
      <c r="P98" s="26"/>
      <c r="Q98" s="26"/>
      <c r="R98" s="25"/>
      <c r="S98" s="25"/>
      <c r="T98" s="94">
        <f t="shared" si="52"/>
        <v>6738.9949999999999</v>
      </c>
      <c r="U98" s="94">
        <f>6750.375-12.46+1.08</f>
        <v>6738.9949999999999</v>
      </c>
      <c r="V98" s="25">
        <v>0</v>
      </c>
      <c r="W98" s="25">
        <v>0</v>
      </c>
      <c r="X98" s="25">
        <v>0</v>
      </c>
      <c r="Y98" s="25"/>
      <c r="Z98" s="25"/>
      <c r="AA98" s="25"/>
      <c r="AB98" s="25"/>
      <c r="AC98" s="25"/>
      <c r="AD98" s="69">
        <f>SUM(Y98,T98,O98,J98,E98)</f>
        <v>6738.9949999999999</v>
      </c>
      <c r="AE98" s="35"/>
    </row>
    <row r="99" spans="1:31" s="3" customFormat="1" ht="25.15" customHeight="1" x14ac:dyDescent="0.25">
      <c r="A99" s="65"/>
      <c r="B99" s="32" t="s">
        <v>34</v>
      </c>
      <c r="C99" s="32"/>
      <c r="D99" s="65"/>
      <c r="E99" s="41">
        <f t="shared" ref="E99:S99" si="64">SUM(E81:E97)</f>
        <v>169184.40000000002</v>
      </c>
      <c r="F99" s="41">
        <f t="shared" si="64"/>
        <v>1200.2</v>
      </c>
      <c r="G99" s="41">
        <f t="shared" si="64"/>
        <v>0</v>
      </c>
      <c r="H99" s="41">
        <f t="shared" si="64"/>
        <v>0</v>
      </c>
      <c r="I99" s="41">
        <f t="shared" si="64"/>
        <v>167984.2</v>
      </c>
      <c r="J99" s="70">
        <f t="shared" si="64"/>
        <v>155539.70000000001</v>
      </c>
      <c r="K99" s="70">
        <f t="shared" si="64"/>
        <v>4487</v>
      </c>
      <c r="L99" s="41">
        <f t="shared" si="64"/>
        <v>6765</v>
      </c>
      <c r="M99" s="41">
        <f t="shared" si="64"/>
        <v>0</v>
      </c>
      <c r="N99" s="41">
        <f t="shared" si="64"/>
        <v>144287.70000000001</v>
      </c>
      <c r="O99" s="41">
        <f t="shared" si="64"/>
        <v>199616</v>
      </c>
      <c r="P99" s="41">
        <f t="shared" si="64"/>
        <v>5845</v>
      </c>
      <c r="Q99" s="41">
        <f t="shared" si="64"/>
        <v>19628</v>
      </c>
      <c r="R99" s="41">
        <f t="shared" si="64"/>
        <v>0</v>
      </c>
      <c r="S99" s="41">
        <f t="shared" si="64"/>
        <v>174143</v>
      </c>
      <c r="T99" s="96">
        <f t="shared" ref="T99:Z99" si="65">SUM(T81:T98)</f>
        <v>195808.38699999999</v>
      </c>
      <c r="U99" s="96">
        <f t="shared" si="65"/>
        <v>8902.6940799999993</v>
      </c>
      <c r="V99" s="96">
        <f t="shared" si="65"/>
        <v>5588.1229200000007</v>
      </c>
      <c r="W99" s="41">
        <f t="shared" si="65"/>
        <v>0</v>
      </c>
      <c r="X99" s="41">
        <f t="shared" si="65"/>
        <v>181317.57</v>
      </c>
      <c r="Y99" s="41">
        <f t="shared" si="65"/>
        <v>160834</v>
      </c>
      <c r="Z99" s="41">
        <f t="shared" si="65"/>
        <v>256</v>
      </c>
      <c r="AA99" s="41">
        <f>SUM(AA81:AA97)</f>
        <v>0</v>
      </c>
      <c r="AB99" s="41">
        <f>SUM(AB81:AB97)</f>
        <v>0</v>
      </c>
      <c r="AC99" s="41">
        <f>SUM(AC81:AC98)</f>
        <v>160578</v>
      </c>
      <c r="AD99" s="69">
        <f>SUM(Y99,T99,O99,J99,E99)</f>
        <v>880982.48700000008</v>
      </c>
      <c r="AE99" s="49"/>
    </row>
    <row r="100" spans="1:31" s="1" customFormat="1" ht="57.6" customHeight="1" x14ac:dyDescent="0.25">
      <c r="A100" s="28"/>
      <c r="B100" s="141" t="s">
        <v>116</v>
      </c>
      <c r="C100" s="142"/>
      <c r="D100" s="28"/>
      <c r="E100" s="41"/>
      <c r="F100" s="25"/>
      <c r="G100" s="25"/>
      <c r="H100" s="25"/>
      <c r="I100" s="25"/>
      <c r="J100" s="42"/>
      <c r="K100" s="42"/>
      <c r="L100" s="42"/>
      <c r="M100" s="42"/>
      <c r="N100" s="42"/>
      <c r="O100" s="25"/>
      <c r="P100" s="25"/>
      <c r="Q100" s="42"/>
      <c r="R100" s="25"/>
      <c r="S100" s="25"/>
      <c r="T100" s="25"/>
      <c r="U100" s="25"/>
      <c r="V100" s="25"/>
      <c r="W100" s="25"/>
      <c r="X100" s="42"/>
      <c r="Y100" s="42"/>
      <c r="Z100" s="42"/>
      <c r="AA100" s="42"/>
      <c r="AB100" s="42"/>
      <c r="AC100" s="42"/>
      <c r="AD100" s="42"/>
      <c r="AE100" s="35"/>
    </row>
    <row r="101" spans="1:31" s="1" customFormat="1" ht="111.75" customHeight="1" x14ac:dyDescent="0.25">
      <c r="A101" s="125" t="s">
        <v>13</v>
      </c>
      <c r="B101" s="29" t="s">
        <v>82</v>
      </c>
      <c r="C101" s="125" t="s">
        <v>102</v>
      </c>
      <c r="D101" s="24"/>
      <c r="E101" s="25"/>
      <c r="F101" s="25"/>
      <c r="G101" s="25"/>
      <c r="H101" s="25"/>
      <c r="I101" s="25"/>
      <c r="J101" s="42"/>
      <c r="K101" s="42"/>
      <c r="L101" s="42"/>
      <c r="M101" s="42"/>
      <c r="N101" s="42"/>
      <c r="O101" s="25"/>
      <c r="P101" s="25"/>
      <c r="Q101" s="25"/>
      <c r="R101" s="25"/>
      <c r="S101" s="25"/>
      <c r="T101" s="25"/>
      <c r="U101" s="25"/>
      <c r="V101" s="25"/>
      <c r="W101" s="25"/>
      <c r="X101" s="42"/>
      <c r="Y101" s="42"/>
      <c r="Z101" s="42"/>
      <c r="AA101" s="42"/>
      <c r="AB101" s="42"/>
      <c r="AC101" s="42"/>
      <c r="AD101" s="42"/>
      <c r="AE101" s="35"/>
    </row>
    <row r="102" spans="1:31" s="1" customFormat="1" ht="86.25" customHeight="1" x14ac:dyDescent="0.25">
      <c r="A102" s="129"/>
      <c r="B102" s="29" t="s">
        <v>281</v>
      </c>
      <c r="C102" s="129"/>
      <c r="D102" s="28">
        <v>2019</v>
      </c>
      <c r="E102" s="25">
        <f t="shared" ref="E102:E108" si="66">SUM(F102:I102)</f>
        <v>25085.3</v>
      </c>
      <c r="F102" s="25">
        <v>1383.7</v>
      </c>
      <c r="G102" s="25">
        <v>23701.599999999999</v>
      </c>
      <c r="H102" s="25">
        <v>0</v>
      </c>
      <c r="I102" s="25">
        <v>0</v>
      </c>
      <c r="J102" s="25">
        <f t="shared" ref="J102:J142" si="67">SUM(K102:N102)</f>
        <v>0</v>
      </c>
      <c r="K102" s="42">
        <v>0</v>
      </c>
      <c r="L102" s="42">
        <v>0</v>
      </c>
      <c r="M102" s="42">
        <v>0</v>
      </c>
      <c r="N102" s="42">
        <v>0</v>
      </c>
      <c r="O102" s="25">
        <f t="shared" ref="O102:O141" si="68">SUM(P102:S102)</f>
        <v>0</v>
      </c>
      <c r="P102" s="25">
        <v>0</v>
      </c>
      <c r="Q102" s="42">
        <v>0</v>
      </c>
      <c r="R102" s="42">
        <v>0</v>
      </c>
      <c r="S102" s="42">
        <v>0</v>
      </c>
      <c r="T102" s="25">
        <f t="shared" ref="T102:T146" si="69">SUM(U102:X102)</f>
        <v>0</v>
      </c>
      <c r="U102" s="42">
        <v>0</v>
      </c>
      <c r="V102" s="42">
        <v>0</v>
      </c>
      <c r="W102" s="42">
        <v>0</v>
      </c>
      <c r="X102" s="42">
        <v>0</v>
      </c>
      <c r="Y102" s="25">
        <f t="shared" ref="Y102:Y142" si="70">SUM(Z102:AC102)</f>
        <v>0</v>
      </c>
      <c r="Z102" s="42">
        <v>0</v>
      </c>
      <c r="AA102" s="42">
        <v>0</v>
      </c>
      <c r="AB102" s="42">
        <v>0</v>
      </c>
      <c r="AC102" s="42">
        <v>0</v>
      </c>
      <c r="AD102" s="42">
        <f>SUM(E102,J102,O102,T102,Y102)</f>
        <v>25085.3</v>
      </c>
      <c r="AE102" s="35"/>
    </row>
    <row r="103" spans="1:31" s="1" customFormat="1" ht="25.9" customHeight="1" x14ac:dyDescent="0.25">
      <c r="A103" s="129"/>
      <c r="B103" s="29" t="s">
        <v>121</v>
      </c>
      <c r="C103" s="129"/>
      <c r="D103" s="28">
        <v>2022</v>
      </c>
      <c r="E103" s="25">
        <f t="shared" si="66"/>
        <v>0</v>
      </c>
      <c r="F103" s="42">
        <v>0</v>
      </c>
      <c r="G103" s="25">
        <v>0</v>
      </c>
      <c r="H103" s="25">
        <v>0</v>
      </c>
      <c r="I103" s="25">
        <v>0</v>
      </c>
      <c r="J103" s="25">
        <f t="shared" si="67"/>
        <v>0</v>
      </c>
      <c r="K103" s="25">
        <v>0</v>
      </c>
      <c r="L103" s="25">
        <v>0</v>
      </c>
      <c r="M103" s="25">
        <v>0</v>
      </c>
      <c r="N103" s="25">
        <v>0</v>
      </c>
      <c r="O103" s="25">
        <f t="shared" si="68"/>
        <v>0</v>
      </c>
      <c r="P103" s="25"/>
      <c r="Q103" s="42">
        <v>0</v>
      </c>
      <c r="R103" s="42">
        <v>0</v>
      </c>
      <c r="S103" s="42">
        <v>0</v>
      </c>
      <c r="T103" s="25">
        <f t="shared" si="69"/>
        <v>345.14</v>
      </c>
      <c r="U103" s="42">
        <v>345.14</v>
      </c>
      <c r="V103" s="42">
        <v>0</v>
      </c>
      <c r="W103" s="42">
        <v>0</v>
      </c>
      <c r="X103" s="42">
        <v>0</v>
      </c>
      <c r="Y103" s="25">
        <f t="shared" si="70"/>
        <v>0</v>
      </c>
      <c r="Z103" s="42">
        <v>0</v>
      </c>
      <c r="AA103" s="42">
        <v>0</v>
      </c>
      <c r="AB103" s="42">
        <v>0</v>
      </c>
      <c r="AC103" s="42">
        <v>0</v>
      </c>
      <c r="AD103" s="42">
        <f t="shared" ref="AD103:AD142" si="71">SUM(E103,J103,O103,T103,Y103)</f>
        <v>345.14</v>
      </c>
      <c r="AE103" s="35"/>
    </row>
    <row r="104" spans="1:31" s="1" customFormat="1" ht="37.15" customHeight="1" x14ac:dyDescent="0.25">
      <c r="A104" s="129"/>
      <c r="B104" s="117" t="s">
        <v>312</v>
      </c>
      <c r="C104" s="129"/>
      <c r="D104" s="114">
        <v>2022</v>
      </c>
      <c r="E104" s="94">
        <f t="shared" si="66"/>
        <v>0</v>
      </c>
      <c r="F104" s="103">
        <v>0</v>
      </c>
      <c r="G104" s="94">
        <v>0</v>
      </c>
      <c r="H104" s="25">
        <v>0</v>
      </c>
      <c r="I104" s="25">
        <v>0</v>
      </c>
      <c r="J104" s="25">
        <f t="shared" si="67"/>
        <v>0</v>
      </c>
      <c r="K104" s="42">
        <v>0</v>
      </c>
      <c r="L104" s="25">
        <v>0</v>
      </c>
      <c r="M104" s="25">
        <v>0</v>
      </c>
      <c r="N104" s="25">
        <v>0</v>
      </c>
      <c r="O104" s="25">
        <f t="shared" si="68"/>
        <v>0</v>
      </c>
      <c r="P104" s="25">
        <v>0</v>
      </c>
      <c r="Q104" s="42">
        <v>0</v>
      </c>
      <c r="R104" s="42">
        <v>0</v>
      </c>
      <c r="S104" s="42">
        <v>0</v>
      </c>
      <c r="T104" s="25">
        <f t="shared" si="69"/>
        <v>382</v>
      </c>
      <c r="U104" s="25">
        <v>382</v>
      </c>
      <c r="V104" s="42">
        <v>0</v>
      </c>
      <c r="W104" s="42">
        <v>0</v>
      </c>
      <c r="X104" s="42">
        <v>0</v>
      </c>
      <c r="Y104" s="25">
        <f t="shared" si="70"/>
        <v>0</v>
      </c>
      <c r="Z104" s="42">
        <v>0</v>
      </c>
      <c r="AA104" s="42">
        <v>0</v>
      </c>
      <c r="AB104" s="42">
        <v>0</v>
      </c>
      <c r="AC104" s="42">
        <v>0</v>
      </c>
      <c r="AD104" s="42">
        <f t="shared" si="71"/>
        <v>382</v>
      </c>
      <c r="AE104" s="35"/>
    </row>
    <row r="105" spans="1:31" s="1" customFormat="1" ht="64.900000000000006" customHeight="1" x14ac:dyDescent="0.25">
      <c r="A105" s="129"/>
      <c r="B105" s="117" t="s">
        <v>311</v>
      </c>
      <c r="C105" s="129"/>
      <c r="D105" s="28">
        <v>2019</v>
      </c>
      <c r="E105" s="94">
        <f t="shared" si="66"/>
        <v>342.8</v>
      </c>
      <c r="F105" s="103">
        <v>11.3</v>
      </c>
      <c r="G105" s="94">
        <v>331.5</v>
      </c>
      <c r="H105" s="25">
        <v>0</v>
      </c>
      <c r="I105" s="25">
        <v>0</v>
      </c>
      <c r="J105" s="25">
        <v>0</v>
      </c>
      <c r="K105" s="42">
        <v>0</v>
      </c>
      <c r="L105" s="25">
        <v>0</v>
      </c>
      <c r="M105" s="25">
        <v>0</v>
      </c>
      <c r="N105" s="25">
        <v>0</v>
      </c>
      <c r="O105" s="25">
        <v>0</v>
      </c>
      <c r="P105" s="25">
        <v>0</v>
      </c>
      <c r="Q105" s="42">
        <v>0</v>
      </c>
      <c r="R105" s="42">
        <v>0</v>
      </c>
      <c r="S105" s="42">
        <v>0</v>
      </c>
      <c r="T105" s="25">
        <v>0</v>
      </c>
      <c r="U105" s="25">
        <v>0</v>
      </c>
      <c r="V105" s="42">
        <v>0</v>
      </c>
      <c r="W105" s="42">
        <v>0</v>
      </c>
      <c r="X105" s="42">
        <v>0</v>
      </c>
      <c r="Y105" s="25">
        <v>0</v>
      </c>
      <c r="Z105" s="42">
        <v>0</v>
      </c>
      <c r="AA105" s="42">
        <v>0</v>
      </c>
      <c r="AB105" s="42">
        <v>0</v>
      </c>
      <c r="AC105" s="42">
        <v>0</v>
      </c>
      <c r="AD105" s="42">
        <f t="shared" si="71"/>
        <v>342.8</v>
      </c>
      <c r="AE105" s="35"/>
    </row>
    <row r="106" spans="1:31" s="1" customFormat="1" ht="64.900000000000006" customHeight="1" x14ac:dyDescent="0.25">
      <c r="A106" s="129"/>
      <c r="B106" s="118" t="s">
        <v>313</v>
      </c>
      <c r="C106" s="129"/>
      <c r="D106" s="28">
        <v>2019</v>
      </c>
      <c r="E106" s="25">
        <f t="shared" si="66"/>
        <v>1642.3</v>
      </c>
      <c r="F106" s="42">
        <v>0</v>
      </c>
      <c r="G106" s="25">
        <v>1642.3</v>
      </c>
      <c r="H106" s="25">
        <v>0</v>
      </c>
      <c r="I106" s="25">
        <v>0</v>
      </c>
      <c r="J106" s="25">
        <v>0</v>
      </c>
      <c r="K106" s="42">
        <v>0</v>
      </c>
      <c r="L106" s="25">
        <v>0</v>
      </c>
      <c r="M106" s="25">
        <v>0</v>
      </c>
      <c r="N106" s="25">
        <v>0</v>
      </c>
      <c r="O106" s="25">
        <v>0</v>
      </c>
      <c r="P106" s="25">
        <v>0</v>
      </c>
      <c r="Q106" s="42">
        <v>0</v>
      </c>
      <c r="R106" s="42">
        <v>0</v>
      </c>
      <c r="S106" s="42">
        <v>0</v>
      </c>
      <c r="T106" s="25">
        <v>0</v>
      </c>
      <c r="U106" s="25">
        <v>0</v>
      </c>
      <c r="V106" s="42">
        <v>0</v>
      </c>
      <c r="W106" s="42">
        <v>0</v>
      </c>
      <c r="X106" s="42">
        <v>0</v>
      </c>
      <c r="Y106" s="25">
        <v>0</v>
      </c>
      <c r="Z106" s="42">
        <v>0</v>
      </c>
      <c r="AA106" s="42">
        <v>0</v>
      </c>
      <c r="AB106" s="42">
        <v>0</v>
      </c>
      <c r="AC106" s="42">
        <v>0</v>
      </c>
      <c r="AD106" s="42">
        <f t="shared" si="71"/>
        <v>1642.3</v>
      </c>
      <c r="AE106" s="35"/>
    </row>
    <row r="107" spans="1:31" s="1" customFormat="1" ht="33.6" customHeight="1" x14ac:dyDescent="0.25">
      <c r="A107" s="129"/>
      <c r="B107" s="29" t="s">
        <v>90</v>
      </c>
      <c r="C107" s="129"/>
      <c r="D107" s="28">
        <v>2020</v>
      </c>
      <c r="E107" s="25">
        <f t="shared" si="66"/>
        <v>0</v>
      </c>
      <c r="F107" s="67">
        <v>0</v>
      </c>
      <c r="G107" s="25">
        <v>0</v>
      </c>
      <c r="H107" s="25">
        <v>0</v>
      </c>
      <c r="I107" s="25">
        <v>0</v>
      </c>
      <c r="J107" s="26">
        <f t="shared" si="67"/>
        <v>1568</v>
      </c>
      <c r="K107" s="43">
        <f>2152-584</f>
        <v>1568</v>
      </c>
      <c r="L107" s="25">
        <v>0</v>
      </c>
      <c r="M107" s="25">
        <v>0</v>
      </c>
      <c r="N107" s="25">
        <v>0</v>
      </c>
      <c r="O107" s="25">
        <f t="shared" si="68"/>
        <v>0</v>
      </c>
      <c r="P107" s="25">
        <v>0</v>
      </c>
      <c r="Q107" s="42">
        <v>0</v>
      </c>
      <c r="R107" s="42">
        <v>0</v>
      </c>
      <c r="S107" s="42">
        <v>0</v>
      </c>
      <c r="T107" s="25">
        <f t="shared" si="69"/>
        <v>255</v>
      </c>
      <c r="U107" s="42">
        <v>255</v>
      </c>
      <c r="V107" s="42">
        <v>0</v>
      </c>
      <c r="W107" s="42">
        <v>0</v>
      </c>
      <c r="X107" s="42">
        <v>0</v>
      </c>
      <c r="Y107" s="25">
        <f t="shared" si="70"/>
        <v>0</v>
      </c>
      <c r="Z107" s="42">
        <v>0</v>
      </c>
      <c r="AA107" s="42">
        <v>0</v>
      </c>
      <c r="AB107" s="42">
        <v>0</v>
      </c>
      <c r="AC107" s="42">
        <v>0</v>
      </c>
      <c r="AD107" s="42">
        <f t="shared" si="71"/>
        <v>1823</v>
      </c>
      <c r="AE107" s="35"/>
    </row>
    <row r="108" spans="1:31" s="1" customFormat="1" ht="22.9" customHeight="1" x14ac:dyDescent="0.25">
      <c r="A108" s="130"/>
      <c r="B108" s="71" t="s">
        <v>103</v>
      </c>
      <c r="C108" s="130"/>
      <c r="D108" s="28">
        <v>2023</v>
      </c>
      <c r="E108" s="25">
        <f t="shared" si="66"/>
        <v>0</v>
      </c>
      <c r="F108" s="42">
        <v>0</v>
      </c>
      <c r="G108" s="25">
        <v>0</v>
      </c>
      <c r="H108" s="25">
        <v>0</v>
      </c>
      <c r="I108" s="25">
        <v>0</v>
      </c>
      <c r="J108" s="25">
        <f t="shared" si="67"/>
        <v>0</v>
      </c>
      <c r="K108" s="25">
        <v>0</v>
      </c>
      <c r="L108" s="25">
        <v>0</v>
      </c>
      <c r="M108" s="25">
        <v>0</v>
      </c>
      <c r="N108" s="25">
        <v>0</v>
      </c>
      <c r="O108" s="25">
        <f t="shared" si="68"/>
        <v>0</v>
      </c>
      <c r="P108" s="25">
        <v>0</v>
      </c>
      <c r="Q108" s="25">
        <v>0</v>
      </c>
      <c r="R108" s="25">
        <v>0</v>
      </c>
      <c r="S108" s="25">
        <v>0</v>
      </c>
      <c r="T108" s="25">
        <f t="shared" si="69"/>
        <v>2184</v>
      </c>
      <c r="U108" s="25">
        <v>2184</v>
      </c>
      <c r="V108" s="25">
        <v>0</v>
      </c>
      <c r="W108" s="25">
        <v>0</v>
      </c>
      <c r="X108" s="25">
        <v>0</v>
      </c>
      <c r="Y108" s="25">
        <f t="shared" si="70"/>
        <v>0</v>
      </c>
      <c r="Z108" s="25">
        <v>0</v>
      </c>
      <c r="AA108" s="25">
        <v>0</v>
      </c>
      <c r="AB108" s="25">
        <v>0</v>
      </c>
      <c r="AC108" s="25">
        <v>0</v>
      </c>
      <c r="AD108" s="42">
        <f t="shared" si="71"/>
        <v>2184</v>
      </c>
      <c r="AE108" s="35"/>
    </row>
    <row r="109" spans="1:31" s="1" customFormat="1" ht="80.45" customHeight="1" x14ac:dyDescent="0.25">
      <c r="A109" s="125" t="s">
        <v>14</v>
      </c>
      <c r="B109" s="29" t="s">
        <v>247</v>
      </c>
      <c r="C109" s="125" t="s">
        <v>104</v>
      </c>
      <c r="D109" s="72"/>
      <c r="E109" s="25"/>
      <c r="F109" s="42"/>
      <c r="G109" s="25"/>
      <c r="H109" s="25"/>
      <c r="I109" s="42"/>
      <c r="J109" s="25"/>
      <c r="K109" s="42"/>
      <c r="L109" s="42"/>
      <c r="M109" s="42"/>
      <c r="N109" s="42"/>
      <c r="O109" s="25"/>
      <c r="P109" s="25"/>
      <c r="Q109" s="25"/>
      <c r="R109" s="25"/>
      <c r="S109" s="25"/>
      <c r="T109" s="25"/>
      <c r="U109" s="25"/>
      <c r="V109" s="25"/>
      <c r="W109" s="25"/>
      <c r="X109" s="42">
        <v>0</v>
      </c>
      <c r="Y109" s="25">
        <v>0</v>
      </c>
      <c r="Z109" s="42">
        <v>0</v>
      </c>
      <c r="AA109" s="42">
        <v>0</v>
      </c>
      <c r="AB109" s="42">
        <v>0</v>
      </c>
      <c r="AC109" s="42">
        <v>0</v>
      </c>
      <c r="AD109" s="42">
        <f t="shared" si="71"/>
        <v>0</v>
      </c>
      <c r="AE109" s="35"/>
    </row>
    <row r="110" spans="1:31" s="1" customFormat="1" ht="86.25" customHeight="1" x14ac:dyDescent="0.25">
      <c r="A110" s="129"/>
      <c r="B110" s="29" t="s">
        <v>280</v>
      </c>
      <c r="C110" s="129"/>
      <c r="D110" s="165" t="s">
        <v>183</v>
      </c>
      <c r="E110" s="25">
        <f>SUM(F110:I110)</f>
        <v>15879.1</v>
      </c>
      <c r="F110" s="42">
        <v>794</v>
      </c>
      <c r="G110" s="25">
        <v>15085.1</v>
      </c>
      <c r="H110" s="25">
        <v>0</v>
      </c>
      <c r="I110" s="25">
        <v>0</v>
      </c>
      <c r="J110" s="25">
        <f t="shared" si="67"/>
        <v>0</v>
      </c>
      <c r="K110" s="42">
        <v>0</v>
      </c>
      <c r="L110" s="42">
        <v>0</v>
      </c>
      <c r="M110" s="42">
        <v>0</v>
      </c>
      <c r="N110" s="42">
        <v>0</v>
      </c>
      <c r="O110" s="25">
        <f t="shared" si="68"/>
        <v>0</v>
      </c>
      <c r="P110" s="25">
        <v>0</v>
      </c>
      <c r="Q110" s="25">
        <v>0</v>
      </c>
      <c r="R110" s="25">
        <v>0</v>
      </c>
      <c r="S110" s="25">
        <v>0</v>
      </c>
      <c r="T110" s="94">
        <f t="shared" si="69"/>
        <v>0</v>
      </c>
      <c r="U110" s="94">
        <v>0</v>
      </c>
      <c r="V110" s="25">
        <v>0</v>
      </c>
      <c r="W110" s="25">
        <v>0</v>
      </c>
      <c r="X110" s="25">
        <v>0</v>
      </c>
      <c r="Y110" s="25">
        <f t="shared" si="70"/>
        <v>0</v>
      </c>
      <c r="Z110" s="25">
        <v>0</v>
      </c>
      <c r="AA110" s="25">
        <v>0</v>
      </c>
      <c r="AB110" s="25">
        <v>0</v>
      </c>
      <c r="AC110" s="25">
        <v>0</v>
      </c>
      <c r="AD110" s="42">
        <f t="shared" si="71"/>
        <v>15879.1</v>
      </c>
      <c r="AE110" s="35"/>
    </row>
    <row r="111" spans="1:31" s="1" customFormat="1" ht="32.25" customHeight="1" x14ac:dyDescent="0.25">
      <c r="A111" s="129"/>
      <c r="B111" s="102" t="s">
        <v>304</v>
      </c>
      <c r="C111" s="129"/>
      <c r="D111" s="165"/>
      <c r="E111" s="25"/>
      <c r="F111" s="42"/>
      <c r="G111" s="25"/>
      <c r="H111" s="25"/>
      <c r="I111" s="25"/>
      <c r="J111" s="25"/>
      <c r="K111" s="42"/>
      <c r="L111" s="42"/>
      <c r="M111" s="42"/>
      <c r="N111" s="42"/>
      <c r="O111" s="25"/>
      <c r="P111" s="25"/>
      <c r="Q111" s="25"/>
      <c r="R111" s="25"/>
      <c r="S111" s="25"/>
      <c r="T111" s="94">
        <f t="shared" si="69"/>
        <v>450</v>
      </c>
      <c r="U111" s="94">
        <v>450</v>
      </c>
      <c r="V111" s="25"/>
      <c r="W111" s="25"/>
      <c r="X111" s="25"/>
      <c r="Y111" s="25"/>
      <c r="Z111" s="25"/>
      <c r="AA111" s="25"/>
      <c r="AB111" s="25"/>
      <c r="AC111" s="25"/>
      <c r="AD111" s="42">
        <f t="shared" si="71"/>
        <v>450</v>
      </c>
      <c r="AE111" s="113"/>
    </row>
    <row r="112" spans="1:31" s="1" customFormat="1" ht="34.5" customHeight="1" x14ac:dyDescent="0.25">
      <c r="A112" s="129"/>
      <c r="B112" s="29" t="s">
        <v>83</v>
      </c>
      <c r="C112" s="129"/>
      <c r="D112" s="165"/>
      <c r="E112" s="25">
        <f>SUM(F112:I112)</f>
        <v>0</v>
      </c>
      <c r="F112" s="42">
        <v>0</v>
      </c>
      <c r="G112" s="25">
        <v>0</v>
      </c>
      <c r="H112" s="25">
        <v>0</v>
      </c>
      <c r="I112" s="25">
        <v>0</v>
      </c>
      <c r="J112" s="25">
        <f t="shared" si="67"/>
        <v>0</v>
      </c>
      <c r="K112" s="25">
        <v>0</v>
      </c>
      <c r="L112" s="25">
        <v>0</v>
      </c>
      <c r="M112" s="25">
        <v>0</v>
      </c>
      <c r="N112" s="25">
        <v>0</v>
      </c>
      <c r="O112" s="25">
        <f t="shared" si="68"/>
        <v>0</v>
      </c>
      <c r="P112" s="25">
        <v>0</v>
      </c>
      <c r="Q112" s="25">
        <v>0</v>
      </c>
      <c r="R112" s="25">
        <v>0</v>
      </c>
      <c r="S112" s="25">
        <v>0</v>
      </c>
      <c r="T112" s="25">
        <f t="shared" si="69"/>
        <v>0</v>
      </c>
      <c r="U112" s="25">
        <v>0</v>
      </c>
      <c r="V112" s="42">
        <v>0</v>
      </c>
      <c r="W112" s="25">
        <v>0</v>
      </c>
      <c r="X112" s="25">
        <v>0</v>
      </c>
      <c r="Y112" s="25">
        <f t="shared" si="70"/>
        <v>0</v>
      </c>
      <c r="Z112" s="25">
        <v>0</v>
      </c>
      <c r="AA112" s="25">
        <v>0</v>
      </c>
      <c r="AB112" s="25">
        <v>0</v>
      </c>
      <c r="AC112" s="25">
        <v>0</v>
      </c>
      <c r="AD112" s="42">
        <f t="shared" si="71"/>
        <v>0</v>
      </c>
      <c r="AE112" s="35"/>
    </row>
    <row r="113" spans="1:31" s="1" customFormat="1" ht="28.15" customHeight="1" x14ac:dyDescent="0.25">
      <c r="A113" s="130"/>
      <c r="B113" s="29" t="s">
        <v>91</v>
      </c>
      <c r="C113" s="130"/>
      <c r="D113" s="166"/>
      <c r="E113" s="25">
        <f>SUM(F113:I113)</f>
        <v>0</v>
      </c>
      <c r="F113" s="42">
        <v>0</v>
      </c>
      <c r="G113" s="25">
        <v>0</v>
      </c>
      <c r="H113" s="25">
        <v>0</v>
      </c>
      <c r="I113" s="25">
        <v>0</v>
      </c>
      <c r="J113" s="25">
        <f t="shared" si="67"/>
        <v>0</v>
      </c>
      <c r="K113" s="25">
        <v>0</v>
      </c>
      <c r="L113" s="25">
        <v>0</v>
      </c>
      <c r="M113" s="25">
        <v>0</v>
      </c>
      <c r="N113" s="25">
        <v>0</v>
      </c>
      <c r="O113" s="25">
        <f t="shared" si="68"/>
        <v>0</v>
      </c>
      <c r="P113" s="25">
        <v>0</v>
      </c>
      <c r="Q113" s="25">
        <v>0</v>
      </c>
      <c r="R113" s="25">
        <v>0</v>
      </c>
      <c r="S113" s="25">
        <v>0</v>
      </c>
      <c r="T113" s="25">
        <f t="shared" si="69"/>
        <v>0</v>
      </c>
      <c r="U113" s="42">
        <v>0</v>
      </c>
      <c r="V113" s="25">
        <v>0</v>
      </c>
      <c r="W113" s="25">
        <v>0</v>
      </c>
      <c r="X113" s="25">
        <v>0</v>
      </c>
      <c r="Y113" s="25">
        <f t="shared" si="70"/>
        <v>0</v>
      </c>
      <c r="Z113" s="25">
        <v>0</v>
      </c>
      <c r="AA113" s="25">
        <v>0</v>
      </c>
      <c r="AB113" s="25">
        <v>0</v>
      </c>
      <c r="AC113" s="25">
        <v>0</v>
      </c>
      <c r="AD113" s="42">
        <f t="shared" si="71"/>
        <v>0</v>
      </c>
      <c r="AE113" s="35"/>
    </row>
    <row r="114" spans="1:31" s="1" customFormat="1" ht="180.75" customHeight="1" x14ac:dyDescent="0.25">
      <c r="A114" s="125" t="s">
        <v>15</v>
      </c>
      <c r="B114" s="102" t="s">
        <v>314</v>
      </c>
      <c r="C114" s="125" t="s">
        <v>133</v>
      </c>
      <c r="D114" s="24"/>
      <c r="E114" s="25"/>
      <c r="F114" s="25"/>
      <c r="G114" s="25"/>
      <c r="H114" s="25"/>
      <c r="I114" s="25">
        <v>0</v>
      </c>
      <c r="J114" s="25">
        <v>0</v>
      </c>
      <c r="K114" s="25">
        <v>0</v>
      </c>
      <c r="L114" s="25">
        <v>0</v>
      </c>
      <c r="M114" s="25">
        <v>0</v>
      </c>
      <c r="N114" s="25">
        <v>0</v>
      </c>
      <c r="O114" s="25">
        <v>0</v>
      </c>
      <c r="P114" s="25">
        <v>0</v>
      </c>
      <c r="Q114" s="25">
        <v>0</v>
      </c>
      <c r="R114" s="25">
        <v>0</v>
      </c>
      <c r="S114" s="25">
        <v>0</v>
      </c>
      <c r="T114" s="25">
        <f t="shared" si="69"/>
        <v>0</v>
      </c>
      <c r="U114" s="25">
        <v>0</v>
      </c>
      <c r="V114" s="25">
        <v>0</v>
      </c>
      <c r="W114" s="25">
        <v>0</v>
      </c>
      <c r="X114" s="25">
        <v>0</v>
      </c>
      <c r="Y114" s="25">
        <f t="shared" si="70"/>
        <v>0</v>
      </c>
      <c r="Z114" s="25">
        <v>0</v>
      </c>
      <c r="AA114" s="25">
        <v>0</v>
      </c>
      <c r="AB114" s="25">
        <v>0</v>
      </c>
      <c r="AC114" s="25">
        <v>0</v>
      </c>
      <c r="AD114" s="103">
        <f t="shared" si="71"/>
        <v>0</v>
      </c>
      <c r="AE114" s="35"/>
    </row>
    <row r="115" spans="1:31" s="1" customFormat="1" ht="42" customHeight="1" x14ac:dyDescent="0.25">
      <c r="A115" s="126"/>
      <c r="B115" s="102" t="s">
        <v>286</v>
      </c>
      <c r="C115" s="126"/>
      <c r="D115" s="101">
        <v>2022</v>
      </c>
      <c r="E115" s="25">
        <f t="shared" ref="E115:E117" si="72">SUM(F115:I115)</f>
        <v>0</v>
      </c>
      <c r="F115" s="25">
        <v>0</v>
      </c>
      <c r="G115" s="25">
        <v>0</v>
      </c>
      <c r="H115" s="25">
        <v>0</v>
      </c>
      <c r="I115" s="25">
        <v>0</v>
      </c>
      <c r="J115" s="25">
        <v>0</v>
      </c>
      <c r="K115" s="25">
        <v>0</v>
      </c>
      <c r="L115" s="25">
        <v>0</v>
      </c>
      <c r="M115" s="25">
        <v>0</v>
      </c>
      <c r="N115" s="25">
        <v>0</v>
      </c>
      <c r="O115" s="25">
        <v>0</v>
      </c>
      <c r="P115" s="25">
        <v>0</v>
      </c>
      <c r="Q115" s="25">
        <v>0</v>
      </c>
      <c r="R115" s="25">
        <v>0</v>
      </c>
      <c r="S115" s="25">
        <v>0</v>
      </c>
      <c r="T115" s="94">
        <f t="shared" si="69"/>
        <v>435</v>
      </c>
      <c r="U115" s="94">
        <v>435</v>
      </c>
      <c r="V115" s="25">
        <v>0</v>
      </c>
      <c r="W115" s="25">
        <v>0</v>
      </c>
      <c r="X115" s="25">
        <v>0</v>
      </c>
      <c r="Y115" s="25">
        <f t="shared" si="70"/>
        <v>0</v>
      </c>
      <c r="Z115" s="25">
        <v>0</v>
      </c>
      <c r="AA115" s="25">
        <v>0</v>
      </c>
      <c r="AB115" s="25">
        <v>0</v>
      </c>
      <c r="AC115" s="25">
        <v>0</v>
      </c>
      <c r="AD115" s="103">
        <f t="shared" si="71"/>
        <v>435</v>
      </c>
      <c r="AE115" s="98"/>
    </row>
    <row r="116" spans="1:31" s="1" customFormat="1" ht="39" customHeight="1" x14ac:dyDescent="0.25">
      <c r="A116" s="126"/>
      <c r="B116" s="102" t="s">
        <v>316</v>
      </c>
      <c r="C116" s="126"/>
      <c r="D116" s="110" t="s">
        <v>239</v>
      </c>
      <c r="E116" s="25">
        <f t="shared" si="72"/>
        <v>0</v>
      </c>
      <c r="F116" s="25"/>
      <c r="G116" s="25"/>
      <c r="H116" s="25"/>
      <c r="I116" s="25"/>
      <c r="J116" s="25"/>
      <c r="K116" s="25"/>
      <c r="L116" s="25"/>
      <c r="M116" s="25"/>
      <c r="N116" s="25"/>
      <c r="O116" s="25"/>
      <c r="P116" s="25"/>
      <c r="Q116" s="25"/>
      <c r="R116" s="25"/>
      <c r="S116" s="25"/>
      <c r="T116" s="94">
        <f t="shared" si="69"/>
        <v>3039.5990000000002</v>
      </c>
      <c r="U116" s="94">
        <f>929-53.127+1723.726+402+38</f>
        <v>3039.5990000000002</v>
      </c>
      <c r="V116" s="25"/>
      <c r="W116" s="25"/>
      <c r="X116" s="25"/>
      <c r="Y116" s="94">
        <f t="shared" si="70"/>
        <v>4437.8599999999997</v>
      </c>
      <c r="Z116" s="94">
        <v>4437.8599999999997</v>
      </c>
      <c r="AA116" s="25"/>
      <c r="AB116" s="25"/>
      <c r="AC116" s="25"/>
      <c r="AD116" s="103">
        <f t="shared" si="71"/>
        <v>7477.4589999999998</v>
      </c>
      <c r="AE116" s="113"/>
    </row>
    <row r="117" spans="1:31" s="1" customFormat="1" ht="55.5" customHeight="1" x14ac:dyDescent="0.25">
      <c r="A117" s="127"/>
      <c r="B117" s="102" t="s">
        <v>315</v>
      </c>
      <c r="C117" s="127"/>
      <c r="D117" s="119">
        <v>2019</v>
      </c>
      <c r="E117" s="94">
        <f t="shared" si="72"/>
        <v>58567.900000000009</v>
      </c>
      <c r="F117" s="94">
        <v>2928.8</v>
      </c>
      <c r="G117" s="94">
        <f>56973.48-1334.38</f>
        <v>55639.100000000006</v>
      </c>
      <c r="H117" s="25">
        <v>0</v>
      </c>
      <c r="I117" s="25">
        <v>0</v>
      </c>
      <c r="J117" s="25">
        <v>0</v>
      </c>
      <c r="K117" s="25">
        <v>0</v>
      </c>
      <c r="L117" s="25">
        <v>0</v>
      </c>
      <c r="M117" s="25">
        <v>0</v>
      </c>
      <c r="N117" s="25">
        <v>0</v>
      </c>
      <c r="O117" s="25">
        <v>0</v>
      </c>
      <c r="P117" s="25">
        <v>0</v>
      </c>
      <c r="Q117" s="25">
        <v>0</v>
      </c>
      <c r="R117" s="25">
        <v>0</v>
      </c>
      <c r="S117" s="25">
        <v>0</v>
      </c>
      <c r="T117" s="94">
        <f t="shared" si="69"/>
        <v>0</v>
      </c>
      <c r="U117" s="94"/>
      <c r="V117" s="25">
        <v>0</v>
      </c>
      <c r="W117" s="25">
        <v>0</v>
      </c>
      <c r="X117" s="25">
        <v>0</v>
      </c>
      <c r="Y117" s="94">
        <f t="shared" si="70"/>
        <v>0</v>
      </c>
      <c r="Z117" s="94"/>
      <c r="AA117" s="25">
        <v>0</v>
      </c>
      <c r="AB117" s="25">
        <v>0</v>
      </c>
      <c r="AC117" s="25">
        <v>0</v>
      </c>
      <c r="AD117" s="103">
        <f t="shared" si="71"/>
        <v>58567.900000000009</v>
      </c>
      <c r="AE117" s="98"/>
    </row>
    <row r="118" spans="1:31" s="1" customFormat="1" ht="128.25" customHeight="1" x14ac:dyDescent="0.25">
      <c r="A118" s="131" t="s">
        <v>69</v>
      </c>
      <c r="B118" s="112" t="s">
        <v>151</v>
      </c>
      <c r="C118" s="125" t="s">
        <v>297</v>
      </c>
      <c r="D118" s="146" t="s">
        <v>234</v>
      </c>
      <c r="E118" s="25"/>
      <c r="F118" s="25"/>
      <c r="G118" s="25"/>
      <c r="H118" s="25"/>
      <c r="I118" s="25"/>
      <c r="J118" s="25"/>
      <c r="K118" s="42"/>
      <c r="L118" s="42"/>
      <c r="M118" s="42"/>
      <c r="N118" s="42"/>
      <c r="O118" s="25"/>
      <c r="P118" s="25"/>
      <c r="Q118" s="42"/>
      <c r="R118" s="25"/>
      <c r="S118" s="25"/>
      <c r="T118" s="25"/>
      <c r="U118" s="25"/>
      <c r="V118" s="25"/>
      <c r="W118" s="25"/>
      <c r="X118" s="42"/>
      <c r="Y118" s="25"/>
      <c r="Z118" s="42"/>
      <c r="AA118" s="42"/>
      <c r="AB118" s="42"/>
      <c r="AC118" s="42"/>
      <c r="AD118" s="42">
        <f t="shared" si="71"/>
        <v>0</v>
      </c>
      <c r="AE118" s="35"/>
    </row>
    <row r="119" spans="1:31" s="1" customFormat="1" ht="25.15" customHeight="1" x14ac:dyDescent="0.25">
      <c r="A119" s="132"/>
      <c r="B119" s="100" t="s">
        <v>296</v>
      </c>
      <c r="C119" s="129"/>
      <c r="D119" s="147"/>
      <c r="E119" s="25">
        <f t="shared" ref="E119:E136" si="73">SUM(F119:I119)</f>
        <v>0</v>
      </c>
      <c r="F119" s="25">
        <v>0</v>
      </c>
      <c r="G119" s="25">
        <v>0</v>
      </c>
      <c r="H119" s="25">
        <v>0</v>
      </c>
      <c r="I119" s="25">
        <v>0</v>
      </c>
      <c r="J119" s="26">
        <f t="shared" si="67"/>
        <v>1461</v>
      </c>
      <c r="K119" s="43">
        <f>158+1685-382</f>
        <v>1461</v>
      </c>
      <c r="L119" s="42">
        <v>0</v>
      </c>
      <c r="M119" s="42">
        <v>0</v>
      </c>
      <c r="N119" s="42">
        <v>0</v>
      </c>
      <c r="O119" s="25">
        <f t="shared" si="68"/>
        <v>0</v>
      </c>
      <c r="P119" s="73">
        <v>0</v>
      </c>
      <c r="Q119" s="73">
        <v>0</v>
      </c>
      <c r="R119" s="73">
        <v>0</v>
      </c>
      <c r="S119" s="73">
        <v>0</v>
      </c>
      <c r="T119" s="94">
        <f t="shared" si="69"/>
        <v>262</v>
      </c>
      <c r="U119" s="108">
        <v>262</v>
      </c>
      <c r="V119" s="73">
        <v>0</v>
      </c>
      <c r="W119" s="73">
        <v>0</v>
      </c>
      <c r="X119" s="73">
        <v>0</v>
      </c>
      <c r="Y119" s="25">
        <f t="shared" si="70"/>
        <v>0</v>
      </c>
      <c r="Z119" s="73">
        <v>0</v>
      </c>
      <c r="AA119" s="73">
        <v>0</v>
      </c>
      <c r="AB119" s="73">
        <v>0</v>
      </c>
      <c r="AC119" s="73">
        <v>0</v>
      </c>
      <c r="AD119" s="42">
        <f t="shared" si="71"/>
        <v>1723</v>
      </c>
      <c r="AE119" s="35"/>
    </row>
    <row r="120" spans="1:31" s="1" customFormat="1" ht="21.6" customHeight="1" x14ac:dyDescent="0.25">
      <c r="A120" s="132"/>
      <c r="B120" s="100" t="s">
        <v>260</v>
      </c>
      <c r="C120" s="129"/>
      <c r="D120" s="147"/>
      <c r="E120" s="25">
        <f t="shared" si="73"/>
        <v>0</v>
      </c>
      <c r="F120" s="25">
        <v>0</v>
      </c>
      <c r="G120" s="25">
        <v>0</v>
      </c>
      <c r="H120" s="25">
        <v>0</v>
      </c>
      <c r="I120" s="25">
        <v>0</v>
      </c>
      <c r="J120" s="26">
        <f t="shared" si="67"/>
        <v>597</v>
      </c>
      <c r="K120" s="43">
        <f>920-323</f>
        <v>597</v>
      </c>
      <c r="L120" s="42">
        <v>0</v>
      </c>
      <c r="M120" s="42">
        <v>0</v>
      </c>
      <c r="N120" s="42">
        <v>0</v>
      </c>
      <c r="O120" s="25">
        <f t="shared" si="68"/>
        <v>0</v>
      </c>
      <c r="P120" s="73">
        <v>0</v>
      </c>
      <c r="Q120" s="73">
        <v>0</v>
      </c>
      <c r="R120" s="73">
        <v>0</v>
      </c>
      <c r="S120" s="73">
        <v>0</v>
      </c>
      <c r="T120" s="94">
        <f t="shared" si="69"/>
        <v>3269.31</v>
      </c>
      <c r="U120" s="108">
        <f>437+2738+94.31</f>
        <v>3269.31</v>
      </c>
      <c r="V120" s="73">
        <v>0</v>
      </c>
      <c r="W120" s="73">
        <v>0</v>
      </c>
      <c r="X120" s="73">
        <v>0</v>
      </c>
      <c r="Y120" s="25">
        <f t="shared" si="70"/>
        <v>3589</v>
      </c>
      <c r="Z120" s="73">
        <f>369+3220</f>
        <v>3589</v>
      </c>
      <c r="AA120" s="73">
        <v>0</v>
      </c>
      <c r="AB120" s="73">
        <v>0</v>
      </c>
      <c r="AC120" s="73">
        <v>0</v>
      </c>
      <c r="AD120" s="42">
        <f t="shared" si="71"/>
        <v>7455.3099999999995</v>
      </c>
      <c r="AE120" s="35"/>
    </row>
    <row r="121" spans="1:31" s="1" customFormat="1" ht="22.9" customHeight="1" x14ac:dyDescent="0.25">
      <c r="A121" s="132"/>
      <c r="B121" s="100" t="s">
        <v>84</v>
      </c>
      <c r="C121" s="129"/>
      <c r="D121" s="147"/>
      <c r="E121" s="25">
        <f t="shared" si="73"/>
        <v>0</v>
      </c>
      <c r="F121" s="42">
        <v>0</v>
      </c>
      <c r="G121" s="25">
        <v>0</v>
      </c>
      <c r="H121" s="25">
        <v>0</v>
      </c>
      <c r="I121" s="25">
        <v>0</v>
      </c>
      <c r="J121" s="25">
        <f t="shared" si="67"/>
        <v>0</v>
      </c>
      <c r="K121" s="42">
        <v>0</v>
      </c>
      <c r="L121" s="42">
        <v>0</v>
      </c>
      <c r="M121" s="42">
        <v>0</v>
      </c>
      <c r="N121" s="42">
        <v>0</v>
      </c>
      <c r="O121" s="25">
        <f t="shared" si="68"/>
        <v>0</v>
      </c>
      <c r="P121" s="73">
        <v>0</v>
      </c>
      <c r="Q121" s="73">
        <v>0</v>
      </c>
      <c r="R121" s="73">
        <v>0</v>
      </c>
      <c r="S121" s="73">
        <v>0</v>
      </c>
      <c r="T121" s="25">
        <f t="shared" si="69"/>
        <v>0</v>
      </c>
      <c r="U121" s="73">
        <v>0</v>
      </c>
      <c r="V121" s="73">
        <v>0</v>
      </c>
      <c r="W121" s="73">
        <v>0</v>
      </c>
      <c r="X121" s="73">
        <v>0</v>
      </c>
      <c r="Y121" s="25">
        <f t="shared" si="70"/>
        <v>0</v>
      </c>
      <c r="Z121" s="73">
        <v>0</v>
      </c>
      <c r="AA121" s="73">
        <v>0</v>
      </c>
      <c r="AB121" s="73">
        <v>0</v>
      </c>
      <c r="AC121" s="73">
        <v>0</v>
      </c>
      <c r="AD121" s="42">
        <f t="shared" si="71"/>
        <v>0</v>
      </c>
      <c r="AE121" s="35"/>
    </row>
    <row r="122" spans="1:31" s="1" customFormat="1" ht="20.45" customHeight="1" x14ac:dyDescent="0.25">
      <c r="A122" s="132"/>
      <c r="B122" s="100" t="s">
        <v>259</v>
      </c>
      <c r="C122" s="129"/>
      <c r="D122" s="147"/>
      <c r="E122" s="25">
        <f t="shared" si="73"/>
        <v>532.70000000000005</v>
      </c>
      <c r="F122" s="42">
        <v>532.70000000000005</v>
      </c>
      <c r="G122" s="25">
        <v>0</v>
      </c>
      <c r="H122" s="25">
        <v>0</v>
      </c>
      <c r="I122" s="25">
        <v>0</v>
      </c>
      <c r="J122" s="25">
        <f t="shared" si="67"/>
        <v>0</v>
      </c>
      <c r="K122" s="42">
        <v>0</v>
      </c>
      <c r="L122" s="42">
        <v>0</v>
      </c>
      <c r="M122" s="42">
        <v>0</v>
      </c>
      <c r="N122" s="42">
        <v>0</v>
      </c>
      <c r="O122" s="25">
        <f t="shared" si="68"/>
        <v>0</v>
      </c>
      <c r="P122" s="73">
        <v>0</v>
      </c>
      <c r="Q122" s="73">
        <v>0</v>
      </c>
      <c r="R122" s="73">
        <v>0</v>
      </c>
      <c r="S122" s="73">
        <v>0</v>
      </c>
      <c r="T122" s="25">
        <f t="shared" si="69"/>
        <v>0</v>
      </c>
      <c r="U122" s="73">
        <v>0</v>
      </c>
      <c r="V122" s="73">
        <v>0</v>
      </c>
      <c r="W122" s="73">
        <v>0</v>
      </c>
      <c r="X122" s="73">
        <v>0</v>
      </c>
      <c r="Y122" s="25">
        <f t="shared" si="70"/>
        <v>0</v>
      </c>
      <c r="Z122" s="73">
        <v>0</v>
      </c>
      <c r="AA122" s="73">
        <v>0</v>
      </c>
      <c r="AB122" s="73">
        <v>0</v>
      </c>
      <c r="AC122" s="73">
        <v>0</v>
      </c>
      <c r="AD122" s="42">
        <f t="shared" si="71"/>
        <v>532.70000000000005</v>
      </c>
      <c r="AE122" s="35"/>
    </row>
    <row r="123" spans="1:31" s="1" customFormat="1" ht="22.9" customHeight="1" x14ac:dyDescent="0.25">
      <c r="A123" s="132"/>
      <c r="B123" s="100" t="s">
        <v>105</v>
      </c>
      <c r="C123" s="129"/>
      <c r="D123" s="147"/>
      <c r="E123" s="25">
        <f t="shared" si="73"/>
        <v>0</v>
      </c>
      <c r="F123" s="25">
        <v>0</v>
      </c>
      <c r="G123" s="25">
        <v>0</v>
      </c>
      <c r="H123" s="25">
        <v>0</v>
      </c>
      <c r="I123" s="25">
        <v>0</v>
      </c>
      <c r="J123" s="25">
        <f t="shared" si="67"/>
        <v>0</v>
      </c>
      <c r="K123" s="42">
        <v>0</v>
      </c>
      <c r="L123" s="42">
        <v>0</v>
      </c>
      <c r="M123" s="42">
        <v>0</v>
      </c>
      <c r="N123" s="42">
        <v>0</v>
      </c>
      <c r="O123" s="25">
        <f t="shared" si="68"/>
        <v>0</v>
      </c>
      <c r="P123" s="73">
        <v>0</v>
      </c>
      <c r="Q123" s="73">
        <v>0</v>
      </c>
      <c r="R123" s="73">
        <v>0</v>
      </c>
      <c r="S123" s="73">
        <v>0</v>
      </c>
      <c r="T123" s="25">
        <f t="shared" si="69"/>
        <v>0</v>
      </c>
      <c r="U123" s="73">
        <v>0</v>
      </c>
      <c r="V123" s="73">
        <v>0</v>
      </c>
      <c r="W123" s="73">
        <v>0</v>
      </c>
      <c r="X123" s="73">
        <v>0</v>
      </c>
      <c r="Y123" s="25">
        <f t="shared" si="70"/>
        <v>0</v>
      </c>
      <c r="Z123" s="73">
        <v>0</v>
      </c>
      <c r="AA123" s="73">
        <v>0</v>
      </c>
      <c r="AB123" s="73">
        <v>0</v>
      </c>
      <c r="AC123" s="73">
        <v>0</v>
      </c>
      <c r="AD123" s="42">
        <f t="shared" si="71"/>
        <v>0</v>
      </c>
      <c r="AE123" s="35"/>
    </row>
    <row r="124" spans="1:31" s="1" customFormat="1" ht="24" customHeight="1" x14ac:dyDescent="0.25">
      <c r="A124" s="132"/>
      <c r="B124" s="100" t="s">
        <v>106</v>
      </c>
      <c r="C124" s="129"/>
      <c r="D124" s="147"/>
      <c r="E124" s="25">
        <f t="shared" si="73"/>
        <v>0</v>
      </c>
      <c r="F124" s="25">
        <v>0</v>
      </c>
      <c r="G124" s="25">
        <v>0</v>
      </c>
      <c r="H124" s="25">
        <v>0</v>
      </c>
      <c r="I124" s="25">
        <v>0</v>
      </c>
      <c r="J124" s="25">
        <f t="shared" si="67"/>
        <v>0</v>
      </c>
      <c r="K124" s="42">
        <v>0</v>
      </c>
      <c r="L124" s="42">
        <v>0</v>
      </c>
      <c r="M124" s="42">
        <v>0</v>
      </c>
      <c r="N124" s="42">
        <v>0</v>
      </c>
      <c r="O124" s="26">
        <f t="shared" si="68"/>
        <v>378.69</v>
      </c>
      <c r="P124" s="74">
        <f>50.12+328.57</f>
        <v>378.69</v>
      </c>
      <c r="Q124" s="73">
        <v>0</v>
      </c>
      <c r="R124" s="73">
        <v>0</v>
      </c>
      <c r="S124" s="73">
        <v>0</v>
      </c>
      <c r="T124" s="25">
        <f t="shared" si="69"/>
        <v>290.77999999999997</v>
      </c>
      <c r="U124" s="73">
        <f>500-209.22</f>
        <v>290.77999999999997</v>
      </c>
      <c r="V124" s="73">
        <v>0</v>
      </c>
      <c r="W124" s="73">
        <v>0</v>
      </c>
      <c r="X124" s="73">
        <v>0</v>
      </c>
      <c r="Y124" s="25">
        <f t="shared" si="70"/>
        <v>0</v>
      </c>
      <c r="Z124" s="73">
        <v>0</v>
      </c>
      <c r="AA124" s="73">
        <v>0</v>
      </c>
      <c r="AB124" s="73">
        <v>0</v>
      </c>
      <c r="AC124" s="73">
        <v>0</v>
      </c>
      <c r="AD124" s="43">
        <f t="shared" si="71"/>
        <v>669.47</v>
      </c>
      <c r="AE124" s="35"/>
    </row>
    <row r="125" spans="1:31" s="1" customFormat="1" ht="17.45" customHeight="1" x14ac:dyDescent="0.25">
      <c r="A125" s="132"/>
      <c r="B125" s="100" t="s">
        <v>107</v>
      </c>
      <c r="C125" s="129"/>
      <c r="D125" s="147"/>
      <c r="E125" s="25">
        <f t="shared" si="73"/>
        <v>1256.5</v>
      </c>
      <c r="F125" s="25">
        <v>1256.5</v>
      </c>
      <c r="G125" s="25">
        <v>0</v>
      </c>
      <c r="H125" s="25">
        <v>0</v>
      </c>
      <c r="I125" s="25">
        <v>0</v>
      </c>
      <c r="J125" s="26">
        <f t="shared" si="67"/>
        <v>393</v>
      </c>
      <c r="K125" s="43">
        <f>874-481</f>
        <v>393</v>
      </c>
      <c r="L125" s="42">
        <v>0</v>
      </c>
      <c r="M125" s="42">
        <v>0</v>
      </c>
      <c r="N125" s="42">
        <v>0</v>
      </c>
      <c r="O125" s="25">
        <f t="shared" si="68"/>
        <v>0</v>
      </c>
      <c r="P125" s="25">
        <v>0</v>
      </c>
      <c r="Q125" s="73">
        <v>0</v>
      </c>
      <c r="R125" s="73">
        <v>0</v>
      </c>
      <c r="S125" s="73">
        <v>0</v>
      </c>
      <c r="T125" s="25">
        <f t="shared" si="69"/>
        <v>0</v>
      </c>
      <c r="U125" s="25">
        <v>0</v>
      </c>
      <c r="V125" s="73">
        <v>0</v>
      </c>
      <c r="W125" s="73">
        <v>0</v>
      </c>
      <c r="X125" s="73">
        <v>0</v>
      </c>
      <c r="Y125" s="25">
        <f t="shared" si="70"/>
        <v>0</v>
      </c>
      <c r="Z125" s="42">
        <v>0</v>
      </c>
      <c r="AA125" s="73">
        <v>0</v>
      </c>
      <c r="AB125" s="73">
        <v>0</v>
      </c>
      <c r="AC125" s="73">
        <v>0</v>
      </c>
      <c r="AD125" s="42">
        <f t="shared" si="71"/>
        <v>1649.5</v>
      </c>
      <c r="AE125" s="35"/>
    </row>
    <row r="126" spans="1:31" s="1" customFormat="1" ht="26.45" customHeight="1" x14ac:dyDescent="0.25">
      <c r="A126" s="132"/>
      <c r="B126" s="100" t="s">
        <v>85</v>
      </c>
      <c r="C126" s="129"/>
      <c r="D126" s="147"/>
      <c r="E126" s="25">
        <f t="shared" si="73"/>
        <v>0</v>
      </c>
      <c r="F126" s="42">
        <v>0</v>
      </c>
      <c r="G126" s="25">
        <v>0</v>
      </c>
      <c r="H126" s="25">
        <v>0</v>
      </c>
      <c r="I126" s="25">
        <v>0</v>
      </c>
      <c r="J126" s="25">
        <f t="shared" si="67"/>
        <v>0</v>
      </c>
      <c r="K126" s="42">
        <v>0</v>
      </c>
      <c r="L126" s="42">
        <v>0</v>
      </c>
      <c r="M126" s="42">
        <v>0</v>
      </c>
      <c r="N126" s="42">
        <v>0</v>
      </c>
      <c r="O126" s="25">
        <f t="shared" si="68"/>
        <v>1000.0000000000002</v>
      </c>
      <c r="P126" s="42">
        <f>1668-5.6-328.57-333.83</f>
        <v>1000.0000000000002</v>
      </c>
      <c r="Q126" s="42">
        <v>0</v>
      </c>
      <c r="R126" s="42">
        <v>0</v>
      </c>
      <c r="S126" s="42">
        <v>0</v>
      </c>
      <c r="T126" s="25">
        <f t="shared" si="69"/>
        <v>0</v>
      </c>
      <c r="U126" s="42">
        <v>0</v>
      </c>
      <c r="V126" s="42">
        <v>0</v>
      </c>
      <c r="W126" s="42">
        <v>0</v>
      </c>
      <c r="X126" s="42">
        <v>0</v>
      </c>
      <c r="Y126" s="25">
        <f t="shared" si="70"/>
        <v>0</v>
      </c>
      <c r="Z126" s="42">
        <v>0</v>
      </c>
      <c r="AA126" s="42">
        <v>0</v>
      </c>
      <c r="AB126" s="42">
        <v>0</v>
      </c>
      <c r="AC126" s="42">
        <v>0</v>
      </c>
      <c r="AD126" s="42">
        <f t="shared" si="71"/>
        <v>1000.0000000000002</v>
      </c>
      <c r="AE126" s="35"/>
    </row>
    <row r="127" spans="1:31" s="1" customFormat="1" ht="21.6" customHeight="1" x14ac:dyDescent="0.25">
      <c r="A127" s="132"/>
      <c r="B127" s="100" t="s">
        <v>253</v>
      </c>
      <c r="C127" s="129"/>
      <c r="D127" s="147"/>
      <c r="E127" s="25">
        <f t="shared" si="73"/>
        <v>0</v>
      </c>
      <c r="F127" s="42">
        <v>0</v>
      </c>
      <c r="G127" s="25">
        <v>0</v>
      </c>
      <c r="H127" s="25">
        <v>0</v>
      </c>
      <c r="I127" s="25">
        <v>0</v>
      </c>
      <c r="J127" s="25">
        <f t="shared" si="67"/>
        <v>0</v>
      </c>
      <c r="K127" s="42">
        <v>0</v>
      </c>
      <c r="L127" s="42">
        <v>0</v>
      </c>
      <c r="M127" s="42">
        <v>0</v>
      </c>
      <c r="N127" s="42">
        <v>0</v>
      </c>
      <c r="O127" s="25">
        <f t="shared" si="68"/>
        <v>0</v>
      </c>
      <c r="P127" s="42">
        <v>0</v>
      </c>
      <c r="Q127" s="42">
        <v>0</v>
      </c>
      <c r="R127" s="42">
        <v>0</v>
      </c>
      <c r="S127" s="42">
        <v>0</v>
      </c>
      <c r="T127" s="25">
        <f t="shared" si="69"/>
        <v>0</v>
      </c>
      <c r="U127" s="42">
        <v>0</v>
      </c>
      <c r="V127" s="42">
        <v>0</v>
      </c>
      <c r="W127" s="42">
        <v>0</v>
      </c>
      <c r="X127" s="42">
        <v>0</v>
      </c>
      <c r="Y127" s="25">
        <f t="shared" si="70"/>
        <v>0</v>
      </c>
      <c r="Z127" s="42">
        <v>0</v>
      </c>
      <c r="AA127" s="42">
        <v>0</v>
      </c>
      <c r="AB127" s="42">
        <v>0</v>
      </c>
      <c r="AC127" s="42">
        <v>0</v>
      </c>
      <c r="AD127" s="42">
        <f t="shared" si="71"/>
        <v>0</v>
      </c>
      <c r="AE127" s="35"/>
    </row>
    <row r="128" spans="1:31" s="1" customFormat="1" ht="22.9" customHeight="1" x14ac:dyDescent="0.25">
      <c r="A128" s="132"/>
      <c r="B128" s="100" t="s">
        <v>257</v>
      </c>
      <c r="C128" s="129"/>
      <c r="D128" s="147"/>
      <c r="E128" s="25">
        <f t="shared" si="73"/>
        <v>394</v>
      </c>
      <c r="F128" s="25">
        <v>394</v>
      </c>
      <c r="G128" s="25">
        <v>0</v>
      </c>
      <c r="H128" s="25">
        <v>0</v>
      </c>
      <c r="I128" s="25">
        <v>0</v>
      </c>
      <c r="J128" s="26">
        <f t="shared" si="67"/>
        <v>140</v>
      </c>
      <c r="K128" s="26">
        <v>140</v>
      </c>
      <c r="L128" s="42">
        <v>0</v>
      </c>
      <c r="M128" s="42">
        <v>0</v>
      </c>
      <c r="N128" s="42">
        <v>0</v>
      </c>
      <c r="O128" s="25">
        <f t="shared" si="68"/>
        <v>0</v>
      </c>
      <c r="P128" s="25">
        <v>0</v>
      </c>
      <c r="Q128" s="42">
        <v>0</v>
      </c>
      <c r="R128" s="42">
        <v>0</v>
      </c>
      <c r="S128" s="42">
        <v>0</v>
      </c>
      <c r="T128" s="25">
        <f t="shared" si="69"/>
        <v>209.22</v>
      </c>
      <c r="U128" s="75">
        <v>209.22</v>
      </c>
      <c r="V128" s="42">
        <v>0</v>
      </c>
      <c r="W128" s="42">
        <v>0</v>
      </c>
      <c r="X128" s="42">
        <v>0</v>
      </c>
      <c r="Y128" s="25">
        <f t="shared" si="70"/>
        <v>18026.84</v>
      </c>
      <c r="Z128" s="42">
        <f>1499-1045+1499</f>
        <v>1953</v>
      </c>
      <c r="AA128" s="42">
        <v>5786.58</v>
      </c>
      <c r="AB128" s="42">
        <v>10287.26</v>
      </c>
      <c r="AC128" s="42">
        <v>0</v>
      </c>
      <c r="AD128" s="42">
        <f t="shared" si="71"/>
        <v>18770.060000000001</v>
      </c>
      <c r="AE128" s="35"/>
    </row>
    <row r="129" spans="1:31" s="1" customFormat="1" ht="37.5" customHeight="1" x14ac:dyDescent="0.25">
      <c r="A129" s="132"/>
      <c r="B129" s="100" t="s">
        <v>258</v>
      </c>
      <c r="C129" s="129"/>
      <c r="D129" s="147"/>
      <c r="E129" s="25">
        <f t="shared" si="73"/>
        <v>0</v>
      </c>
      <c r="F129" s="42">
        <v>0</v>
      </c>
      <c r="G129" s="25">
        <v>0</v>
      </c>
      <c r="H129" s="25">
        <v>0</v>
      </c>
      <c r="I129" s="25">
        <v>0</v>
      </c>
      <c r="J129" s="25">
        <f t="shared" si="67"/>
        <v>0</v>
      </c>
      <c r="K129" s="42">
        <v>0</v>
      </c>
      <c r="L129" s="42">
        <v>0</v>
      </c>
      <c r="M129" s="42">
        <v>0</v>
      </c>
      <c r="N129" s="42">
        <v>0</v>
      </c>
      <c r="O129" s="25">
        <f t="shared" si="68"/>
        <v>0</v>
      </c>
      <c r="P129" s="25">
        <v>0</v>
      </c>
      <c r="Q129" s="42">
        <v>0</v>
      </c>
      <c r="R129" s="42">
        <v>0</v>
      </c>
      <c r="S129" s="42">
        <v>0</v>
      </c>
      <c r="T129" s="25">
        <f t="shared" si="69"/>
        <v>586</v>
      </c>
      <c r="U129" s="25">
        <v>586</v>
      </c>
      <c r="V129" s="42">
        <v>0</v>
      </c>
      <c r="W129" s="42">
        <v>0</v>
      </c>
      <c r="X129" s="42">
        <v>0</v>
      </c>
      <c r="Y129" s="25">
        <f t="shared" si="70"/>
        <v>0</v>
      </c>
      <c r="Z129" s="42">
        <v>0</v>
      </c>
      <c r="AA129" s="42">
        <v>0</v>
      </c>
      <c r="AB129" s="42">
        <v>0</v>
      </c>
      <c r="AC129" s="42">
        <v>0</v>
      </c>
      <c r="AD129" s="42">
        <f t="shared" si="71"/>
        <v>586</v>
      </c>
      <c r="AE129" s="35"/>
    </row>
    <row r="130" spans="1:31" s="1" customFormat="1" ht="21.6" customHeight="1" x14ac:dyDescent="0.25">
      <c r="A130" s="132"/>
      <c r="B130" s="100" t="s">
        <v>254</v>
      </c>
      <c r="C130" s="129"/>
      <c r="D130" s="147"/>
      <c r="E130" s="25">
        <f t="shared" si="73"/>
        <v>0</v>
      </c>
      <c r="F130" s="42">
        <v>0</v>
      </c>
      <c r="G130" s="25">
        <v>0</v>
      </c>
      <c r="H130" s="25">
        <v>0</v>
      </c>
      <c r="I130" s="25">
        <v>0</v>
      </c>
      <c r="J130" s="25">
        <f t="shared" si="67"/>
        <v>0</v>
      </c>
      <c r="K130" s="42">
        <v>0</v>
      </c>
      <c r="L130" s="42">
        <v>0</v>
      </c>
      <c r="M130" s="42">
        <v>0</v>
      </c>
      <c r="N130" s="42">
        <v>0</v>
      </c>
      <c r="O130" s="25">
        <f t="shared" si="68"/>
        <v>0</v>
      </c>
      <c r="P130" s="25">
        <v>0</v>
      </c>
      <c r="Q130" s="42">
        <v>0</v>
      </c>
      <c r="R130" s="42">
        <v>0</v>
      </c>
      <c r="S130" s="42">
        <v>0</v>
      </c>
      <c r="T130" s="25">
        <f t="shared" si="69"/>
        <v>0</v>
      </c>
      <c r="U130" s="25">
        <v>0</v>
      </c>
      <c r="V130" s="42">
        <v>0</v>
      </c>
      <c r="W130" s="42">
        <v>0</v>
      </c>
      <c r="X130" s="42">
        <v>0</v>
      </c>
      <c r="Y130" s="25">
        <f t="shared" si="70"/>
        <v>0</v>
      </c>
      <c r="Z130" s="42">
        <v>0</v>
      </c>
      <c r="AA130" s="42">
        <v>0</v>
      </c>
      <c r="AB130" s="42">
        <v>0</v>
      </c>
      <c r="AC130" s="42">
        <v>0</v>
      </c>
      <c r="AD130" s="42">
        <f t="shared" si="71"/>
        <v>0</v>
      </c>
      <c r="AE130" s="35"/>
    </row>
    <row r="131" spans="1:31" s="1" customFormat="1" ht="20.45" customHeight="1" x14ac:dyDescent="0.25">
      <c r="A131" s="132"/>
      <c r="B131" s="100" t="s">
        <v>255</v>
      </c>
      <c r="C131" s="129"/>
      <c r="D131" s="147"/>
      <c r="E131" s="25">
        <f t="shared" si="73"/>
        <v>0</v>
      </c>
      <c r="F131" s="42">
        <v>0</v>
      </c>
      <c r="G131" s="25">
        <v>0</v>
      </c>
      <c r="H131" s="25">
        <v>0</v>
      </c>
      <c r="I131" s="25">
        <v>0</v>
      </c>
      <c r="J131" s="25">
        <f t="shared" si="67"/>
        <v>0</v>
      </c>
      <c r="K131" s="42">
        <v>0</v>
      </c>
      <c r="L131" s="42">
        <v>0</v>
      </c>
      <c r="M131" s="42">
        <v>0</v>
      </c>
      <c r="N131" s="42">
        <v>0</v>
      </c>
      <c r="O131" s="25">
        <f t="shared" si="68"/>
        <v>0</v>
      </c>
      <c r="P131" s="42">
        <v>0</v>
      </c>
      <c r="Q131" s="42">
        <v>0</v>
      </c>
      <c r="R131" s="42">
        <v>0</v>
      </c>
      <c r="S131" s="42">
        <v>0</v>
      </c>
      <c r="T131" s="25">
        <f t="shared" si="69"/>
        <v>0</v>
      </c>
      <c r="U131" s="42">
        <v>0</v>
      </c>
      <c r="V131" s="42">
        <v>0</v>
      </c>
      <c r="W131" s="42">
        <v>0</v>
      </c>
      <c r="X131" s="42">
        <v>0</v>
      </c>
      <c r="Y131" s="25">
        <f t="shared" si="70"/>
        <v>0</v>
      </c>
      <c r="Z131" s="42">
        <v>0</v>
      </c>
      <c r="AA131" s="42">
        <v>0</v>
      </c>
      <c r="AB131" s="42">
        <v>0</v>
      </c>
      <c r="AC131" s="42">
        <v>0</v>
      </c>
      <c r="AD131" s="42">
        <f t="shared" si="71"/>
        <v>0</v>
      </c>
      <c r="AE131" s="35"/>
    </row>
    <row r="132" spans="1:31" s="1" customFormat="1" ht="22.15" customHeight="1" x14ac:dyDescent="0.25">
      <c r="A132" s="132"/>
      <c r="B132" s="100" t="s">
        <v>256</v>
      </c>
      <c r="C132" s="129"/>
      <c r="D132" s="147"/>
      <c r="E132" s="25">
        <f t="shared" si="73"/>
        <v>681</v>
      </c>
      <c r="F132" s="42">
        <v>681</v>
      </c>
      <c r="G132" s="25">
        <v>0</v>
      </c>
      <c r="H132" s="25">
        <v>0</v>
      </c>
      <c r="I132" s="25">
        <v>0</v>
      </c>
      <c r="J132" s="25">
        <f t="shared" si="67"/>
        <v>0</v>
      </c>
      <c r="K132" s="42">
        <v>0</v>
      </c>
      <c r="L132" s="42">
        <v>0</v>
      </c>
      <c r="M132" s="42">
        <v>0</v>
      </c>
      <c r="N132" s="42">
        <v>0</v>
      </c>
      <c r="O132" s="25">
        <f t="shared" si="68"/>
        <v>0</v>
      </c>
      <c r="P132" s="25">
        <v>0</v>
      </c>
      <c r="Q132" s="42">
        <v>0</v>
      </c>
      <c r="R132" s="42">
        <v>0</v>
      </c>
      <c r="S132" s="42">
        <v>0</v>
      </c>
      <c r="T132" s="25">
        <f t="shared" si="69"/>
        <v>0</v>
      </c>
      <c r="U132" s="25">
        <v>0</v>
      </c>
      <c r="V132" s="42">
        <v>0</v>
      </c>
      <c r="W132" s="42">
        <v>0</v>
      </c>
      <c r="X132" s="42">
        <v>0</v>
      </c>
      <c r="Y132" s="25">
        <f t="shared" si="70"/>
        <v>0</v>
      </c>
      <c r="Z132" s="42">
        <v>0</v>
      </c>
      <c r="AA132" s="42">
        <v>0</v>
      </c>
      <c r="AB132" s="42">
        <v>0</v>
      </c>
      <c r="AC132" s="42">
        <v>0</v>
      </c>
      <c r="AD132" s="42">
        <f t="shared" si="71"/>
        <v>681</v>
      </c>
      <c r="AE132" s="35"/>
    </row>
    <row r="133" spans="1:31" s="1" customFormat="1" ht="21" customHeight="1" x14ac:dyDescent="0.25">
      <c r="A133" s="132"/>
      <c r="B133" s="100" t="s">
        <v>86</v>
      </c>
      <c r="C133" s="129"/>
      <c r="D133" s="147"/>
      <c r="E133" s="25">
        <f t="shared" si="73"/>
        <v>0</v>
      </c>
      <c r="F133" s="42">
        <v>0</v>
      </c>
      <c r="G133" s="25">
        <v>0</v>
      </c>
      <c r="H133" s="25">
        <v>0</v>
      </c>
      <c r="I133" s="25">
        <v>0</v>
      </c>
      <c r="J133" s="25">
        <f t="shared" si="67"/>
        <v>0</v>
      </c>
      <c r="K133" s="42">
        <v>0</v>
      </c>
      <c r="L133" s="42">
        <v>0</v>
      </c>
      <c r="M133" s="42">
        <v>0</v>
      </c>
      <c r="N133" s="42">
        <v>0</v>
      </c>
      <c r="O133" s="25">
        <f t="shared" si="68"/>
        <v>0</v>
      </c>
      <c r="P133" s="25">
        <v>0</v>
      </c>
      <c r="Q133" s="42">
        <v>0</v>
      </c>
      <c r="R133" s="42">
        <v>0</v>
      </c>
      <c r="S133" s="42">
        <v>0</v>
      </c>
      <c r="T133" s="94">
        <f t="shared" si="69"/>
        <v>489.87</v>
      </c>
      <c r="U133" s="94">
        <f>178+293.87+18</f>
        <v>489.87</v>
      </c>
      <c r="V133" s="42">
        <v>0</v>
      </c>
      <c r="W133" s="42">
        <v>0</v>
      </c>
      <c r="X133" s="42">
        <v>0</v>
      </c>
      <c r="Y133" s="26">
        <f t="shared" si="70"/>
        <v>1111</v>
      </c>
      <c r="Z133" s="43">
        <f>342+217+301+251</f>
        <v>1111</v>
      </c>
      <c r="AA133" s="42">
        <v>0</v>
      </c>
      <c r="AB133" s="42">
        <v>0</v>
      </c>
      <c r="AC133" s="42">
        <v>0</v>
      </c>
      <c r="AD133" s="42">
        <f t="shared" si="71"/>
        <v>1600.87</v>
      </c>
      <c r="AE133" s="35"/>
    </row>
    <row r="134" spans="1:31" s="1" customFormat="1" ht="30.75" customHeight="1" x14ac:dyDescent="0.25">
      <c r="A134" s="132"/>
      <c r="B134" s="112" t="s">
        <v>305</v>
      </c>
      <c r="C134" s="129"/>
      <c r="D134" s="147"/>
      <c r="E134" s="94">
        <f>SUM(F134:I134)</f>
        <v>0</v>
      </c>
      <c r="F134" s="94">
        <v>0</v>
      </c>
      <c r="G134" s="94">
        <v>0</v>
      </c>
      <c r="H134" s="25">
        <v>0</v>
      </c>
      <c r="I134" s="25">
        <v>0</v>
      </c>
      <c r="J134" s="26">
        <f t="shared" si="67"/>
        <v>485</v>
      </c>
      <c r="K134" s="43">
        <f>904-419</f>
        <v>485</v>
      </c>
      <c r="L134" s="42">
        <v>0</v>
      </c>
      <c r="M134" s="42">
        <v>0</v>
      </c>
      <c r="N134" s="42">
        <v>0</v>
      </c>
      <c r="O134" s="26">
        <f t="shared" si="68"/>
        <v>1732</v>
      </c>
      <c r="P134" s="76">
        <f>2236-504</f>
        <v>1732</v>
      </c>
      <c r="Q134" s="42">
        <v>0</v>
      </c>
      <c r="R134" s="42">
        <v>0</v>
      </c>
      <c r="S134" s="42">
        <v>0</v>
      </c>
      <c r="T134" s="26">
        <f t="shared" si="69"/>
        <v>533</v>
      </c>
      <c r="U134" s="26">
        <f>473+60</f>
        <v>533</v>
      </c>
      <c r="V134" s="42">
        <v>0</v>
      </c>
      <c r="W134" s="42">
        <v>0</v>
      </c>
      <c r="X134" s="42">
        <v>0</v>
      </c>
      <c r="Y134" s="25">
        <f t="shared" si="70"/>
        <v>0</v>
      </c>
      <c r="Z134" s="42">
        <v>0</v>
      </c>
      <c r="AA134" s="42">
        <v>0</v>
      </c>
      <c r="AB134" s="42">
        <v>0</v>
      </c>
      <c r="AC134" s="42">
        <v>0</v>
      </c>
      <c r="AD134" s="42">
        <f>SUM(E134,J134,O134,T134,Y134)</f>
        <v>2750</v>
      </c>
      <c r="AE134" s="35"/>
    </row>
    <row r="135" spans="1:31" s="1" customFormat="1" ht="53.25" customHeight="1" x14ac:dyDescent="0.25">
      <c r="A135" s="132"/>
      <c r="B135" s="102" t="s">
        <v>317</v>
      </c>
      <c r="C135" s="129"/>
      <c r="D135" s="147"/>
      <c r="E135" s="94">
        <f>SUM(F135:I135)</f>
        <v>2427.5</v>
      </c>
      <c r="F135" s="94">
        <v>121.3</v>
      </c>
      <c r="G135" s="94">
        <v>2306.1999999999998</v>
      </c>
      <c r="H135" s="25"/>
      <c r="I135" s="25"/>
      <c r="J135" s="26"/>
      <c r="K135" s="43"/>
      <c r="L135" s="42"/>
      <c r="M135" s="42"/>
      <c r="N135" s="42"/>
      <c r="O135" s="26"/>
      <c r="P135" s="76"/>
      <c r="Q135" s="42"/>
      <c r="R135" s="42"/>
      <c r="S135" s="42"/>
      <c r="T135" s="26"/>
      <c r="U135" s="26"/>
      <c r="V135" s="42"/>
      <c r="W135" s="42"/>
      <c r="X135" s="42"/>
      <c r="Y135" s="25"/>
      <c r="Z135" s="42"/>
      <c r="AA135" s="42"/>
      <c r="AB135" s="42"/>
      <c r="AC135" s="42"/>
      <c r="AD135" s="42">
        <f>SUM(E135,J135,O135,T135,Y135)</f>
        <v>2427.5</v>
      </c>
      <c r="AE135" s="113"/>
    </row>
    <row r="136" spans="1:31" s="1" customFormat="1" ht="20.45" customHeight="1" x14ac:dyDescent="0.25">
      <c r="A136" s="132"/>
      <c r="B136" s="100" t="s">
        <v>152</v>
      </c>
      <c r="C136" s="129"/>
      <c r="D136" s="147"/>
      <c r="E136" s="25">
        <f t="shared" si="73"/>
        <v>0</v>
      </c>
      <c r="F136" s="42">
        <v>0</v>
      </c>
      <c r="G136" s="25">
        <v>0</v>
      </c>
      <c r="H136" s="25">
        <v>0</v>
      </c>
      <c r="I136" s="25">
        <v>0</v>
      </c>
      <c r="J136" s="25">
        <f t="shared" si="67"/>
        <v>0</v>
      </c>
      <c r="K136" s="42">
        <v>0</v>
      </c>
      <c r="L136" s="42">
        <v>0</v>
      </c>
      <c r="M136" s="42">
        <v>0</v>
      </c>
      <c r="N136" s="42">
        <v>0</v>
      </c>
      <c r="O136" s="25">
        <f t="shared" si="68"/>
        <v>0</v>
      </c>
      <c r="P136" s="42">
        <v>0</v>
      </c>
      <c r="Q136" s="42">
        <v>0</v>
      </c>
      <c r="R136" s="42">
        <v>0</v>
      </c>
      <c r="S136" s="42">
        <v>0</v>
      </c>
      <c r="T136" s="94">
        <f t="shared" si="69"/>
        <v>1319.18</v>
      </c>
      <c r="U136" s="103">
        <f>589.48+729.7</f>
        <v>1319.18</v>
      </c>
      <c r="V136" s="42">
        <v>0</v>
      </c>
      <c r="W136" s="42">
        <v>0</v>
      </c>
      <c r="X136" s="42">
        <v>0</v>
      </c>
      <c r="Y136" s="25">
        <f t="shared" si="70"/>
        <v>5157</v>
      </c>
      <c r="Z136" s="42">
        <v>5157</v>
      </c>
      <c r="AA136" s="42">
        <v>0</v>
      </c>
      <c r="AB136" s="42">
        <v>0</v>
      </c>
      <c r="AC136" s="42">
        <v>0</v>
      </c>
      <c r="AD136" s="42">
        <f t="shared" si="71"/>
        <v>6476.18</v>
      </c>
      <c r="AE136" s="35"/>
    </row>
    <row r="137" spans="1:31" s="1" customFormat="1" ht="18.600000000000001" customHeight="1" x14ac:dyDescent="0.25">
      <c r="A137" s="133"/>
      <c r="B137" s="100" t="s">
        <v>109</v>
      </c>
      <c r="C137" s="130"/>
      <c r="D137" s="147"/>
      <c r="E137" s="25">
        <f>SUM(F137:I137)</f>
        <v>0</v>
      </c>
      <c r="F137" s="25">
        <v>0</v>
      </c>
      <c r="G137" s="25">
        <v>0</v>
      </c>
      <c r="H137" s="25">
        <v>0</v>
      </c>
      <c r="I137" s="25">
        <v>0</v>
      </c>
      <c r="J137" s="26">
        <f>SUM(K137:N137)</f>
        <v>1192</v>
      </c>
      <c r="K137" s="43">
        <f>1341-149</f>
        <v>1192</v>
      </c>
      <c r="L137" s="42">
        <v>0</v>
      </c>
      <c r="M137" s="42">
        <v>0</v>
      </c>
      <c r="N137" s="42">
        <v>0</v>
      </c>
      <c r="O137" s="25">
        <f>SUM(P137:S137)</f>
        <v>0</v>
      </c>
      <c r="P137" s="73">
        <v>0</v>
      </c>
      <c r="Q137" s="73">
        <v>0</v>
      </c>
      <c r="R137" s="73">
        <v>0</v>
      </c>
      <c r="S137" s="73">
        <v>0</v>
      </c>
      <c r="T137" s="25">
        <f>SUM(U137:X137)</f>
        <v>0</v>
      </c>
      <c r="U137" s="73">
        <v>0</v>
      </c>
      <c r="V137" s="73">
        <v>0</v>
      </c>
      <c r="W137" s="73">
        <v>0</v>
      </c>
      <c r="X137" s="73">
        <v>0</v>
      </c>
      <c r="Y137" s="25">
        <f>SUM(Z137:AC137)</f>
        <v>0</v>
      </c>
      <c r="Z137" s="73">
        <v>0</v>
      </c>
      <c r="AA137" s="73">
        <v>0</v>
      </c>
      <c r="AB137" s="73">
        <v>0</v>
      </c>
      <c r="AC137" s="73">
        <v>0</v>
      </c>
      <c r="AD137" s="42">
        <f t="shared" si="71"/>
        <v>1192</v>
      </c>
      <c r="AE137" s="35"/>
    </row>
    <row r="138" spans="1:31" s="1" customFormat="1" ht="76.5" customHeight="1" x14ac:dyDescent="0.25">
      <c r="A138" s="77" t="s">
        <v>70</v>
      </c>
      <c r="B138" s="100" t="s">
        <v>122</v>
      </c>
      <c r="C138" s="78" t="s">
        <v>227</v>
      </c>
      <c r="D138" s="24" t="s">
        <v>231</v>
      </c>
      <c r="E138" s="25">
        <f>SUM(F138:I138)</f>
        <v>388</v>
      </c>
      <c r="F138" s="25">
        <v>388</v>
      </c>
      <c r="G138" s="25">
        <v>0</v>
      </c>
      <c r="H138" s="25">
        <v>0</v>
      </c>
      <c r="I138" s="25">
        <v>0</v>
      </c>
      <c r="J138" s="25">
        <v>0</v>
      </c>
      <c r="K138" s="25">
        <v>0</v>
      </c>
      <c r="L138" s="25">
        <v>0</v>
      </c>
      <c r="M138" s="25">
        <v>0</v>
      </c>
      <c r="N138" s="25">
        <v>0</v>
      </c>
      <c r="O138" s="26">
        <v>77.010000000000005</v>
      </c>
      <c r="P138" s="26">
        <v>77.010000000000005</v>
      </c>
      <c r="Q138" s="25">
        <v>0</v>
      </c>
      <c r="R138" s="25">
        <v>0</v>
      </c>
      <c r="S138" s="25">
        <v>0</v>
      </c>
      <c r="T138" s="25">
        <v>0</v>
      </c>
      <c r="U138" s="25">
        <v>0</v>
      </c>
      <c r="V138" s="25">
        <v>0</v>
      </c>
      <c r="W138" s="25">
        <v>0</v>
      </c>
      <c r="X138" s="25">
        <v>0</v>
      </c>
      <c r="Y138" s="25">
        <v>0</v>
      </c>
      <c r="Z138" s="25">
        <v>0</v>
      </c>
      <c r="AA138" s="25">
        <v>0</v>
      </c>
      <c r="AB138" s="25">
        <v>0</v>
      </c>
      <c r="AC138" s="25">
        <v>0</v>
      </c>
      <c r="AD138" s="42">
        <f t="shared" si="71"/>
        <v>465.01</v>
      </c>
      <c r="AE138" s="35"/>
    </row>
    <row r="139" spans="1:31" s="1" customFormat="1" ht="131.25" customHeight="1" x14ac:dyDescent="0.25">
      <c r="A139" s="125" t="s">
        <v>71</v>
      </c>
      <c r="B139" s="102" t="s">
        <v>299</v>
      </c>
      <c r="C139" s="125" t="s">
        <v>93</v>
      </c>
      <c r="D139" s="146" t="s">
        <v>251</v>
      </c>
      <c r="E139" s="25"/>
      <c r="F139" s="41"/>
      <c r="G139" s="25"/>
      <c r="H139" s="25"/>
      <c r="I139" s="25"/>
      <c r="J139" s="25"/>
      <c r="K139" s="25"/>
      <c r="L139" s="42"/>
      <c r="M139" s="42"/>
      <c r="N139" s="42"/>
      <c r="O139" s="25"/>
      <c r="P139" s="42"/>
      <c r="Q139" s="42"/>
      <c r="R139" s="42"/>
      <c r="S139" s="42"/>
      <c r="T139" s="25"/>
      <c r="U139" s="42"/>
      <c r="V139" s="42"/>
      <c r="W139" s="42"/>
      <c r="X139" s="42"/>
      <c r="Y139" s="25"/>
      <c r="Z139" s="42"/>
      <c r="AA139" s="42"/>
      <c r="AB139" s="42"/>
      <c r="AC139" s="42"/>
      <c r="AD139" s="42">
        <f t="shared" si="71"/>
        <v>0</v>
      </c>
      <c r="AE139" s="35"/>
    </row>
    <row r="140" spans="1:31" s="1" customFormat="1" ht="22.15" customHeight="1" x14ac:dyDescent="0.25">
      <c r="A140" s="129"/>
      <c r="B140" s="29" t="s">
        <v>87</v>
      </c>
      <c r="C140" s="129"/>
      <c r="D140" s="147"/>
      <c r="E140" s="25">
        <f>SUM(F140:I140)</f>
        <v>0</v>
      </c>
      <c r="F140" s="25">
        <v>0</v>
      </c>
      <c r="G140" s="25">
        <v>0</v>
      </c>
      <c r="H140" s="25">
        <v>0</v>
      </c>
      <c r="I140" s="25">
        <v>0</v>
      </c>
      <c r="J140" s="25">
        <f t="shared" si="67"/>
        <v>0</v>
      </c>
      <c r="K140" s="42">
        <v>0</v>
      </c>
      <c r="L140" s="42">
        <v>0</v>
      </c>
      <c r="M140" s="42">
        <v>0</v>
      </c>
      <c r="N140" s="42">
        <v>0</v>
      </c>
      <c r="O140" s="25">
        <f t="shared" si="68"/>
        <v>0</v>
      </c>
      <c r="P140" s="42">
        <v>0</v>
      </c>
      <c r="Q140" s="42">
        <v>0</v>
      </c>
      <c r="R140" s="42">
        <v>0</v>
      </c>
      <c r="S140" s="42">
        <v>0</v>
      </c>
      <c r="T140" s="105">
        <f t="shared" si="69"/>
        <v>468</v>
      </c>
      <c r="U140" s="106">
        <f>351+117</f>
        <v>468</v>
      </c>
      <c r="V140" s="42">
        <v>0</v>
      </c>
      <c r="W140" s="42">
        <v>0</v>
      </c>
      <c r="X140" s="42">
        <v>0</v>
      </c>
      <c r="Y140" s="26">
        <f t="shared" si="70"/>
        <v>843</v>
      </c>
      <c r="Z140" s="43">
        <f>210+633</f>
        <v>843</v>
      </c>
      <c r="AA140" s="42">
        <v>0</v>
      </c>
      <c r="AB140" s="42">
        <v>0</v>
      </c>
      <c r="AC140" s="42">
        <v>0</v>
      </c>
      <c r="AD140" s="42">
        <f t="shared" si="71"/>
        <v>1311</v>
      </c>
      <c r="AE140" s="35"/>
    </row>
    <row r="141" spans="1:31" s="1" customFormat="1" ht="18" customHeight="1" x14ac:dyDescent="0.25">
      <c r="A141" s="130"/>
      <c r="B141" s="29" t="s">
        <v>92</v>
      </c>
      <c r="C141" s="130"/>
      <c r="D141" s="148"/>
      <c r="E141" s="25">
        <f>SUM(F141:I141)</f>
        <v>0</v>
      </c>
      <c r="F141" s="25">
        <v>0</v>
      </c>
      <c r="G141" s="25">
        <v>0</v>
      </c>
      <c r="H141" s="25">
        <v>0</v>
      </c>
      <c r="I141" s="25">
        <v>0</v>
      </c>
      <c r="J141" s="25">
        <f t="shared" si="67"/>
        <v>0</v>
      </c>
      <c r="K141" s="25">
        <v>0</v>
      </c>
      <c r="L141" s="42">
        <v>0</v>
      </c>
      <c r="M141" s="42">
        <v>0</v>
      </c>
      <c r="N141" s="42">
        <v>0</v>
      </c>
      <c r="O141" s="25">
        <f t="shared" si="68"/>
        <v>0</v>
      </c>
      <c r="P141" s="42">
        <v>0</v>
      </c>
      <c r="Q141" s="42">
        <v>0</v>
      </c>
      <c r="R141" s="42">
        <v>0</v>
      </c>
      <c r="S141" s="42">
        <v>0</v>
      </c>
      <c r="T141" s="105">
        <f t="shared" si="69"/>
        <v>1004.0129999999999</v>
      </c>
      <c r="U141" s="106">
        <f>399+355.013+250</f>
        <v>1004.0129999999999</v>
      </c>
      <c r="V141" s="42">
        <v>0</v>
      </c>
      <c r="W141" s="42">
        <v>0</v>
      </c>
      <c r="X141" s="42">
        <v>0</v>
      </c>
      <c r="Y141" s="25">
        <f t="shared" si="70"/>
        <v>0</v>
      </c>
      <c r="Z141" s="42">
        <v>0</v>
      </c>
      <c r="AA141" s="42">
        <v>0</v>
      </c>
      <c r="AB141" s="42">
        <v>0</v>
      </c>
      <c r="AC141" s="42">
        <v>0</v>
      </c>
      <c r="AD141" s="42">
        <f t="shared" si="71"/>
        <v>1004.0129999999999</v>
      </c>
      <c r="AE141" s="35"/>
    </row>
    <row r="142" spans="1:31" s="1" customFormat="1" ht="88.5" customHeight="1" x14ac:dyDescent="0.25">
      <c r="A142" s="28" t="s">
        <v>123</v>
      </c>
      <c r="B142" s="102" t="s">
        <v>298</v>
      </c>
      <c r="C142" s="28" t="s">
        <v>94</v>
      </c>
      <c r="D142" s="24">
        <v>2020</v>
      </c>
      <c r="E142" s="25">
        <f>SUM(F142:I142)</f>
        <v>0</v>
      </c>
      <c r="F142" s="25">
        <v>0</v>
      </c>
      <c r="G142" s="25">
        <v>0</v>
      </c>
      <c r="H142" s="25">
        <v>0</v>
      </c>
      <c r="I142" s="25">
        <v>0</v>
      </c>
      <c r="J142" s="26">
        <f t="shared" si="67"/>
        <v>959</v>
      </c>
      <c r="K142" s="26">
        <f>971-12</f>
        <v>959</v>
      </c>
      <c r="L142" s="42">
        <v>0</v>
      </c>
      <c r="M142" s="42">
        <v>0</v>
      </c>
      <c r="N142" s="42">
        <v>0</v>
      </c>
      <c r="O142" s="25">
        <f>SUM(P142:S142)</f>
        <v>0</v>
      </c>
      <c r="P142" s="42">
        <v>0</v>
      </c>
      <c r="Q142" s="42">
        <v>0</v>
      </c>
      <c r="R142" s="42">
        <v>0</v>
      </c>
      <c r="S142" s="42">
        <v>0</v>
      </c>
      <c r="T142" s="94">
        <f t="shared" si="69"/>
        <v>2550</v>
      </c>
      <c r="U142" s="103">
        <v>2550</v>
      </c>
      <c r="V142" s="42">
        <v>0</v>
      </c>
      <c r="W142" s="42">
        <v>0</v>
      </c>
      <c r="X142" s="42">
        <v>0</v>
      </c>
      <c r="Y142" s="25">
        <f t="shared" si="70"/>
        <v>0</v>
      </c>
      <c r="Z142" s="42">
        <v>0</v>
      </c>
      <c r="AA142" s="42">
        <v>0</v>
      </c>
      <c r="AB142" s="42">
        <v>0</v>
      </c>
      <c r="AC142" s="42">
        <v>0</v>
      </c>
      <c r="AD142" s="42">
        <f t="shared" si="71"/>
        <v>3509</v>
      </c>
      <c r="AE142" s="35"/>
    </row>
    <row r="143" spans="1:31" s="1" customFormat="1" ht="54" customHeight="1" x14ac:dyDescent="0.25">
      <c r="A143" s="125" t="s">
        <v>143</v>
      </c>
      <c r="B143" s="29" t="s">
        <v>144</v>
      </c>
      <c r="C143" s="125" t="s">
        <v>145</v>
      </c>
      <c r="D143" s="28">
        <v>2019</v>
      </c>
      <c r="E143" s="25">
        <f>SUM(F143:I143)</f>
        <v>0</v>
      </c>
      <c r="F143" s="25">
        <v>0</v>
      </c>
      <c r="G143" s="25">
        <v>0</v>
      </c>
      <c r="H143" s="25">
        <v>0</v>
      </c>
      <c r="I143" s="25">
        <v>0</v>
      </c>
      <c r="J143" s="25">
        <v>0</v>
      </c>
      <c r="K143" s="25">
        <v>0</v>
      </c>
      <c r="L143" s="42">
        <v>0</v>
      </c>
      <c r="M143" s="42">
        <v>0</v>
      </c>
      <c r="N143" s="42">
        <v>0</v>
      </c>
      <c r="O143" s="25">
        <v>0</v>
      </c>
      <c r="P143" s="42">
        <v>0</v>
      </c>
      <c r="Q143" s="42">
        <v>0</v>
      </c>
      <c r="R143" s="42">
        <v>0</v>
      </c>
      <c r="S143" s="42">
        <v>0</v>
      </c>
      <c r="T143" s="25">
        <f t="shared" si="69"/>
        <v>0</v>
      </c>
      <c r="U143" s="42">
        <v>0</v>
      </c>
      <c r="V143" s="42">
        <v>0</v>
      </c>
      <c r="W143" s="42">
        <v>0</v>
      </c>
      <c r="X143" s="42">
        <v>0</v>
      </c>
      <c r="Y143" s="25">
        <v>0</v>
      </c>
      <c r="Z143" s="42">
        <v>0</v>
      </c>
      <c r="AA143" s="42">
        <v>0</v>
      </c>
      <c r="AB143" s="42">
        <v>0</v>
      </c>
      <c r="AC143" s="42">
        <v>0</v>
      </c>
      <c r="AD143" s="42">
        <f>SUM(E143,J143,O143,T143,Y143)</f>
        <v>0</v>
      </c>
      <c r="AE143" s="35"/>
    </row>
    <row r="144" spans="1:31" s="1" customFormat="1" ht="51" customHeight="1" x14ac:dyDescent="0.25">
      <c r="A144" s="128"/>
      <c r="B144" s="29" t="s">
        <v>285</v>
      </c>
      <c r="C144" s="128"/>
      <c r="D144" s="28">
        <v>2019</v>
      </c>
      <c r="E144" s="25">
        <f>SUM(F144:I144)</f>
        <v>10370.6</v>
      </c>
      <c r="F144" s="25">
        <v>0</v>
      </c>
      <c r="G144" s="25">
        <v>10370.6</v>
      </c>
      <c r="H144" s="25">
        <v>0</v>
      </c>
      <c r="I144" s="25">
        <v>0</v>
      </c>
      <c r="J144" s="25">
        <v>0</v>
      </c>
      <c r="K144" s="25">
        <v>0</v>
      </c>
      <c r="L144" s="42">
        <v>0</v>
      </c>
      <c r="M144" s="42">
        <v>0</v>
      </c>
      <c r="N144" s="42">
        <v>0</v>
      </c>
      <c r="O144" s="25">
        <v>0</v>
      </c>
      <c r="P144" s="42">
        <v>0</v>
      </c>
      <c r="Q144" s="42">
        <v>0</v>
      </c>
      <c r="R144" s="42">
        <v>0</v>
      </c>
      <c r="S144" s="42">
        <v>0</v>
      </c>
      <c r="T144" s="25">
        <v>0</v>
      </c>
      <c r="U144" s="42">
        <v>0</v>
      </c>
      <c r="V144" s="42">
        <v>0</v>
      </c>
      <c r="W144" s="42">
        <v>0</v>
      </c>
      <c r="X144" s="42">
        <v>0</v>
      </c>
      <c r="Y144" s="25">
        <v>0</v>
      </c>
      <c r="Z144" s="42">
        <v>0</v>
      </c>
      <c r="AA144" s="42">
        <v>0</v>
      </c>
      <c r="AB144" s="42">
        <v>0</v>
      </c>
      <c r="AC144" s="42">
        <v>0</v>
      </c>
      <c r="AD144" s="42">
        <f>SUM(E144,J144,O144,T144,Y144)</f>
        <v>10370.6</v>
      </c>
      <c r="AE144" s="35"/>
    </row>
    <row r="145" spans="1:31" s="1" customFormat="1" ht="39.75" customHeight="1" x14ac:dyDescent="0.25">
      <c r="A145" s="28" t="s">
        <v>248</v>
      </c>
      <c r="B145" s="29" t="s">
        <v>249</v>
      </c>
      <c r="C145" s="28" t="s">
        <v>146</v>
      </c>
      <c r="D145" s="24">
        <v>2022</v>
      </c>
      <c r="E145" s="25">
        <v>0</v>
      </c>
      <c r="F145" s="25">
        <v>0</v>
      </c>
      <c r="G145" s="25">
        <v>0</v>
      </c>
      <c r="H145" s="25">
        <v>0</v>
      </c>
      <c r="I145" s="25">
        <v>0</v>
      </c>
      <c r="J145" s="25">
        <v>0</v>
      </c>
      <c r="K145" s="25">
        <v>0</v>
      </c>
      <c r="L145" s="42">
        <v>0</v>
      </c>
      <c r="M145" s="42">
        <v>0</v>
      </c>
      <c r="N145" s="42">
        <v>0</v>
      </c>
      <c r="O145" s="25">
        <v>0</v>
      </c>
      <c r="P145" s="42">
        <v>0</v>
      </c>
      <c r="Q145" s="42">
        <v>0</v>
      </c>
      <c r="R145" s="42">
        <v>0</v>
      </c>
      <c r="S145" s="42">
        <v>0</v>
      </c>
      <c r="T145" s="25">
        <f t="shared" si="69"/>
        <v>3645</v>
      </c>
      <c r="U145" s="42">
        <v>3645</v>
      </c>
      <c r="V145" s="42">
        <v>0</v>
      </c>
      <c r="W145" s="42">
        <v>0</v>
      </c>
      <c r="X145" s="42">
        <v>0</v>
      </c>
      <c r="Y145" s="25">
        <v>0</v>
      </c>
      <c r="Z145" s="42">
        <v>0</v>
      </c>
      <c r="AA145" s="42">
        <v>0</v>
      </c>
      <c r="AB145" s="42">
        <v>0</v>
      </c>
      <c r="AC145" s="42">
        <v>0</v>
      </c>
      <c r="AD145" s="42">
        <f>SUM(E145,J145,O145,T145,Y145)</f>
        <v>3645</v>
      </c>
      <c r="AE145" s="35"/>
    </row>
    <row r="146" spans="1:31" s="1" customFormat="1" ht="52.5" customHeight="1" x14ac:dyDescent="0.25">
      <c r="A146" s="28" t="s">
        <v>261</v>
      </c>
      <c r="B146" s="100" t="s">
        <v>263</v>
      </c>
      <c r="C146" s="97" t="s">
        <v>262</v>
      </c>
      <c r="D146" s="79">
        <v>2022.2022999999999</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124">
        <f t="shared" si="69"/>
        <v>14962</v>
      </c>
      <c r="U146" s="124">
        <f xml:space="preserve"> 15000-38</f>
        <v>14962</v>
      </c>
      <c r="V146" s="25">
        <v>0</v>
      </c>
      <c r="W146" s="25">
        <v>0</v>
      </c>
      <c r="X146" s="25">
        <v>0</v>
      </c>
      <c r="Y146" s="25">
        <v>24653</v>
      </c>
      <c r="Z146" s="25">
        <v>24653</v>
      </c>
      <c r="AA146" s="25">
        <v>0</v>
      </c>
      <c r="AB146" s="25">
        <v>0</v>
      </c>
      <c r="AC146" s="25">
        <v>0</v>
      </c>
      <c r="AD146" s="42">
        <f>SUM(T146,Y146)</f>
        <v>39615</v>
      </c>
      <c r="AE146" s="35"/>
    </row>
    <row r="147" spans="1:31" s="3" customFormat="1" ht="33" customHeight="1" x14ac:dyDescent="0.25">
      <c r="A147" s="65"/>
      <c r="B147" s="32" t="s">
        <v>139</v>
      </c>
      <c r="C147" s="32"/>
      <c r="D147" s="65"/>
      <c r="E147" s="41">
        <f>F147+G147</f>
        <v>105554.8</v>
      </c>
      <c r="F147" s="41">
        <f>SUM(F102:F142)-F104</f>
        <v>8491.2999999999993</v>
      </c>
      <c r="G147" s="41">
        <f>SUM(G102:G142)-G106</f>
        <v>97063.5</v>
      </c>
      <c r="H147" s="41">
        <f>SUM(H102:H142)-H105</f>
        <v>0</v>
      </c>
      <c r="I147" s="41">
        <f>SUM(I102:I142)-I105</f>
        <v>0</v>
      </c>
      <c r="J147" s="41">
        <f>SUM(J102:J142)</f>
        <v>6795</v>
      </c>
      <c r="K147" s="41">
        <f>SUM(K102:K146)</f>
        <v>6795</v>
      </c>
      <c r="L147" s="41">
        <f>SUM(L102:L146)</f>
        <v>0</v>
      </c>
      <c r="M147" s="41">
        <f>SUM(M102:M146)</f>
        <v>0</v>
      </c>
      <c r="N147" s="41">
        <f>SUM(N102:N146)</f>
        <v>0</v>
      </c>
      <c r="O147" s="48">
        <f>SUM(O102:O142)</f>
        <v>3187.7000000000007</v>
      </c>
      <c r="P147" s="48">
        <f>SUM(P102:P146)</f>
        <v>3187.7000000000007</v>
      </c>
      <c r="Q147" s="41">
        <f>SUM(Q102:Q146)</f>
        <v>0</v>
      </c>
      <c r="R147" s="41">
        <f>SUM(R102:R146)</f>
        <v>0</v>
      </c>
      <c r="S147" s="41">
        <f>SUM(S102:S144)</f>
        <v>0</v>
      </c>
      <c r="T147" s="96">
        <f t="shared" ref="T147:AC147" si="74">SUM(T102:T146)</f>
        <v>36679.112000000001</v>
      </c>
      <c r="U147" s="96">
        <f t="shared" si="74"/>
        <v>36679.112000000001</v>
      </c>
      <c r="V147" s="41">
        <f t="shared" si="74"/>
        <v>0</v>
      </c>
      <c r="W147" s="41">
        <f t="shared" si="74"/>
        <v>0</v>
      </c>
      <c r="X147" s="41">
        <f t="shared" si="74"/>
        <v>0</v>
      </c>
      <c r="Y147" s="41">
        <f t="shared" si="74"/>
        <v>57817.7</v>
      </c>
      <c r="Z147" s="41">
        <f t="shared" si="74"/>
        <v>41743.86</v>
      </c>
      <c r="AA147" s="41">
        <f t="shared" si="74"/>
        <v>5786.58</v>
      </c>
      <c r="AB147" s="41">
        <f t="shared" si="74"/>
        <v>10287.26</v>
      </c>
      <c r="AC147" s="41">
        <f t="shared" si="74"/>
        <v>0</v>
      </c>
      <c r="AD147" s="120">
        <f>SUM(Y147,T147,O147,J147,E147)</f>
        <v>210034.31200000001</v>
      </c>
      <c r="AE147" s="49"/>
    </row>
    <row r="148" spans="1:31" s="5" customFormat="1" ht="30.75" customHeight="1" x14ac:dyDescent="0.25">
      <c r="A148" s="23"/>
      <c r="B148" s="32" t="s">
        <v>140</v>
      </c>
      <c r="C148" s="31"/>
      <c r="D148" s="24" t="s">
        <v>44</v>
      </c>
      <c r="E148" s="25">
        <f>SUM(E106,E144)</f>
        <v>12012.9</v>
      </c>
      <c r="F148" s="25">
        <f>SUM(F106,F143)</f>
        <v>0</v>
      </c>
      <c r="G148" s="25">
        <f>SUM(G106,G144)</f>
        <v>12012.9</v>
      </c>
      <c r="H148" s="25">
        <f t="shared" ref="H148:AC148" si="75">SUM(H105,H143)</f>
        <v>0</v>
      </c>
      <c r="I148" s="25">
        <f t="shared" si="75"/>
        <v>0</v>
      </c>
      <c r="J148" s="25">
        <f t="shared" si="75"/>
        <v>0</v>
      </c>
      <c r="K148" s="25">
        <f t="shared" si="75"/>
        <v>0</v>
      </c>
      <c r="L148" s="25">
        <f t="shared" si="75"/>
        <v>0</v>
      </c>
      <c r="M148" s="25">
        <f t="shared" si="75"/>
        <v>0</v>
      </c>
      <c r="N148" s="25">
        <f t="shared" si="75"/>
        <v>0</v>
      </c>
      <c r="O148" s="25">
        <f t="shared" si="75"/>
        <v>0</v>
      </c>
      <c r="P148" s="26">
        <f t="shared" si="75"/>
        <v>0</v>
      </c>
      <c r="Q148" s="26">
        <f t="shared" si="75"/>
        <v>0</v>
      </c>
      <c r="R148" s="26">
        <f t="shared" si="75"/>
        <v>0</v>
      </c>
      <c r="S148" s="26">
        <f t="shared" si="75"/>
        <v>0</v>
      </c>
      <c r="T148" s="26">
        <f t="shared" si="75"/>
        <v>0</v>
      </c>
      <c r="U148" s="26">
        <f t="shared" si="75"/>
        <v>0</v>
      </c>
      <c r="V148" s="26">
        <f t="shared" si="75"/>
        <v>0</v>
      </c>
      <c r="W148" s="26">
        <f t="shared" si="75"/>
        <v>0</v>
      </c>
      <c r="X148" s="26">
        <f t="shared" si="75"/>
        <v>0</v>
      </c>
      <c r="Y148" s="26">
        <f t="shared" si="75"/>
        <v>0</v>
      </c>
      <c r="Z148" s="26">
        <f t="shared" si="75"/>
        <v>0</v>
      </c>
      <c r="AA148" s="26">
        <f t="shared" si="75"/>
        <v>0</v>
      </c>
      <c r="AB148" s="26">
        <f t="shared" si="75"/>
        <v>0</v>
      </c>
      <c r="AC148" s="26">
        <f t="shared" si="75"/>
        <v>0</v>
      </c>
      <c r="AD148" s="26">
        <f>SUM(AD106,AD144)</f>
        <v>12012.9</v>
      </c>
      <c r="AE148" s="27"/>
    </row>
    <row r="149" spans="1:31" s="7" customFormat="1" ht="36.75" customHeight="1" x14ac:dyDescent="0.25">
      <c r="A149" s="65"/>
      <c r="B149" s="80" t="s">
        <v>212</v>
      </c>
      <c r="C149" s="32"/>
      <c r="D149" s="65"/>
      <c r="E149" s="41">
        <f t="shared" ref="E149:T149" si="76">SUM(E147,E99,E79,E65,E33,E27)</f>
        <v>1144110.3</v>
      </c>
      <c r="F149" s="41">
        <f t="shared" si="76"/>
        <v>597336.29999999993</v>
      </c>
      <c r="G149" s="41">
        <f t="shared" si="76"/>
        <v>359671.6</v>
      </c>
      <c r="H149" s="41">
        <f t="shared" si="76"/>
        <v>19118.199999999997</v>
      </c>
      <c r="I149" s="41">
        <f t="shared" si="76"/>
        <v>167984.2</v>
      </c>
      <c r="J149" s="70">
        <f t="shared" si="76"/>
        <v>1173063.7</v>
      </c>
      <c r="K149" s="70">
        <f t="shared" si="76"/>
        <v>940289</v>
      </c>
      <c r="L149" s="41">
        <f t="shared" si="76"/>
        <v>77053</v>
      </c>
      <c r="M149" s="41">
        <f t="shared" si="76"/>
        <v>11434</v>
      </c>
      <c r="N149" s="41">
        <f t="shared" si="76"/>
        <v>144287.70000000001</v>
      </c>
      <c r="O149" s="48">
        <f t="shared" si="76"/>
        <v>1199906.17</v>
      </c>
      <c r="P149" s="48">
        <f t="shared" si="76"/>
        <v>983803.16999999993</v>
      </c>
      <c r="Q149" s="48">
        <f t="shared" si="76"/>
        <v>23943.45</v>
      </c>
      <c r="R149" s="48">
        <f t="shared" si="76"/>
        <v>18016.55</v>
      </c>
      <c r="S149" s="48">
        <f t="shared" si="76"/>
        <v>174143</v>
      </c>
      <c r="T149" s="96">
        <f t="shared" si="76"/>
        <v>1235121.0629100001</v>
      </c>
      <c r="U149" s="96">
        <f>SUM(U147,U99,U79,U65,U33,U27)+0.45</f>
        <v>1024517.32999</v>
      </c>
      <c r="V149" s="96">
        <f>SUM(V147,V99,V79,V65,V33,V27)+0.52</f>
        <v>11632.872920000002</v>
      </c>
      <c r="W149" s="41">
        <f t="shared" ref="W149:AD149" si="77">SUM(W147,W99,W79,W65,W33,W27)</f>
        <v>17654.259999999998</v>
      </c>
      <c r="X149" s="41">
        <f t="shared" si="77"/>
        <v>181317.57</v>
      </c>
      <c r="Y149" s="41">
        <f t="shared" si="77"/>
        <v>1148057.6081399999</v>
      </c>
      <c r="Z149" s="41">
        <f t="shared" si="77"/>
        <v>959506.55813999998</v>
      </c>
      <c r="AA149" s="41">
        <f t="shared" si="77"/>
        <v>9236.98</v>
      </c>
      <c r="AB149" s="41">
        <f t="shared" si="77"/>
        <v>18736.07</v>
      </c>
      <c r="AC149" s="41">
        <f t="shared" si="77"/>
        <v>160578</v>
      </c>
      <c r="AD149" s="122">
        <f t="shared" si="77"/>
        <v>5900258.8410499999</v>
      </c>
      <c r="AE149" s="49"/>
    </row>
    <row r="150" spans="1:31" s="3" customFormat="1" ht="34.9" customHeight="1" x14ac:dyDescent="0.25">
      <c r="A150" s="65"/>
      <c r="B150" s="45" t="s">
        <v>213</v>
      </c>
      <c r="C150" s="32"/>
      <c r="D150" s="65"/>
      <c r="E150" s="41">
        <f>E149-E42-E55-E57-E40</f>
        <v>1128421.3</v>
      </c>
      <c r="F150" s="41">
        <f>F149-F42-F55-F57-F40</f>
        <v>594900.6</v>
      </c>
      <c r="G150" s="41">
        <f>G149-G42-G55-G57-G41</f>
        <v>346418.3</v>
      </c>
      <c r="H150" s="41">
        <f t="shared" ref="H150:N150" si="78">H149-H42-H55-H56-H40</f>
        <v>19118.199999999997</v>
      </c>
      <c r="I150" s="41">
        <f t="shared" si="78"/>
        <v>167984.2</v>
      </c>
      <c r="J150" s="41">
        <f t="shared" si="78"/>
        <v>1156831.7</v>
      </c>
      <c r="K150" s="41">
        <f t="shared" si="78"/>
        <v>924057</v>
      </c>
      <c r="L150" s="41">
        <f t="shared" si="78"/>
        <v>77053</v>
      </c>
      <c r="M150" s="41">
        <f t="shared" si="78"/>
        <v>11434</v>
      </c>
      <c r="N150" s="41">
        <f t="shared" si="78"/>
        <v>144287.70000000001</v>
      </c>
      <c r="O150" s="48">
        <f>O149-O42-O55-O56</f>
        <v>1199906.17</v>
      </c>
      <c r="P150" s="48">
        <f>P149-P42-P55-P56</f>
        <v>983803.16999999993</v>
      </c>
      <c r="Q150" s="48">
        <f>Q149-Q42-Q55-Q56</f>
        <v>23943.45</v>
      </c>
      <c r="R150" s="48">
        <f>R149-R42-R55-R56</f>
        <v>18016.55</v>
      </c>
      <c r="S150" s="48">
        <f>S149-S42-S55-S56-S40</f>
        <v>174143</v>
      </c>
      <c r="T150" s="96">
        <f>T27+T33+T65+T79+T99+T147-T145</f>
        <v>1231476.0629100001</v>
      </c>
      <c r="U150" s="96">
        <f>U27+U33+U65+U79+U99+U147-U145+0.45</f>
        <v>1020872.32999</v>
      </c>
      <c r="V150" s="96">
        <f t="shared" ref="V150:AC150" si="79">V149-V42-V55-V56-V40</f>
        <v>11632.872920000002</v>
      </c>
      <c r="W150" s="41">
        <f t="shared" si="79"/>
        <v>17654.259999999998</v>
      </c>
      <c r="X150" s="41">
        <f t="shared" si="79"/>
        <v>181317.57</v>
      </c>
      <c r="Y150" s="41">
        <f t="shared" si="79"/>
        <v>1148057.6081399999</v>
      </c>
      <c r="Z150" s="41">
        <f t="shared" si="79"/>
        <v>959506.55813999998</v>
      </c>
      <c r="AA150" s="41">
        <f t="shared" si="79"/>
        <v>9236.98</v>
      </c>
      <c r="AB150" s="41">
        <f t="shared" si="79"/>
        <v>18736.07</v>
      </c>
      <c r="AC150" s="41">
        <f t="shared" si="79"/>
        <v>160578</v>
      </c>
      <c r="AD150" s="48">
        <f>AD149-AD151-AD152</f>
        <v>5864692.8410499999</v>
      </c>
      <c r="AE150" s="81">
        <f>E150+J150+O150+T150+Y150</f>
        <v>5864692.8410499999</v>
      </c>
    </row>
    <row r="151" spans="1:31" s="3" customFormat="1" ht="34.9" customHeight="1" x14ac:dyDescent="0.25">
      <c r="A151" s="65"/>
      <c r="B151" s="45" t="s">
        <v>214</v>
      </c>
      <c r="C151" s="32"/>
      <c r="D151" s="65"/>
      <c r="E151" s="41">
        <f>E42+E55+E57</f>
        <v>15689</v>
      </c>
      <c r="F151" s="41">
        <f>F42+F55+F57</f>
        <v>2435.6999999999998</v>
      </c>
      <c r="G151" s="41">
        <f>G42+G55+G57</f>
        <v>13253.3</v>
      </c>
      <c r="H151" s="41">
        <f t="shared" ref="H151:S151" si="80">H42+H55+H56</f>
        <v>0</v>
      </c>
      <c r="I151" s="41">
        <f t="shared" si="80"/>
        <v>0</v>
      </c>
      <c r="J151" s="41">
        <f t="shared" si="80"/>
        <v>2685</v>
      </c>
      <c r="K151" s="41">
        <f t="shared" si="80"/>
        <v>2685</v>
      </c>
      <c r="L151" s="41">
        <f t="shared" si="80"/>
        <v>0</v>
      </c>
      <c r="M151" s="41">
        <f t="shared" si="80"/>
        <v>0</v>
      </c>
      <c r="N151" s="41">
        <f t="shared" si="80"/>
        <v>0</v>
      </c>
      <c r="O151" s="48">
        <f t="shared" si="80"/>
        <v>0</v>
      </c>
      <c r="P151" s="48">
        <f t="shared" si="80"/>
        <v>0</v>
      </c>
      <c r="Q151" s="41">
        <f t="shared" si="80"/>
        <v>0</v>
      </c>
      <c r="R151" s="41">
        <f t="shared" si="80"/>
        <v>0</v>
      </c>
      <c r="S151" s="41">
        <f t="shared" si="80"/>
        <v>0</v>
      </c>
      <c r="T151" s="41">
        <f>U151+V151+V151+W151</f>
        <v>3645</v>
      </c>
      <c r="U151" s="41">
        <f>U145</f>
        <v>3645</v>
      </c>
      <c r="V151" s="41">
        <f t="shared" ref="V151:AC151" si="81">V42+V55+V56</f>
        <v>0</v>
      </c>
      <c r="W151" s="41">
        <f t="shared" si="81"/>
        <v>0</v>
      </c>
      <c r="X151" s="41">
        <f t="shared" si="81"/>
        <v>0</v>
      </c>
      <c r="Y151" s="41">
        <f t="shared" si="81"/>
        <v>0</v>
      </c>
      <c r="Z151" s="41">
        <f t="shared" si="81"/>
        <v>0</v>
      </c>
      <c r="AA151" s="41">
        <f t="shared" si="81"/>
        <v>0</v>
      </c>
      <c r="AB151" s="41">
        <f t="shared" si="81"/>
        <v>0</v>
      </c>
      <c r="AC151" s="41">
        <f t="shared" si="81"/>
        <v>0</v>
      </c>
      <c r="AD151" s="48">
        <f>AD42+AD55+AD56+AD57+AD145-T56</f>
        <v>22019</v>
      </c>
      <c r="AE151" s="81">
        <f>E151+J151+O151+T151+Y151</f>
        <v>22019</v>
      </c>
    </row>
    <row r="152" spans="1:31" s="3" customFormat="1" ht="34.9" customHeight="1" x14ac:dyDescent="0.25">
      <c r="A152" s="65"/>
      <c r="B152" s="45" t="s">
        <v>215</v>
      </c>
      <c r="C152" s="32"/>
      <c r="D152" s="65"/>
      <c r="E152" s="41">
        <f t="shared" ref="E152:N152" si="82">E40</f>
        <v>0</v>
      </c>
      <c r="F152" s="41">
        <f t="shared" si="82"/>
        <v>0</v>
      </c>
      <c r="G152" s="41">
        <f t="shared" si="82"/>
        <v>0</v>
      </c>
      <c r="H152" s="41">
        <f t="shared" si="82"/>
        <v>0</v>
      </c>
      <c r="I152" s="41">
        <f t="shared" si="82"/>
        <v>0</v>
      </c>
      <c r="J152" s="41">
        <f t="shared" si="82"/>
        <v>13547</v>
      </c>
      <c r="K152" s="41">
        <f t="shared" si="82"/>
        <v>13547</v>
      </c>
      <c r="L152" s="41">
        <f t="shared" si="82"/>
        <v>0</v>
      </c>
      <c r="M152" s="41">
        <f t="shared" si="82"/>
        <v>0</v>
      </c>
      <c r="N152" s="41">
        <f t="shared" si="82"/>
        <v>0</v>
      </c>
      <c r="O152" s="41">
        <f>O40-O40</f>
        <v>0</v>
      </c>
      <c r="P152" s="41">
        <f>P40-P40</f>
        <v>0</v>
      </c>
      <c r="Q152" s="41">
        <f t="shared" ref="Q152:AC152" si="83">Q40</f>
        <v>0</v>
      </c>
      <c r="R152" s="41">
        <f t="shared" si="83"/>
        <v>0</v>
      </c>
      <c r="S152" s="41">
        <f t="shared" si="83"/>
        <v>0</v>
      </c>
      <c r="T152" s="41">
        <f t="shared" si="83"/>
        <v>0</v>
      </c>
      <c r="U152" s="41">
        <f t="shared" si="83"/>
        <v>0</v>
      </c>
      <c r="V152" s="41">
        <f t="shared" si="83"/>
        <v>0</v>
      </c>
      <c r="W152" s="41">
        <f t="shared" si="83"/>
        <v>0</v>
      </c>
      <c r="X152" s="41">
        <f t="shared" si="83"/>
        <v>0</v>
      </c>
      <c r="Y152" s="41">
        <f t="shared" si="83"/>
        <v>0</v>
      </c>
      <c r="Z152" s="41">
        <f t="shared" si="83"/>
        <v>0</v>
      </c>
      <c r="AA152" s="41">
        <f t="shared" si="83"/>
        <v>0</v>
      </c>
      <c r="AB152" s="41">
        <f t="shared" si="83"/>
        <v>0</v>
      </c>
      <c r="AC152" s="41">
        <f t="shared" si="83"/>
        <v>0</v>
      </c>
      <c r="AD152" s="41">
        <f>AD40+ AD41-O156</f>
        <v>13547</v>
      </c>
      <c r="AE152" s="81">
        <f>E152+J152+O152+T152+Y152</f>
        <v>13547</v>
      </c>
    </row>
    <row r="153" spans="1:31" s="1" customFormat="1" ht="32.450000000000003" customHeight="1" x14ac:dyDescent="0.25">
      <c r="A153" s="82"/>
      <c r="B153" s="45" t="s">
        <v>141</v>
      </c>
      <c r="C153" s="82"/>
      <c r="D153" s="82"/>
      <c r="E153" s="67">
        <f>SUM(E106,E144)</f>
        <v>12012.9</v>
      </c>
      <c r="F153" s="67">
        <f>SUM(F106,F144)</f>
        <v>0</v>
      </c>
      <c r="G153" s="67">
        <f>SUM(G106,G144)</f>
        <v>12012.9</v>
      </c>
      <c r="H153" s="67">
        <f t="shared" ref="H153:N153" si="84">SUM(H105,H143)</f>
        <v>0</v>
      </c>
      <c r="I153" s="67">
        <f t="shared" si="84"/>
        <v>0</v>
      </c>
      <c r="J153" s="83">
        <f t="shared" si="84"/>
        <v>0</v>
      </c>
      <c r="K153" s="83">
        <f t="shared" si="84"/>
        <v>0</v>
      </c>
      <c r="L153" s="67">
        <f t="shared" si="84"/>
        <v>0</v>
      </c>
      <c r="M153" s="67">
        <f t="shared" si="84"/>
        <v>0</v>
      </c>
      <c r="N153" s="67">
        <f t="shared" si="84"/>
        <v>0</v>
      </c>
      <c r="O153" s="67">
        <f>O41+O61</f>
        <v>13947</v>
      </c>
      <c r="P153" s="67">
        <f>P41+P61</f>
        <v>898</v>
      </c>
      <c r="Q153" s="67">
        <f>Q41+Q61</f>
        <v>13049</v>
      </c>
      <c r="R153" s="67">
        <f>R40+R60</f>
        <v>0</v>
      </c>
      <c r="S153" s="67">
        <f>S40+S60</f>
        <v>0</v>
      </c>
      <c r="T153" s="67">
        <f>SUM(T154:T156)</f>
        <v>12272.19</v>
      </c>
      <c r="U153" s="67">
        <f>U154+U155+U156</f>
        <v>12272.19</v>
      </c>
      <c r="V153" s="67">
        <f t="shared" ref="V153:AC153" si="85">SUM(V105,V143)</f>
        <v>0</v>
      </c>
      <c r="W153" s="67">
        <f t="shared" si="85"/>
        <v>0</v>
      </c>
      <c r="X153" s="67">
        <f t="shared" si="85"/>
        <v>0</v>
      </c>
      <c r="Y153" s="67">
        <f t="shared" si="85"/>
        <v>0</v>
      </c>
      <c r="Z153" s="67">
        <f t="shared" si="85"/>
        <v>0</v>
      </c>
      <c r="AA153" s="67">
        <f t="shared" si="85"/>
        <v>0</v>
      </c>
      <c r="AB153" s="67">
        <f t="shared" si="85"/>
        <v>0</v>
      </c>
      <c r="AC153" s="67">
        <f t="shared" si="85"/>
        <v>0</v>
      </c>
      <c r="AD153" s="42">
        <f>SUM(Y153,T153,O153,J153,E153)</f>
        <v>38232.090000000004</v>
      </c>
      <c r="AE153" s="35"/>
    </row>
    <row r="154" spans="1:31" s="4" customFormat="1" ht="32.450000000000003" customHeight="1" x14ac:dyDescent="0.25">
      <c r="A154" s="84"/>
      <c r="B154" s="45" t="s">
        <v>213</v>
      </c>
      <c r="C154" s="84"/>
      <c r="D154" s="84"/>
      <c r="E154" s="67">
        <f>F154+G154+H154+I154</f>
        <v>0</v>
      </c>
      <c r="F154" s="67">
        <v>0</v>
      </c>
      <c r="G154" s="67">
        <v>0</v>
      </c>
      <c r="H154" s="67">
        <v>0</v>
      </c>
      <c r="I154" s="67">
        <v>0</v>
      </c>
      <c r="J154" s="83">
        <v>0</v>
      </c>
      <c r="K154" s="83">
        <v>0</v>
      </c>
      <c r="L154" s="67">
        <v>0</v>
      </c>
      <c r="M154" s="67">
        <v>0</v>
      </c>
      <c r="N154" s="67">
        <v>0</v>
      </c>
      <c r="O154" s="67">
        <f>P154+Q154+R154+S154</f>
        <v>13736</v>
      </c>
      <c r="P154" s="67">
        <v>687</v>
      </c>
      <c r="Q154" s="67">
        <v>13049</v>
      </c>
      <c r="R154" s="67">
        <v>0</v>
      </c>
      <c r="S154" s="67">
        <v>0</v>
      </c>
      <c r="T154" s="67">
        <v>0</v>
      </c>
      <c r="U154" s="67">
        <v>0</v>
      </c>
      <c r="V154" s="67">
        <v>0</v>
      </c>
      <c r="W154" s="67">
        <v>0</v>
      </c>
      <c r="X154" s="67">
        <v>0</v>
      </c>
      <c r="Y154" s="67">
        <v>0</v>
      </c>
      <c r="Z154" s="67">
        <v>0</v>
      </c>
      <c r="AA154" s="67">
        <v>0</v>
      </c>
      <c r="AB154" s="67">
        <v>0</v>
      </c>
      <c r="AC154" s="67">
        <v>0</v>
      </c>
      <c r="AD154" s="42">
        <f>SUM(Y154,T154,O154,J154,E154)</f>
        <v>13736</v>
      </c>
      <c r="AE154" s="30"/>
    </row>
    <row r="155" spans="1:31" s="4" customFormat="1" ht="32.450000000000003" customHeight="1" x14ac:dyDescent="0.25">
      <c r="A155" s="84"/>
      <c r="B155" s="45" t="s">
        <v>214</v>
      </c>
      <c r="C155" s="76"/>
      <c r="D155" s="84"/>
      <c r="E155" s="67">
        <f t="shared" ref="E155:E156" si="86">F155+G155+H155+I155</f>
        <v>12012.9</v>
      </c>
      <c r="F155" s="67">
        <v>0</v>
      </c>
      <c r="G155" s="67">
        <v>12012.9</v>
      </c>
      <c r="H155" s="67">
        <v>0</v>
      </c>
      <c r="I155" s="67">
        <v>0</v>
      </c>
      <c r="J155" s="83">
        <v>0</v>
      </c>
      <c r="K155" s="83">
        <v>0</v>
      </c>
      <c r="L155" s="67">
        <v>0</v>
      </c>
      <c r="M155" s="67">
        <v>0</v>
      </c>
      <c r="N155" s="67">
        <v>0</v>
      </c>
      <c r="O155" s="67">
        <f t="shared" ref="O155:O156" si="87">P155+Q155+R155+S155</f>
        <v>0</v>
      </c>
      <c r="P155" s="67">
        <v>0</v>
      </c>
      <c r="Q155" s="67">
        <v>0</v>
      </c>
      <c r="R155" s="67">
        <v>0</v>
      </c>
      <c r="S155" s="67">
        <v>0</v>
      </c>
      <c r="T155" s="67">
        <f>U155+V155+W155</f>
        <v>12272.19</v>
      </c>
      <c r="U155" s="67">
        <f>U58</f>
        <v>12272.19</v>
      </c>
      <c r="V155" s="67">
        <v>0</v>
      </c>
      <c r="W155" s="67">
        <v>0</v>
      </c>
      <c r="X155" s="67">
        <v>0</v>
      </c>
      <c r="Y155" s="67">
        <v>0</v>
      </c>
      <c r="Z155" s="67">
        <v>0</v>
      </c>
      <c r="AA155" s="67">
        <v>0</v>
      </c>
      <c r="AB155" s="67">
        <v>0</v>
      </c>
      <c r="AC155" s="67">
        <v>0</v>
      </c>
      <c r="AD155" s="42">
        <f t="shared" ref="AD155:AD156" si="88">SUM(Y155,T155,O155,J155,E155)</f>
        <v>24285.09</v>
      </c>
      <c r="AE155" s="30"/>
    </row>
    <row r="156" spans="1:31" s="4" customFormat="1" ht="32.450000000000003" customHeight="1" x14ac:dyDescent="0.25">
      <c r="A156" s="84"/>
      <c r="B156" s="45" t="s">
        <v>215</v>
      </c>
      <c r="C156" s="84"/>
      <c r="D156" s="84"/>
      <c r="E156" s="67">
        <f t="shared" si="86"/>
        <v>0</v>
      </c>
      <c r="F156" s="67">
        <v>0</v>
      </c>
      <c r="G156" s="67">
        <v>0</v>
      </c>
      <c r="H156" s="67">
        <v>0</v>
      </c>
      <c r="I156" s="67">
        <v>0</v>
      </c>
      <c r="J156" s="83">
        <v>0</v>
      </c>
      <c r="K156" s="83">
        <v>0</v>
      </c>
      <c r="L156" s="67">
        <v>0</v>
      </c>
      <c r="M156" s="67">
        <v>0</v>
      </c>
      <c r="N156" s="67">
        <v>0</v>
      </c>
      <c r="O156" s="67">
        <f t="shared" si="87"/>
        <v>211</v>
      </c>
      <c r="P156" s="67">
        <v>211</v>
      </c>
      <c r="Q156" s="67">
        <v>0</v>
      </c>
      <c r="R156" s="67">
        <v>0</v>
      </c>
      <c r="S156" s="67">
        <v>0</v>
      </c>
      <c r="T156" s="67">
        <v>0</v>
      </c>
      <c r="U156" s="67">
        <v>0</v>
      </c>
      <c r="V156" s="67">
        <v>0</v>
      </c>
      <c r="W156" s="67">
        <v>0</v>
      </c>
      <c r="X156" s="67">
        <v>0</v>
      </c>
      <c r="Y156" s="67">
        <v>0</v>
      </c>
      <c r="Z156" s="67">
        <v>0</v>
      </c>
      <c r="AA156" s="67">
        <v>0</v>
      </c>
      <c r="AB156" s="67">
        <v>0</v>
      </c>
      <c r="AC156" s="67">
        <v>0</v>
      </c>
      <c r="AD156" s="42">
        <f t="shared" si="88"/>
        <v>211</v>
      </c>
      <c r="AE156" s="30"/>
    </row>
    <row r="157" spans="1:31" ht="36" customHeight="1" x14ac:dyDescent="0.25">
      <c r="A157" s="85"/>
      <c r="B157" s="80" t="s">
        <v>142</v>
      </c>
      <c r="C157" s="67"/>
      <c r="D157" s="85"/>
      <c r="E157" s="86">
        <f t="shared" ref="E157:AC157" si="89">E149+E153</f>
        <v>1156123.2</v>
      </c>
      <c r="F157" s="86">
        <f t="shared" si="89"/>
        <v>597336.29999999993</v>
      </c>
      <c r="G157" s="86">
        <f t="shared" si="89"/>
        <v>371684.5</v>
      </c>
      <c r="H157" s="86">
        <f t="shared" si="89"/>
        <v>19118.199999999997</v>
      </c>
      <c r="I157" s="86">
        <f t="shared" si="89"/>
        <v>167984.2</v>
      </c>
      <c r="J157" s="86">
        <f t="shared" si="89"/>
        <v>1173063.7</v>
      </c>
      <c r="K157" s="86">
        <f t="shared" si="89"/>
        <v>940289</v>
      </c>
      <c r="L157" s="86">
        <f t="shared" si="89"/>
        <v>77053</v>
      </c>
      <c r="M157" s="86">
        <f t="shared" si="89"/>
        <v>11434</v>
      </c>
      <c r="N157" s="86">
        <f t="shared" si="89"/>
        <v>144287.70000000001</v>
      </c>
      <c r="O157" s="87">
        <f t="shared" si="89"/>
        <v>1213853.17</v>
      </c>
      <c r="P157" s="87">
        <f t="shared" si="89"/>
        <v>984701.16999999993</v>
      </c>
      <c r="Q157" s="87">
        <f t="shared" si="89"/>
        <v>36992.449999999997</v>
      </c>
      <c r="R157" s="87">
        <f t="shared" si="89"/>
        <v>18016.55</v>
      </c>
      <c r="S157" s="87">
        <f t="shared" si="89"/>
        <v>174143</v>
      </c>
      <c r="T157" s="104">
        <f t="shared" si="89"/>
        <v>1247393.25291</v>
      </c>
      <c r="U157" s="104">
        <f>U149+U153</f>
        <v>1036789.5199899999</v>
      </c>
      <c r="V157" s="104">
        <f>V149+V153</f>
        <v>11632.872920000002</v>
      </c>
      <c r="W157" s="104">
        <f t="shared" si="89"/>
        <v>17654.259999999998</v>
      </c>
      <c r="X157" s="121">
        <f t="shared" si="89"/>
        <v>181317.57</v>
      </c>
      <c r="Y157" s="86">
        <f>Y149+Y153</f>
        <v>1148057.6081399999</v>
      </c>
      <c r="Z157" s="86">
        <f t="shared" si="89"/>
        <v>959506.55813999998</v>
      </c>
      <c r="AA157" s="86">
        <f t="shared" si="89"/>
        <v>9236.98</v>
      </c>
      <c r="AB157" s="86">
        <f t="shared" si="89"/>
        <v>18736.07</v>
      </c>
      <c r="AC157" s="86">
        <f t="shared" si="89"/>
        <v>160578</v>
      </c>
      <c r="AD157" s="87">
        <f>AD158+AD159+AD160</f>
        <v>5938490.9310499998</v>
      </c>
    </row>
    <row r="158" spans="1:31" ht="36" customHeight="1" x14ac:dyDescent="0.25">
      <c r="A158" s="85"/>
      <c r="B158" s="45" t="s">
        <v>213</v>
      </c>
      <c r="C158" s="82"/>
      <c r="D158" s="85"/>
      <c r="E158" s="67">
        <f>E150+E154</f>
        <v>1128421.3</v>
      </c>
      <c r="F158" s="67">
        <f t="shared" ref="F158:AC158" si="90">F150+F154</f>
        <v>594900.6</v>
      </c>
      <c r="G158" s="67">
        <f t="shared" si="90"/>
        <v>346418.3</v>
      </c>
      <c r="H158" s="67">
        <f t="shared" si="90"/>
        <v>19118.199999999997</v>
      </c>
      <c r="I158" s="67">
        <f t="shared" si="90"/>
        <v>167984.2</v>
      </c>
      <c r="J158" s="67">
        <f t="shared" si="90"/>
        <v>1156831.7</v>
      </c>
      <c r="K158" s="67">
        <f t="shared" si="90"/>
        <v>924057</v>
      </c>
      <c r="L158" s="67">
        <f t="shared" si="90"/>
        <v>77053</v>
      </c>
      <c r="M158" s="67">
        <f t="shared" si="90"/>
        <v>11434</v>
      </c>
      <c r="N158" s="67">
        <f t="shared" si="90"/>
        <v>144287.70000000001</v>
      </c>
      <c r="O158" s="76">
        <f t="shared" si="90"/>
        <v>1213642.17</v>
      </c>
      <c r="P158" s="76">
        <f t="shared" si="90"/>
        <v>984490.16999999993</v>
      </c>
      <c r="Q158" s="76">
        <f t="shared" si="90"/>
        <v>36992.449999999997</v>
      </c>
      <c r="R158" s="76">
        <f t="shared" si="90"/>
        <v>18016.55</v>
      </c>
      <c r="S158" s="76">
        <f t="shared" si="90"/>
        <v>174143</v>
      </c>
      <c r="T158" s="95">
        <f t="shared" si="90"/>
        <v>1231476.0629100001</v>
      </c>
      <c r="U158" s="95">
        <f>U150+U154</f>
        <v>1020872.32999</v>
      </c>
      <c r="V158" s="95">
        <f t="shared" si="90"/>
        <v>11632.872920000002</v>
      </c>
      <c r="W158" s="95">
        <f t="shared" si="90"/>
        <v>17654.259999999998</v>
      </c>
      <c r="X158" s="95">
        <f t="shared" si="90"/>
        <v>181317.57</v>
      </c>
      <c r="Y158" s="67">
        <f t="shared" si="90"/>
        <v>1148057.6081399999</v>
      </c>
      <c r="Z158" s="67">
        <f t="shared" si="90"/>
        <v>959506.55813999998</v>
      </c>
      <c r="AA158" s="67">
        <f t="shared" si="90"/>
        <v>9236.98</v>
      </c>
      <c r="AB158" s="67">
        <f t="shared" si="90"/>
        <v>18736.07</v>
      </c>
      <c r="AC158" s="67">
        <f t="shared" si="90"/>
        <v>160578</v>
      </c>
      <c r="AD158" s="76">
        <f>AD150+AD154</f>
        <v>5878428.8410499999</v>
      </c>
      <c r="AE158" s="88">
        <f>E158+J158+O158+T158+Y158</f>
        <v>5878428.8410499999</v>
      </c>
    </row>
    <row r="159" spans="1:31" ht="30.75" customHeight="1" x14ac:dyDescent="0.25">
      <c r="A159" s="89"/>
      <c r="B159" s="45" t="s">
        <v>214</v>
      </c>
      <c r="C159" s="40"/>
      <c r="D159" s="89"/>
      <c r="E159" s="67">
        <f>E151+E155</f>
        <v>27701.9</v>
      </c>
      <c r="F159" s="67">
        <f t="shared" ref="F159:AD159" si="91">F151+F155</f>
        <v>2435.6999999999998</v>
      </c>
      <c r="G159" s="67">
        <f t="shared" si="91"/>
        <v>25266.199999999997</v>
      </c>
      <c r="H159" s="67">
        <f t="shared" si="91"/>
        <v>0</v>
      </c>
      <c r="I159" s="67">
        <f t="shared" si="91"/>
        <v>0</v>
      </c>
      <c r="J159" s="67">
        <f t="shared" si="91"/>
        <v>2685</v>
      </c>
      <c r="K159" s="67">
        <f t="shared" si="91"/>
        <v>2685</v>
      </c>
      <c r="L159" s="67">
        <f t="shared" si="91"/>
        <v>0</v>
      </c>
      <c r="M159" s="67">
        <f t="shared" si="91"/>
        <v>0</v>
      </c>
      <c r="N159" s="67">
        <f t="shared" si="91"/>
        <v>0</v>
      </c>
      <c r="O159" s="76">
        <f t="shared" si="91"/>
        <v>0</v>
      </c>
      <c r="P159" s="76">
        <f t="shared" si="91"/>
        <v>0</v>
      </c>
      <c r="Q159" s="67">
        <f t="shared" si="91"/>
        <v>0</v>
      </c>
      <c r="R159" s="67">
        <f t="shared" si="91"/>
        <v>0</v>
      </c>
      <c r="S159" s="67">
        <f t="shared" si="91"/>
        <v>0</v>
      </c>
      <c r="T159" s="67">
        <f t="shared" si="91"/>
        <v>15917.19</v>
      </c>
      <c r="U159" s="67">
        <f t="shared" si="91"/>
        <v>15917.19</v>
      </c>
      <c r="V159" s="67">
        <f t="shared" si="91"/>
        <v>0</v>
      </c>
      <c r="W159" s="67">
        <f t="shared" si="91"/>
        <v>0</v>
      </c>
      <c r="X159" s="67">
        <f t="shared" si="91"/>
        <v>0</v>
      </c>
      <c r="Y159" s="67">
        <f t="shared" si="91"/>
        <v>0</v>
      </c>
      <c r="Z159" s="67">
        <f t="shared" si="91"/>
        <v>0</v>
      </c>
      <c r="AA159" s="67">
        <f t="shared" si="91"/>
        <v>0</v>
      </c>
      <c r="AB159" s="67">
        <f t="shared" si="91"/>
        <v>0</v>
      </c>
      <c r="AC159" s="67">
        <f t="shared" si="91"/>
        <v>0</v>
      </c>
      <c r="AD159" s="76">
        <f t="shared" si="91"/>
        <v>46304.09</v>
      </c>
      <c r="AE159" s="88">
        <f>E159+J159+O159+T159+Y159</f>
        <v>46304.090000000004</v>
      </c>
    </row>
    <row r="160" spans="1:31" ht="41.25" customHeight="1" x14ac:dyDescent="0.25">
      <c r="A160" s="89"/>
      <c r="B160" s="45" t="s">
        <v>215</v>
      </c>
      <c r="C160" s="89"/>
      <c r="D160" s="89"/>
      <c r="E160" s="67">
        <f>E152+E156</f>
        <v>0</v>
      </c>
      <c r="F160" s="67">
        <f t="shared" ref="F160:AC160" si="92">F152+F156</f>
        <v>0</v>
      </c>
      <c r="G160" s="67">
        <f t="shared" si="92"/>
        <v>0</v>
      </c>
      <c r="H160" s="67">
        <f t="shared" si="92"/>
        <v>0</v>
      </c>
      <c r="I160" s="67">
        <f t="shared" si="92"/>
        <v>0</v>
      </c>
      <c r="J160" s="67">
        <f t="shared" si="92"/>
        <v>13547</v>
      </c>
      <c r="K160" s="67">
        <f t="shared" si="92"/>
        <v>13547</v>
      </c>
      <c r="L160" s="67">
        <f t="shared" si="92"/>
        <v>0</v>
      </c>
      <c r="M160" s="67">
        <f t="shared" si="92"/>
        <v>0</v>
      </c>
      <c r="N160" s="67">
        <f t="shared" si="92"/>
        <v>0</v>
      </c>
      <c r="O160" s="67">
        <f t="shared" si="92"/>
        <v>211</v>
      </c>
      <c r="P160" s="67">
        <f t="shared" si="92"/>
        <v>211</v>
      </c>
      <c r="Q160" s="67">
        <f t="shared" si="92"/>
        <v>0</v>
      </c>
      <c r="R160" s="67">
        <f t="shared" si="92"/>
        <v>0</v>
      </c>
      <c r="S160" s="67">
        <f t="shared" si="92"/>
        <v>0</v>
      </c>
      <c r="T160" s="67">
        <f t="shared" si="92"/>
        <v>0</v>
      </c>
      <c r="U160" s="67">
        <f t="shared" si="92"/>
        <v>0</v>
      </c>
      <c r="V160" s="67">
        <f t="shared" si="92"/>
        <v>0</v>
      </c>
      <c r="W160" s="67">
        <f t="shared" si="92"/>
        <v>0</v>
      </c>
      <c r="X160" s="67">
        <f t="shared" si="92"/>
        <v>0</v>
      </c>
      <c r="Y160" s="67">
        <f t="shared" si="92"/>
        <v>0</v>
      </c>
      <c r="Z160" s="67">
        <f t="shared" si="92"/>
        <v>0</v>
      </c>
      <c r="AA160" s="67">
        <f t="shared" si="92"/>
        <v>0</v>
      </c>
      <c r="AB160" s="67">
        <f t="shared" si="92"/>
        <v>0</v>
      </c>
      <c r="AC160" s="67">
        <f t="shared" si="92"/>
        <v>0</v>
      </c>
      <c r="AD160" s="67">
        <f>AD152+AD156</f>
        <v>13758</v>
      </c>
      <c r="AE160" s="88">
        <f>E160+J160+O160+T160+Y160</f>
        <v>13758</v>
      </c>
    </row>
    <row r="161" spans="5:30" x14ac:dyDescent="0.25">
      <c r="E161" s="90"/>
      <c r="F161" s="90"/>
      <c r="G161" s="90"/>
      <c r="H161" s="90"/>
      <c r="I161" s="90"/>
      <c r="J161" s="88"/>
      <c r="K161" s="88"/>
      <c r="L161" s="88"/>
      <c r="M161" s="88"/>
      <c r="N161" s="88"/>
      <c r="O161" s="88"/>
      <c r="P161" s="88"/>
      <c r="Q161" s="88"/>
      <c r="R161" s="88"/>
      <c r="S161" s="88"/>
      <c r="T161" s="88"/>
      <c r="U161" s="88"/>
      <c r="V161" s="88"/>
      <c r="W161" s="88"/>
      <c r="X161" s="88"/>
      <c r="Y161" s="88"/>
      <c r="Z161" s="88"/>
      <c r="AA161" s="88"/>
      <c r="AB161" s="88"/>
      <c r="AC161" s="88"/>
      <c r="AD161" s="88"/>
    </row>
    <row r="162" spans="5:30" x14ac:dyDescent="0.25">
      <c r="E162" s="90"/>
      <c r="F162" s="90"/>
      <c r="G162" s="90"/>
      <c r="H162" s="90"/>
      <c r="I162" s="90"/>
      <c r="J162" s="88"/>
      <c r="K162" s="88"/>
      <c r="L162" s="88"/>
      <c r="M162" s="88"/>
      <c r="N162" s="88"/>
      <c r="O162" s="88"/>
      <c r="P162" s="91" t="s">
        <v>223</v>
      </c>
      <c r="Q162" s="88"/>
      <c r="R162" s="88"/>
      <c r="S162" s="88"/>
      <c r="T162" s="88"/>
      <c r="U162" s="88"/>
      <c r="V162" s="88"/>
      <c r="W162" s="88"/>
      <c r="X162" s="88"/>
      <c r="Y162" s="88"/>
      <c r="Z162" s="88"/>
      <c r="AA162" s="88"/>
      <c r="AB162" s="88"/>
      <c r="AC162" s="88"/>
      <c r="AD162" s="88"/>
    </row>
    <row r="163" spans="5:30" x14ac:dyDescent="0.25">
      <c r="E163" s="90"/>
      <c r="F163" s="90"/>
      <c r="G163" s="90"/>
      <c r="H163" s="90"/>
      <c r="I163" s="90"/>
      <c r="J163" s="88"/>
      <c r="K163" s="88"/>
      <c r="L163" s="88"/>
      <c r="M163" s="88"/>
      <c r="N163" s="88"/>
      <c r="O163" s="88"/>
      <c r="P163" s="88"/>
      <c r="Q163" s="88"/>
      <c r="R163" s="88"/>
      <c r="S163" s="88"/>
      <c r="T163" s="88"/>
      <c r="U163" s="88"/>
      <c r="V163" s="88"/>
      <c r="W163" s="88" t="s">
        <v>98</v>
      </c>
      <c r="X163" s="92">
        <f>SUM(F149,K149,P149,U149,Z149)</f>
        <v>4505452.3581299996</v>
      </c>
      <c r="Y163" s="88"/>
      <c r="Z163" s="88"/>
      <c r="AA163" s="88"/>
      <c r="AB163" s="88"/>
      <c r="AC163" s="88"/>
      <c r="AD163" s="88"/>
    </row>
    <row r="164" spans="5:30" ht="15.75" x14ac:dyDescent="0.25">
      <c r="E164" s="90"/>
      <c r="F164" s="90"/>
      <c r="G164" s="90"/>
      <c r="H164" s="90"/>
      <c r="I164" s="90"/>
      <c r="J164" s="88">
        <f>J149-J167-J168</f>
        <v>1156831.7</v>
      </c>
      <c r="K164" s="88">
        <f>K149-K167-K168</f>
        <v>924057</v>
      </c>
      <c r="L164" s="88">
        <f>L149-L167-L168</f>
        <v>77053</v>
      </c>
      <c r="M164" s="88">
        <f>M149-M167-M168</f>
        <v>11434</v>
      </c>
      <c r="N164" s="88"/>
      <c r="O164" s="41">
        <f>O51-O51</f>
        <v>0</v>
      </c>
      <c r="P164" s="88"/>
      <c r="Q164" s="88"/>
      <c r="R164" s="88"/>
      <c r="S164" s="88"/>
      <c r="T164" s="88"/>
      <c r="U164" s="88"/>
      <c r="V164" s="88"/>
      <c r="W164" s="88" t="s">
        <v>99</v>
      </c>
      <c r="X164" s="88">
        <f>SUM(G149,L149,Q149,V149,AA149)</f>
        <v>481537.90291999996</v>
      </c>
      <c r="Y164" s="88"/>
      <c r="Z164" s="88"/>
      <c r="AA164" s="88"/>
      <c r="AB164" s="88"/>
      <c r="AC164" s="88"/>
      <c r="AD164" s="88"/>
    </row>
    <row r="165" spans="5:30" x14ac:dyDescent="0.25">
      <c r="E165" s="90"/>
      <c r="F165" s="90"/>
      <c r="G165" s="90"/>
      <c r="H165" s="90"/>
      <c r="I165" s="90"/>
      <c r="J165" s="88"/>
      <c r="K165" s="88"/>
      <c r="L165" s="88"/>
      <c r="M165" s="88"/>
      <c r="N165" s="88"/>
      <c r="O165" s="88"/>
      <c r="P165" s="88"/>
      <c r="Q165" s="88"/>
      <c r="R165" s="88"/>
      <c r="S165" s="88"/>
      <c r="T165" s="88"/>
      <c r="U165" s="88"/>
      <c r="V165" s="88"/>
      <c r="W165" s="88" t="s">
        <v>100</v>
      </c>
      <c r="X165" s="88">
        <f>SUM(H149,M149,R149,W149,AB149)</f>
        <v>84959.079999999987</v>
      </c>
      <c r="Y165" s="88"/>
      <c r="Z165" s="88"/>
      <c r="AA165" s="88"/>
      <c r="AB165" s="88"/>
      <c r="AC165" s="88"/>
      <c r="AD165" s="88"/>
    </row>
    <row r="166" spans="5:30" x14ac:dyDescent="0.25">
      <c r="E166" s="90"/>
      <c r="F166" s="90"/>
      <c r="G166" s="90"/>
      <c r="H166" s="90"/>
      <c r="I166" s="90"/>
      <c r="J166" s="88"/>
      <c r="K166" s="88"/>
      <c r="L166" s="88"/>
      <c r="M166" s="88"/>
      <c r="N166" s="88"/>
      <c r="O166" s="88"/>
      <c r="P166" s="88"/>
      <c r="Q166" s="88"/>
      <c r="R166" s="88"/>
      <c r="S166" s="88"/>
      <c r="T166" s="88"/>
      <c r="U166" s="88"/>
      <c r="V166" s="88"/>
      <c r="W166" s="88" t="s">
        <v>101</v>
      </c>
      <c r="X166" s="88">
        <f>SUM(I149,N149,S149,X149,AC149)</f>
        <v>828310.47</v>
      </c>
      <c r="Y166" s="88"/>
      <c r="Z166" s="88"/>
      <c r="AA166" s="88"/>
      <c r="AB166" s="88"/>
      <c r="AC166" s="88"/>
      <c r="AD166" s="88"/>
    </row>
    <row r="167" spans="5:30" x14ac:dyDescent="0.25">
      <c r="E167" s="90"/>
      <c r="F167" s="90"/>
      <c r="G167" s="90"/>
      <c r="H167" s="90"/>
      <c r="I167" s="90" t="s">
        <v>199</v>
      </c>
      <c r="J167" s="88">
        <f>J56+J55</f>
        <v>2685</v>
      </c>
      <c r="K167" s="88">
        <f>K56+K55</f>
        <v>2685</v>
      </c>
      <c r="L167" s="88">
        <f t="shared" ref="L167:N167" si="93">L56+L55</f>
        <v>0</v>
      </c>
      <c r="M167" s="88">
        <f t="shared" si="93"/>
        <v>0</v>
      </c>
      <c r="N167" s="88">
        <f t="shared" si="93"/>
        <v>0</v>
      </c>
      <c r="O167" s="88"/>
      <c r="P167" s="88"/>
      <c r="Q167" s="88"/>
      <c r="R167" s="88"/>
      <c r="S167" s="88"/>
      <c r="T167" s="88"/>
      <c r="U167" s="88"/>
      <c r="V167" s="93" t="s">
        <v>98</v>
      </c>
      <c r="W167" s="88" t="s">
        <v>157</v>
      </c>
      <c r="X167" s="92">
        <f>F150+K150+P150+U150+Z150</f>
        <v>4483139.6581300003</v>
      </c>
      <c r="Y167" s="88"/>
      <c r="Z167" s="88"/>
      <c r="AA167" s="88"/>
      <c r="AB167" s="88"/>
      <c r="AC167" s="88"/>
      <c r="AD167" s="88"/>
    </row>
    <row r="168" spans="5:30" x14ac:dyDescent="0.25">
      <c r="E168" s="90"/>
      <c r="F168" s="90"/>
      <c r="G168" s="90"/>
      <c r="H168" s="90"/>
      <c r="I168" s="90" t="s">
        <v>200</v>
      </c>
      <c r="J168" s="88">
        <f>J40</f>
        <v>13547</v>
      </c>
      <c r="K168" s="88">
        <f t="shared" ref="K168:M168" si="94">K40</f>
        <v>13547</v>
      </c>
      <c r="L168" s="88">
        <f t="shared" si="94"/>
        <v>0</v>
      </c>
      <c r="M168" s="88">
        <f t="shared" si="94"/>
        <v>0</v>
      </c>
      <c r="N168" s="88"/>
      <c r="O168" s="88"/>
      <c r="P168" s="88"/>
      <c r="Q168" s="88"/>
      <c r="R168" s="88"/>
      <c r="S168" s="88"/>
      <c r="T168" s="88"/>
      <c r="U168" s="88"/>
      <c r="V168" s="93" t="s">
        <v>98</v>
      </c>
      <c r="W168" s="88" t="s">
        <v>158</v>
      </c>
      <c r="X168" s="88">
        <f>F55+F57+K56+U145</f>
        <v>8765.7000000000007</v>
      </c>
      <c r="Y168" s="88"/>
      <c r="Z168" s="88"/>
      <c r="AA168" s="88"/>
      <c r="AB168" s="88"/>
      <c r="AC168" s="88"/>
      <c r="AD168" s="88"/>
    </row>
    <row r="169" spans="5:30" x14ac:dyDescent="0.25">
      <c r="E169" s="90"/>
      <c r="F169" s="90"/>
      <c r="G169" s="90"/>
      <c r="H169" s="90"/>
      <c r="I169" s="90"/>
      <c r="J169" s="88"/>
      <c r="K169" s="88"/>
      <c r="L169" s="88"/>
      <c r="M169" s="88"/>
      <c r="N169" s="88"/>
      <c r="O169" s="88"/>
      <c r="P169" s="88"/>
      <c r="Q169" s="88"/>
      <c r="R169" s="88"/>
      <c r="S169" s="88"/>
      <c r="T169" s="88"/>
      <c r="U169" s="88"/>
      <c r="V169" s="93" t="s">
        <v>159</v>
      </c>
      <c r="W169" s="88" t="s">
        <v>160</v>
      </c>
      <c r="X169" s="88">
        <f>X164-G57-L56-Q56</f>
        <v>468284.60291999998</v>
      </c>
      <c r="Y169" s="88"/>
      <c r="Z169" s="88"/>
      <c r="AA169" s="88"/>
      <c r="AB169" s="88"/>
      <c r="AC169" s="88"/>
      <c r="AD169" s="88"/>
    </row>
    <row r="170" spans="5:30" x14ac:dyDescent="0.25">
      <c r="E170" s="90"/>
      <c r="F170" s="90"/>
      <c r="G170" s="90"/>
      <c r="H170" s="90"/>
      <c r="I170" s="90"/>
      <c r="J170" s="88">
        <f>K149-P149+2631.02</f>
        <v>-40883.149999999929</v>
      </c>
      <c r="K170" s="88"/>
      <c r="L170" s="88"/>
      <c r="M170" s="88"/>
      <c r="N170" s="88"/>
      <c r="O170" s="88"/>
      <c r="P170" s="88"/>
      <c r="Q170" s="88"/>
      <c r="R170" s="88"/>
      <c r="S170" s="88"/>
      <c r="T170" s="88"/>
      <c r="U170" s="88"/>
      <c r="V170" s="93" t="s">
        <v>159</v>
      </c>
      <c r="W170" s="88" t="s">
        <v>158</v>
      </c>
      <c r="X170" s="90">
        <f>G57+L56+Q56</f>
        <v>13253.3</v>
      </c>
      <c r="Y170" s="88"/>
      <c r="Z170" s="88"/>
      <c r="AA170" s="88"/>
      <c r="AB170" s="88"/>
      <c r="AC170" s="88"/>
      <c r="AD170" s="88"/>
    </row>
    <row r="171" spans="5:30" x14ac:dyDescent="0.25">
      <c r="E171" s="90"/>
      <c r="F171" s="90"/>
      <c r="G171" s="90"/>
      <c r="H171" s="90"/>
      <c r="I171" s="90"/>
      <c r="J171" s="88"/>
      <c r="K171" s="88"/>
      <c r="L171" s="88"/>
      <c r="M171" s="88"/>
      <c r="N171" s="88"/>
      <c r="O171" s="88"/>
      <c r="P171" s="88"/>
      <c r="Q171" s="88"/>
      <c r="R171" s="88"/>
      <c r="S171" s="88"/>
      <c r="T171" s="88"/>
      <c r="U171" s="88"/>
      <c r="V171" s="93" t="s">
        <v>187</v>
      </c>
      <c r="W171" s="88" t="s">
        <v>186</v>
      </c>
      <c r="X171" s="88">
        <f>K40</f>
        <v>13547</v>
      </c>
      <c r="Y171" s="88"/>
      <c r="Z171" s="88"/>
      <c r="AA171" s="88"/>
      <c r="AB171" s="88"/>
      <c r="AC171" s="88"/>
      <c r="AD171" s="88"/>
    </row>
    <row r="172" spans="5:30" x14ac:dyDescent="0.25">
      <c r="E172" s="90"/>
      <c r="F172" s="90"/>
      <c r="G172" s="90"/>
      <c r="H172" s="90"/>
      <c r="I172" s="90"/>
      <c r="J172" s="88"/>
      <c r="K172" s="88"/>
      <c r="L172" s="88"/>
      <c r="M172" s="88"/>
      <c r="N172" s="88"/>
      <c r="O172" s="88"/>
      <c r="P172" s="88"/>
      <c r="Q172" s="88"/>
      <c r="R172" s="88"/>
      <c r="S172" s="88"/>
      <c r="T172" s="88"/>
      <c r="U172" s="88"/>
      <c r="V172" s="88"/>
      <c r="W172" s="88"/>
      <c r="X172" s="88"/>
      <c r="Y172" s="88"/>
      <c r="Z172" s="88"/>
      <c r="AA172" s="88"/>
      <c r="AB172" s="88"/>
      <c r="AC172" s="88"/>
      <c r="AD172" s="88"/>
    </row>
    <row r="173" spans="5:30" x14ac:dyDescent="0.25">
      <c r="E173" s="90"/>
      <c r="F173" s="90"/>
      <c r="G173" s="90"/>
      <c r="H173" s="90"/>
      <c r="I173" s="90"/>
      <c r="J173" s="88"/>
      <c r="K173" s="88"/>
      <c r="L173" s="88"/>
      <c r="M173" s="88"/>
      <c r="N173" s="88"/>
      <c r="O173" s="88"/>
      <c r="P173" s="88"/>
      <c r="Q173" s="88"/>
      <c r="R173" s="88"/>
      <c r="S173" s="88"/>
      <c r="T173" s="88"/>
      <c r="U173" s="88"/>
      <c r="V173" s="88"/>
      <c r="W173" s="88"/>
      <c r="X173" s="88"/>
      <c r="Y173" s="88"/>
      <c r="Z173" s="88"/>
      <c r="AA173" s="88"/>
      <c r="AB173" s="88"/>
      <c r="AC173" s="88"/>
      <c r="AD173" s="88"/>
    </row>
  </sheetData>
  <mergeCells count="57">
    <mergeCell ref="Y6:AD6"/>
    <mergeCell ref="D86:D92"/>
    <mergeCell ref="D118:D137"/>
    <mergeCell ref="C139:C141"/>
    <mergeCell ref="D139:D141"/>
    <mergeCell ref="C118:C137"/>
    <mergeCell ref="C109:C113"/>
    <mergeCell ref="D110:D113"/>
    <mergeCell ref="B28:C28"/>
    <mergeCell ref="B34:C34"/>
    <mergeCell ref="C86:C92"/>
    <mergeCell ref="B80:C80"/>
    <mergeCell ref="AD7:AD8"/>
    <mergeCell ref="Y7:AC7"/>
    <mergeCell ref="T7:X7"/>
    <mergeCell ref="B10:C10"/>
    <mergeCell ref="A22:A23"/>
    <mergeCell ref="D45:D50"/>
    <mergeCell ref="A52:A53"/>
    <mergeCell ref="D56:D57"/>
    <mergeCell ref="C101:C108"/>
    <mergeCell ref="A44:A50"/>
    <mergeCell ref="C40:C41"/>
    <mergeCell ref="A60:A61"/>
    <mergeCell ref="C60:C61"/>
    <mergeCell ref="A56:A58"/>
    <mergeCell ref="C56:C58"/>
    <mergeCell ref="A101:A108"/>
    <mergeCell ref="A37:A42"/>
    <mergeCell ref="C37:C39"/>
    <mergeCell ref="D37:D39"/>
    <mergeCell ref="A86:A92"/>
    <mergeCell ref="A6:A8"/>
    <mergeCell ref="C6:C8"/>
    <mergeCell ref="B6:B8"/>
    <mergeCell ref="O7:S7"/>
    <mergeCell ref="O6:X6"/>
    <mergeCell ref="B100:C100"/>
    <mergeCell ref="B67:C67"/>
    <mergeCell ref="B3:D3"/>
    <mergeCell ref="B11:C11"/>
    <mergeCell ref="B13:B14"/>
    <mergeCell ref="C12:C16"/>
    <mergeCell ref="D12:D15"/>
    <mergeCell ref="F1:M1"/>
    <mergeCell ref="D6:D8"/>
    <mergeCell ref="J7:N7"/>
    <mergeCell ref="F2:L2"/>
    <mergeCell ref="E7:I7"/>
    <mergeCell ref="E6:N6"/>
    <mergeCell ref="A114:A117"/>
    <mergeCell ref="C114:C117"/>
    <mergeCell ref="A143:A144"/>
    <mergeCell ref="C143:C144"/>
    <mergeCell ref="A109:A113"/>
    <mergeCell ref="A139:A141"/>
    <mergeCell ref="A118:A137"/>
  </mergeCells>
  <phoneticPr fontId="3" type="noConversion"/>
  <pageMargins left="0.43307086614173229" right="0.23622047244094491" top="0.74803149606299213" bottom="0.74803149606299213" header="0.31496062992125984" footer="0.31496062992125984"/>
  <pageSetup paperSize="9" scale="46" fitToWidth="0" fitToHeight="0" orientation="landscape" useFirstPageNumber="1" r:id="rId1"/>
  <headerFooter>
    <oddHeader>&amp;C&amp;P</oddHeader>
  </headerFooter>
  <rowBreaks count="5" manualBreakCount="5">
    <brk id="23" max="29" man="1"/>
    <brk id="37" max="29" man="1"/>
    <brk id="55" max="29" man="1"/>
    <brk id="113" max="29" man="1"/>
    <brk id="142"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8"/>
  <sheetViews>
    <sheetView workbookViewId="0">
      <selection activeCell="H13" sqref="H13"/>
    </sheetView>
  </sheetViews>
  <sheetFormatPr defaultRowHeight="15" x14ac:dyDescent="0.2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11" customFormat="1" ht="47.25" x14ac:dyDescent="0.25">
      <c r="A4" s="6"/>
      <c r="B4" s="6"/>
      <c r="C4" s="6"/>
      <c r="D4" s="6"/>
      <c r="E4" s="6"/>
      <c r="F4" s="6"/>
      <c r="G4" s="8" t="s">
        <v>245</v>
      </c>
      <c r="H4" s="9" t="s">
        <v>246</v>
      </c>
      <c r="I4" s="9" t="s">
        <v>244</v>
      </c>
      <c r="J4" s="9"/>
      <c r="K4" s="9" t="s">
        <v>1</v>
      </c>
      <c r="L4" s="6"/>
      <c r="M4" s="10" t="s">
        <v>20</v>
      </c>
    </row>
    <row r="5" spans="1:13" s="11" customFormat="1" ht="16.5" thickBot="1" x14ac:dyDescent="0.3">
      <c r="A5" s="12" t="s">
        <v>241</v>
      </c>
      <c r="B5" s="13">
        <v>1913289</v>
      </c>
      <c r="C5" s="13">
        <v>102</v>
      </c>
      <c r="D5" s="13">
        <v>1.02</v>
      </c>
      <c r="E5" s="14">
        <v>1956792.23</v>
      </c>
      <c r="F5" s="13">
        <v>11.2</v>
      </c>
      <c r="G5" s="15">
        <f>H5+I5</f>
        <v>1913665.08</v>
      </c>
      <c r="H5" s="15">
        <v>1224745.6499999999</v>
      </c>
      <c r="I5" s="16">
        <v>688919.43</v>
      </c>
      <c r="J5" s="17">
        <v>1914</v>
      </c>
      <c r="K5" s="18">
        <f>ROUND(((H5+I5)*100/99),2)</f>
        <v>1932995.03</v>
      </c>
      <c r="L5" s="19">
        <f>I5/G5*100</f>
        <v>36.000000062706903</v>
      </c>
      <c r="M5" s="18">
        <f>K5-G5</f>
        <v>19329.949999999953</v>
      </c>
    </row>
    <row r="6" spans="1:13" s="11" customFormat="1" ht="16.5" thickBot="1" x14ac:dyDescent="0.3">
      <c r="A6" s="12" t="s">
        <v>242</v>
      </c>
      <c r="B6" s="13">
        <v>391677</v>
      </c>
      <c r="C6" s="13">
        <v>102</v>
      </c>
      <c r="D6" s="13">
        <v>1.02</v>
      </c>
      <c r="E6" s="14">
        <v>400582.72</v>
      </c>
      <c r="F6" s="13">
        <v>2.2999999999999998</v>
      </c>
      <c r="G6" s="20">
        <f t="shared" ref="G6:G7" si="0">H6+I6</f>
        <v>391753.98</v>
      </c>
      <c r="H6" s="15">
        <v>250722.55</v>
      </c>
      <c r="I6" s="16">
        <v>141031.43</v>
      </c>
      <c r="J6" s="17">
        <v>392</v>
      </c>
      <c r="K6" s="21">
        <f t="shared" ref="K6:K7" si="1">ROUND(((H6+I6)*100/99),2)</f>
        <v>395711.09</v>
      </c>
      <c r="L6" s="9">
        <f t="shared" ref="L6:L7" si="2">I6/G6*100</f>
        <v>35.999999285265716</v>
      </c>
      <c r="M6" s="21">
        <f t="shared" ref="M6:M7" si="3">K6-G6</f>
        <v>3957.1100000000442</v>
      </c>
    </row>
    <row r="7" spans="1:13" s="11" customFormat="1" ht="16.5" thickBot="1" x14ac:dyDescent="0.3">
      <c r="A7" s="12" t="s">
        <v>243</v>
      </c>
      <c r="B7" s="13">
        <v>905537</v>
      </c>
      <c r="C7" s="13">
        <v>102</v>
      </c>
      <c r="D7" s="13">
        <v>1.02</v>
      </c>
      <c r="E7" s="14">
        <v>926126.56</v>
      </c>
      <c r="F7" s="13">
        <v>5.3</v>
      </c>
      <c r="G7" s="20">
        <f t="shared" si="0"/>
        <v>905714.99</v>
      </c>
      <c r="H7" s="15">
        <v>579657.59</v>
      </c>
      <c r="I7" s="16">
        <v>326057.40000000002</v>
      </c>
      <c r="J7" s="17">
        <v>906</v>
      </c>
      <c r="K7" s="21">
        <f t="shared" si="1"/>
        <v>914863.63</v>
      </c>
      <c r="L7" s="9">
        <f t="shared" si="2"/>
        <v>36.000000397476036</v>
      </c>
      <c r="M7" s="21">
        <f t="shared" si="3"/>
        <v>9148.640000000014</v>
      </c>
    </row>
    <row r="8" spans="1:13" s="11" customFormat="1" ht="15.75" x14ac:dyDescent="0.25">
      <c r="B8" s="11">
        <f>SUM(B5:B7)</f>
        <v>3210503</v>
      </c>
      <c r="C8" s="11">
        <f t="shared" ref="C8:K8" si="4">SUM(C5:C7)</f>
        <v>306</v>
      </c>
      <c r="D8" s="11">
        <f t="shared" si="4"/>
        <v>3.06</v>
      </c>
      <c r="E8" s="11">
        <f t="shared" si="4"/>
        <v>3283501.5100000002</v>
      </c>
      <c r="F8" s="11">
        <f t="shared" si="4"/>
        <v>18.8</v>
      </c>
      <c r="G8" s="22">
        <f t="shared" si="4"/>
        <v>3211134.05</v>
      </c>
      <c r="H8" s="22">
        <f t="shared" si="4"/>
        <v>2055125.79</v>
      </c>
      <c r="I8" s="22">
        <f t="shared" si="4"/>
        <v>1156008.2600000002</v>
      </c>
      <c r="J8" s="22">
        <f t="shared" si="4"/>
        <v>3212</v>
      </c>
      <c r="K8" s="22">
        <f t="shared" si="4"/>
        <v>3243569.75</v>
      </c>
      <c r="L8" s="22">
        <f t="shared" ref="L8" si="5">SUM(L5:L7)</f>
        <v>107.99999974544866</v>
      </c>
      <c r="M8" s="22">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2022-12-03T11:38:01Z</cp:lastPrinted>
  <dcterms:created xsi:type="dcterms:W3CDTF">2013-07-24T10:56:02Z</dcterms:created>
  <dcterms:modified xsi:type="dcterms:W3CDTF">2022-12-05T04:53:00Z</dcterms:modified>
</cp:coreProperties>
</file>