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40" windowHeight="15600" tabRatio="601"/>
  </bookViews>
  <sheets>
    <sheet name="Лист1" sheetId="1" r:id="rId1"/>
    <sheet name="Лист3" sheetId="3" r:id="rId2"/>
  </sheets>
  <definedNames>
    <definedName name="_xlnm.Print_Titles" localSheetId="0">Лист1!$A:$D,Лист1!$6:$9</definedName>
    <definedName name="_xlnm.Print_Area" localSheetId="0">Лист1!$A$1:$AD$141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47" i="1"/>
  <c r="Z117"/>
  <c r="Z43"/>
  <c r="Z123"/>
  <c r="Z18"/>
  <c r="Z104"/>
  <c r="Z112"/>
  <c r="Z15" l="1"/>
  <c r="Z13"/>
  <c r="AD127" l="1"/>
  <c r="T134"/>
  <c r="U134"/>
  <c r="U43"/>
  <c r="U18"/>
  <c r="T136" l="1"/>
  <c r="U136"/>
  <c r="T132"/>
  <c r="U132"/>
  <c r="T126"/>
  <c r="T127"/>
  <c r="U128"/>
  <c r="V128"/>
  <c r="W128"/>
  <c r="X128"/>
  <c r="T57"/>
  <c r="U57"/>
  <c r="U56"/>
  <c r="T50"/>
  <c r="U61"/>
  <c r="U118"/>
  <c r="U13"/>
  <c r="L8" i="3"/>
  <c r="M8"/>
  <c r="M6"/>
  <c r="M7"/>
  <c r="M5"/>
  <c r="K6"/>
  <c r="K7"/>
  <c r="K5"/>
  <c r="K8" s="1"/>
  <c r="G6"/>
  <c r="G7"/>
  <c r="G5"/>
  <c r="L5" s="1"/>
  <c r="L6"/>
  <c r="L7"/>
  <c r="C8"/>
  <c r="D8"/>
  <c r="E8"/>
  <c r="F8"/>
  <c r="G8"/>
  <c r="H8"/>
  <c r="I8"/>
  <c r="J8"/>
  <c r="B8"/>
  <c r="U15" i="1"/>
  <c r="T16"/>
  <c r="O69"/>
  <c r="O56"/>
  <c r="E25"/>
  <c r="O55"/>
  <c r="R61"/>
  <c r="Q61"/>
  <c r="Q87"/>
  <c r="AD55"/>
  <c r="S56"/>
  <c r="P87"/>
  <c r="P61"/>
  <c r="P43"/>
  <c r="P13"/>
  <c r="P15"/>
  <c r="T56" l="1"/>
  <c r="U131"/>
  <c r="O17"/>
  <c r="P18"/>
  <c r="P110"/>
  <c r="P108"/>
  <c r="P20"/>
  <c r="P16"/>
  <c r="P66" l="1"/>
  <c r="P118"/>
  <c r="P88" l="1"/>
  <c r="Y81"/>
  <c r="T81"/>
  <c r="O81"/>
  <c r="J81"/>
  <c r="E81"/>
  <c r="E136"/>
  <c r="E137"/>
  <c r="E135"/>
  <c r="O136"/>
  <c r="O137"/>
  <c r="O135"/>
  <c r="AD135" s="1"/>
  <c r="P134"/>
  <c r="Q132"/>
  <c r="Q140" s="1"/>
  <c r="O50"/>
  <c r="P132"/>
  <c r="P140" s="1"/>
  <c r="AD137" l="1"/>
  <c r="AD136"/>
  <c r="AD81"/>
  <c r="P133"/>
  <c r="P141" s="1"/>
  <c r="G129" l="1"/>
  <c r="E126"/>
  <c r="Q57"/>
  <c r="R57"/>
  <c r="S57"/>
  <c r="Q134"/>
  <c r="R134"/>
  <c r="S134"/>
  <c r="V57"/>
  <c r="W57"/>
  <c r="P57"/>
  <c r="Z69"/>
  <c r="V69"/>
  <c r="U25"/>
  <c r="O73"/>
  <c r="O74"/>
  <c r="O75"/>
  <c r="O76"/>
  <c r="O77"/>
  <c r="O78"/>
  <c r="O79"/>
  <c r="O80"/>
  <c r="O82"/>
  <c r="O83"/>
  <c r="O84"/>
  <c r="O85"/>
  <c r="O86"/>
  <c r="O87"/>
  <c r="O51"/>
  <c r="O52"/>
  <c r="O53"/>
  <c r="O54"/>
  <c r="X149"/>
  <c r="X151"/>
  <c r="T79"/>
  <c r="U69"/>
  <c r="R69"/>
  <c r="Q69"/>
  <c r="P69"/>
  <c r="G69"/>
  <c r="H69"/>
  <c r="I69"/>
  <c r="Y67"/>
  <c r="J67"/>
  <c r="T13" l="1"/>
  <c r="AD67"/>
  <c r="O21"/>
  <c r="Y64" l="1"/>
  <c r="Y65"/>
  <c r="O61"/>
  <c r="O62"/>
  <c r="O44"/>
  <c r="O45"/>
  <c r="O47"/>
  <c r="Y24"/>
  <c r="T24"/>
  <c r="O24"/>
  <c r="J24"/>
  <c r="E24"/>
  <c r="P25"/>
  <c r="O16"/>
  <c r="AD24" l="1"/>
  <c r="N72"/>
  <c r="K103"/>
  <c r="L87"/>
  <c r="K87"/>
  <c r="F133"/>
  <c r="F141" s="1"/>
  <c r="G133"/>
  <c r="G141" s="1"/>
  <c r="H133"/>
  <c r="H141" s="1"/>
  <c r="I133"/>
  <c r="I141" s="1"/>
  <c r="L133"/>
  <c r="L141" s="1"/>
  <c r="M133"/>
  <c r="M141" s="1"/>
  <c r="N133"/>
  <c r="N141" s="1"/>
  <c r="Q133"/>
  <c r="Q141" s="1"/>
  <c r="R133"/>
  <c r="R141" s="1"/>
  <c r="S133"/>
  <c r="S141" s="1"/>
  <c r="U133"/>
  <c r="U141" s="1"/>
  <c r="V133"/>
  <c r="V141" s="1"/>
  <c r="W133"/>
  <c r="W141" s="1"/>
  <c r="X133"/>
  <c r="X141" s="1"/>
  <c r="Z133"/>
  <c r="Z141" s="1"/>
  <c r="AA133"/>
  <c r="AA141" s="1"/>
  <c r="AB133"/>
  <c r="AB141" s="1"/>
  <c r="AC133"/>
  <c r="AC141" s="1"/>
  <c r="F132"/>
  <c r="F140" s="1"/>
  <c r="G132"/>
  <c r="G140" s="1"/>
  <c r="H132"/>
  <c r="H140" s="1"/>
  <c r="I132"/>
  <c r="I140" s="1"/>
  <c r="K132"/>
  <c r="K140" s="1"/>
  <c r="L132"/>
  <c r="L140" s="1"/>
  <c r="M132"/>
  <c r="M140" s="1"/>
  <c r="N132"/>
  <c r="N140" s="1"/>
  <c r="R132"/>
  <c r="R140" s="1"/>
  <c r="S132"/>
  <c r="S140" s="1"/>
  <c r="U140"/>
  <c r="V132"/>
  <c r="V140" s="1"/>
  <c r="W132"/>
  <c r="W140" s="1"/>
  <c r="X132"/>
  <c r="X140" s="1"/>
  <c r="Z132"/>
  <c r="Z140" s="1"/>
  <c r="AA132"/>
  <c r="AA140" s="1"/>
  <c r="AB132"/>
  <c r="AB140" s="1"/>
  <c r="AC132"/>
  <c r="AC140" s="1"/>
  <c r="J60" l="1"/>
  <c r="J61"/>
  <c r="J62"/>
  <c r="J63"/>
  <c r="J64"/>
  <c r="J65"/>
  <c r="J66"/>
  <c r="K69"/>
  <c r="M69"/>
  <c r="L69"/>
  <c r="K148"/>
  <c r="J53"/>
  <c r="AD53" s="1"/>
  <c r="L52"/>
  <c r="K52"/>
  <c r="K17"/>
  <c r="J17" s="1"/>
  <c r="K13"/>
  <c r="H128"/>
  <c r="I128"/>
  <c r="F128"/>
  <c r="AD97"/>
  <c r="AD102"/>
  <c r="AD122"/>
  <c r="K38" l="1"/>
  <c r="K133" l="1"/>
  <c r="K141" s="1"/>
  <c r="X152"/>
  <c r="L25"/>
  <c r="M25"/>
  <c r="N25"/>
  <c r="K149"/>
  <c r="L149"/>
  <c r="M149"/>
  <c r="L148"/>
  <c r="M148"/>
  <c r="N148"/>
  <c r="K125"/>
  <c r="K120"/>
  <c r="K118"/>
  <c r="K109"/>
  <c r="K104"/>
  <c r="K95"/>
  <c r="K86"/>
  <c r="K78"/>
  <c r="K77"/>
  <c r="K74"/>
  <c r="J74" s="1"/>
  <c r="K73"/>
  <c r="K23"/>
  <c r="K19"/>
  <c r="J16"/>
  <c r="AD16" s="1"/>
  <c r="K15"/>
  <c r="K25" l="1"/>
  <c r="K88"/>
  <c r="K128"/>
  <c r="J13"/>
  <c r="V56"/>
  <c r="W56"/>
  <c r="X56"/>
  <c r="Z56"/>
  <c r="AA56"/>
  <c r="AB56"/>
  <c r="AC56"/>
  <c r="J54" l="1"/>
  <c r="AD54" s="1"/>
  <c r="J52"/>
  <c r="AD52" s="1"/>
  <c r="J50" l="1"/>
  <c r="J15"/>
  <c r="J148" l="1"/>
  <c r="J87"/>
  <c r="J86"/>
  <c r="AD86" s="1"/>
  <c r="F88"/>
  <c r="G88"/>
  <c r="H88"/>
  <c r="I88"/>
  <c r="L88"/>
  <c r="M88"/>
  <c r="N88"/>
  <c r="Q88"/>
  <c r="R88"/>
  <c r="S88"/>
  <c r="U88"/>
  <c r="V88"/>
  <c r="W88"/>
  <c r="X88"/>
  <c r="Z88"/>
  <c r="AA88"/>
  <c r="AB88"/>
  <c r="AC88"/>
  <c r="J51"/>
  <c r="E50"/>
  <c r="AD50" s="1"/>
  <c r="T22" l="1"/>
  <c r="T19" l="1"/>
  <c r="Y101"/>
  <c r="Y22"/>
  <c r="AD87" l="1"/>
  <c r="J83"/>
  <c r="AD83" s="1"/>
  <c r="J22"/>
  <c r="AC69" l="1"/>
  <c r="AB69"/>
  <c r="AA69"/>
  <c r="X69"/>
  <c r="W69"/>
  <c r="S69"/>
  <c r="O66"/>
  <c r="AD68"/>
  <c r="F66"/>
  <c r="F69" s="1"/>
  <c r="E69" s="1"/>
  <c r="T69" l="1"/>
  <c r="F17"/>
  <c r="F47"/>
  <c r="AD22" l="1"/>
  <c r="G101" l="1"/>
  <c r="G128" s="1"/>
  <c r="E128" s="1"/>
  <c r="H25" l="1"/>
  <c r="E61" l="1"/>
  <c r="J39" l="1"/>
  <c r="AD39" l="1"/>
  <c r="J132"/>
  <c r="J140" s="1"/>
  <c r="E48"/>
  <c r="AD48" s="1"/>
  <c r="E47"/>
  <c r="AD47" s="1"/>
  <c r="E36" l="1"/>
  <c r="AD36" s="1"/>
  <c r="F129" l="1"/>
  <c r="E49"/>
  <c r="E132" s="1"/>
  <c r="E140" l="1"/>
  <c r="AC128"/>
  <c r="AB128"/>
  <c r="AA128"/>
  <c r="Z128"/>
  <c r="S128"/>
  <c r="R128"/>
  <c r="Q128"/>
  <c r="P128"/>
  <c r="N128"/>
  <c r="M128"/>
  <c r="L128"/>
  <c r="E51"/>
  <c r="AD51" s="1"/>
  <c r="H129" l="1"/>
  <c r="I129"/>
  <c r="J129"/>
  <c r="K129"/>
  <c r="L129"/>
  <c r="M129"/>
  <c r="N129"/>
  <c r="O129"/>
  <c r="P129"/>
  <c r="Q129"/>
  <c r="R129"/>
  <c r="S129"/>
  <c r="T129"/>
  <c r="U129"/>
  <c r="V129"/>
  <c r="W129"/>
  <c r="X129"/>
  <c r="Y129"/>
  <c r="Z129"/>
  <c r="AA129"/>
  <c r="AB129"/>
  <c r="AC129"/>
  <c r="F134"/>
  <c r="G134"/>
  <c r="H134"/>
  <c r="I134"/>
  <c r="J134"/>
  <c r="K134"/>
  <c r="L134"/>
  <c r="M134"/>
  <c r="N134"/>
  <c r="V134"/>
  <c r="W134"/>
  <c r="X134"/>
  <c r="Y134"/>
  <c r="Z134"/>
  <c r="AA134"/>
  <c r="AB134"/>
  <c r="AC134"/>
  <c r="AD126"/>
  <c r="E94"/>
  <c r="E134" s="1"/>
  <c r="E129" l="1"/>
  <c r="AD94"/>
  <c r="AD129" s="1"/>
  <c r="E98"/>
  <c r="J73" l="1"/>
  <c r="Y79" l="1"/>
  <c r="J79"/>
  <c r="Y61" l="1"/>
  <c r="T61"/>
  <c r="E121"/>
  <c r="AD121" s="1"/>
  <c r="AD61" l="1"/>
  <c r="AD35"/>
  <c r="E112" l="1"/>
  <c r="E17"/>
  <c r="AD17" s="1"/>
  <c r="E79" l="1"/>
  <c r="AD79" s="1"/>
  <c r="J19"/>
  <c r="O19"/>
  <c r="E19"/>
  <c r="AD19" l="1"/>
  <c r="O18"/>
  <c r="J18"/>
  <c r="E18"/>
  <c r="Y13"/>
  <c r="Y15"/>
  <c r="T15"/>
  <c r="O13"/>
  <c r="O15"/>
  <c r="E13"/>
  <c r="E15"/>
  <c r="AD15" l="1"/>
  <c r="AD13"/>
  <c r="Y120"/>
  <c r="T120"/>
  <c r="O120"/>
  <c r="J120"/>
  <c r="E120"/>
  <c r="F25"/>
  <c r="E104"/>
  <c r="E125"/>
  <c r="E123"/>
  <c r="E118"/>
  <c r="J27"/>
  <c r="J20"/>
  <c r="O20"/>
  <c r="T20"/>
  <c r="Y20"/>
  <c r="Y125"/>
  <c r="Y124"/>
  <c r="Y123"/>
  <c r="Y119"/>
  <c r="Y118"/>
  <c r="Y117"/>
  <c r="Y116"/>
  <c r="Y115"/>
  <c r="Y114"/>
  <c r="Y113"/>
  <c r="Y112"/>
  <c r="Y111"/>
  <c r="Y110"/>
  <c r="Y109"/>
  <c r="Y108"/>
  <c r="Y107"/>
  <c r="Y106"/>
  <c r="Y105"/>
  <c r="Y104"/>
  <c r="Y103"/>
  <c r="Y100"/>
  <c r="Y99"/>
  <c r="Y98"/>
  <c r="Y96"/>
  <c r="Y95"/>
  <c r="Y93"/>
  <c r="Y92"/>
  <c r="Y91"/>
  <c r="T125"/>
  <c r="T124"/>
  <c r="T123"/>
  <c r="T119"/>
  <c r="T118"/>
  <c r="T117"/>
  <c r="T116"/>
  <c r="T115"/>
  <c r="T114"/>
  <c r="T113"/>
  <c r="T112"/>
  <c r="T111"/>
  <c r="T110"/>
  <c r="T109"/>
  <c r="T108"/>
  <c r="T107"/>
  <c r="T106"/>
  <c r="T105"/>
  <c r="T104"/>
  <c r="T103"/>
  <c r="T101"/>
  <c r="T128" s="1"/>
  <c r="T100"/>
  <c r="T99"/>
  <c r="T98"/>
  <c r="T96"/>
  <c r="T95"/>
  <c r="T93"/>
  <c r="T92"/>
  <c r="T91"/>
  <c r="O125"/>
  <c r="O124"/>
  <c r="O123"/>
  <c r="O119"/>
  <c r="O118"/>
  <c r="O117"/>
  <c r="O116"/>
  <c r="O115"/>
  <c r="O114"/>
  <c r="O113"/>
  <c r="O112"/>
  <c r="O111"/>
  <c r="O110"/>
  <c r="O109"/>
  <c r="O108"/>
  <c r="O107"/>
  <c r="O106"/>
  <c r="O105"/>
  <c r="O104"/>
  <c r="O103"/>
  <c r="O100"/>
  <c r="O99"/>
  <c r="O98"/>
  <c r="O96"/>
  <c r="O95"/>
  <c r="O93"/>
  <c r="O92"/>
  <c r="O91"/>
  <c r="J125"/>
  <c r="J124"/>
  <c r="J123"/>
  <c r="J119"/>
  <c r="J118"/>
  <c r="J117"/>
  <c r="J116"/>
  <c r="J115"/>
  <c r="J114"/>
  <c r="J113"/>
  <c r="J112"/>
  <c r="J111"/>
  <c r="J110"/>
  <c r="J109"/>
  <c r="J108"/>
  <c r="J107"/>
  <c r="J106"/>
  <c r="J105"/>
  <c r="J104"/>
  <c r="J103"/>
  <c r="J100"/>
  <c r="J99"/>
  <c r="J98"/>
  <c r="J96"/>
  <c r="J95"/>
  <c r="J93"/>
  <c r="J92"/>
  <c r="J91"/>
  <c r="E124"/>
  <c r="E119"/>
  <c r="E116"/>
  <c r="E115"/>
  <c r="E114"/>
  <c r="AD114" s="1"/>
  <c r="E113"/>
  <c r="E111"/>
  <c r="AD111" s="1"/>
  <c r="E110"/>
  <c r="E109"/>
  <c r="E108"/>
  <c r="E107"/>
  <c r="AD107" s="1"/>
  <c r="E106"/>
  <c r="E105"/>
  <c r="E103"/>
  <c r="E101"/>
  <c r="AD101" s="1"/>
  <c r="E100"/>
  <c r="E99"/>
  <c r="E96"/>
  <c r="E95"/>
  <c r="E93"/>
  <c r="E92"/>
  <c r="Y85"/>
  <c r="Y84"/>
  <c r="Y82"/>
  <c r="Y80"/>
  <c r="Y77"/>
  <c r="Y75"/>
  <c r="Y74"/>
  <c r="Y73"/>
  <c r="Y72"/>
  <c r="Y71"/>
  <c r="T85"/>
  <c r="T84"/>
  <c r="T82"/>
  <c r="T80"/>
  <c r="T78"/>
  <c r="T77"/>
  <c r="T75"/>
  <c r="T74"/>
  <c r="T73"/>
  <c r="T72"/>
  <c r="T71"/>
  <c r="O72"/>
  <c r="O88" s="1"/>
  <c r="J85"/>
  <c r="J84"/>
  <c r="J82"/>
  <c r="J80"/>
  <c r="J78"/>
  <c r="J77"/>
  <c r="J75"/>
  <c r="J72"/>
  <c r="E85"/>
  <c r="E84"/>
  <c r="E82"/>
  <c r="E80"/>
  <c r="E78"/>
  <c r="E77"/>
  <c r="E75"/>
  <c r="E74"/>
  <c r="E73"/>
  <c r="E72"/>
  <c r="E71"/>
  <c r="Y63"/>
  <c r="Y62"/>
  <c r="Y60"/>
  <c r="Y59"/>
  <c r="T65"/>
  <c r="T64"/>
  <c r="T63"/>
  <c r="T62"/>
  <c r="T60"/>
  <c r="T59"/>
  <c r="O65"/>
  <c r="O64"/>
  <c r="O63"/>
  <c r="O60"/>
  <c r="O59"/>
  <c r="J59"/>
  <c r="J69" s="1"/>
  <c r="E66"/>
  <c r="E65"/>
  <c r="E64"/>
  <c r="E63"/>
  <c r="E62"/>
  <c r="E60"/>
  <c r="E59"/>
  <c r="Y49"/>
  <c r="Y132" s="1"/>
  <c r="Y140" s="1"/>
  <c r="Y46"/>
  <c r="Y45"/>
  <c r="Y44"/>
  <c r="Y43"/>
  <c r="Y42"/>
  <c r="Y40"/>
  <c r="Y38"/>
  <c r="Y133" s="1"/>
  <c r="Y141" s="1"/>
  <c r="Y37"/>
  <c r="Y34"/>
  <c r="Y33"/>
  <c r="T49"/>
  <c r="T140" s="1"/>
  <c r="T46"/>
  <c r="R46" s="1"/>
  <c r="R56" s="1"/>
  <c r="T44"/>
  <c r="T43"/>
  <c r="T42"/>
  <c r="T40"/>
  <c r="T38"/>
  <c r="T37"/>
  <c r="T34"/>
  <c r="T33"/>
  <c r="O49"/>
  <c r="O132" s="1"/>
  <c r="O43"/>
  <c r="O42"/>
  <c r="O40"/>
  <c r="O38"/>
  <c r="O37"/>
  <c r="O34"/>
  <c r="O33"/>
  <c r="J45"/>
  <c r="J44"/>
  <c r="J43"/>
  <c r="J42"/>
  <c r="J38"/>
  <c r="J37"/>
  <c r="J34"/>
  <c r="J33"/>
  <c r="E34"/>
  <c r="E37"/>
  <c r="E38"/>
  <c r="E133"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V31"/>
  <c r="W31"/>
  <c r="X31"/>
  <c r="Z31"/>
  <c r="AA31"/>
  <c r="AB31"/>
  <c r="AC31"/>
  <c r="Q25"/>
  <c r="Z25"/>
  <c r="AA25"/>
  <c r="X25"/>
  <c r="AC25"/>
  <c r="E20"/>
  <c r="I25"/>
  <c r="V25"/>
  <c r="S25"/>
  <c r="R25"/>
  <c r="AB25"/>
  <c r="W25"/>
  <c r="G25"/>
  <c r="E117"/>
  <c r="E91"/>
  <c r="T131" l="1"/>
  <c r="T130"/>
  <c r="AD105"/>
  <c r="Y25"/>
  <c r="AD14"/>
  <c r="AD92"/>
  <c r="AD99"/>
  <c r="AD109"/>
  <c r="AD124"/>
  <c r="AD117"/>
  <c r="Y69"/>
  <c r="AD95"/>
  <c r="AD116"/>
  <c r="AD98"/>
  <c r="AD112"/>
  <c r="E141"/>
  <c r="O140"/>
  <c r="AE140" s="1"/>
  <c r="AE132"/>
  <c r="AD91"/>
  <c r="AD93"/>
  <c r="AD96"/>
  <c r="AD100"/>
  <c r="AD103"/>
  <c r="AD106"/>
  <c r="AD108"/>
  <c r="AD113"/>
  <c r="AD115"/>
  <c r="AD119"/>
  <c r="AD110"/>
  <c r="O133"/>
  <c r="O141" s="1"/>
  <c r="O134"/>
  <c r="AD134" s="1"/>
  <c r="O57"/>
  <c r="T133"/>
  <c r="T141" s="1"/>
  <c r="AD57"/>
  <c r="Y88"/>
  <c r="J149"/>
  <c r="J133"/>
  <c r="J141" s="1"/>
  <c r="AD72"/>
  <c r="AD120"/>
  <c r="J25"/>
  <c r="E88"/>
  <c r="AD73"/>
  <c r="AD123"/>
  <c r="AD104"/>
  <c r="AD125"/>
  <c r="AD23"/>
  <c r="J88"/>
  <c r="T88"/>
  <c r="AD77"/>
  <c r="AD118"/>
  <c r="Q46"/>
  <c r="Q56" s="1"/>
  <c r="Y56"/>
  <c r="AD49"/>
  <c r="AD132" s="1"/>
  <c r="AD140" s="1"/>
  <c r="AD38"/>
  <c r="AD133" s="1"/>
  <c r="AD141" s="1"/>
  <c r="AD37"/>
  <c r="AD42"/>
  <c r="AD30"/>
  <c r="AD18"/>
  <c r="AD28"/>
  <c r="AD75"/>
  <c r="AD29"/>
  <c r="AD33"/>
  <c r="Y31"/>
  <c r="AD27"/>
  <c r="AD63"/>
  <c r="AD82"/>
  <c r="AD21"/>
  <c r="AD43"/>
  <c r="AD59"/>
  <c r="AD64"/>
  <c r="AD84"/>
  <c r="AD44"/>
  <c r="AD66"/>
  <c r="AD60"/>
  <c r="AD65"/>
  <c r="AD78"/>
  <c r="AD20"/>
  <c r="AD71"/>
  <c r="AD34"/>
  <c r="AD40"/>
  <c r="AD45"/>
  <c r="AD62"/>
  <c r="AD74"/>
  <c r="AD80"/>
  <c r="AD85"/>
  <c r="O128"/>
  <c r="J128"/>
  <c r="T25"/>
  <c r="T31"/>
  <c r="O25"/>
  <c r="Y128"/>
  <c r="J31"/>
  <c r="E31"/>
  <c r="O31"/>
  <c r="AE133" l="1"/>
  <c r="AE141"/>
  <c r="AD88"/>
  <c r="AD128"/>
  <c r="AD25"/>
  <c r="P46"/>
  <c r="AD69"/>
  <c r="AD31"/>
  <c r="P56" l="1"/>
  <c r="P130" s="1"/>
  <c r="O46"/>
  <c r="P131" l="1"/>
  <c r="P139" s="1"/>
  <c r="P138"/>
  <c r="O130"/>
  <c r="O145"/>
  <c r="N46"/>
  <c r="N56" s="1"/>
  <c r="N69"/>
  <c r="M46" l="1"/>
  <c r="M56" s="1"/>
  <c r="L46" l="1"/>
  <c r="L56" s="1"/>
  <c r="K46" l="1"/>
  <c r="K56" s="1"/>
  <c r="K130" s="1"/>
  <c r="K138" s="1"/>
  <c r="L130"/>
  <c r="K131" l="1"/>
  <c r="K139" s="1"/>
  <c r="J46"/>
  <c r="J56" s="1"/>
  <c r="J130" s="1"/>
  <c r="J138" s="1"/>
  <c r="K145"/>
  <c r="L145"/>
  <c r="L131"/>
  <c r="L139" s="1"/>
  <c r="L138"/>
  <c r="J131"/>
  <c r="J139" s="1"/>
  <c r="J145"/>
  <c r="I46"/>
  <c r="H46" s="1"/>
  <c r="I47"/>
  <c r="AC130"/>
  <c r="AC138" l="1"/>
  <c r="AC131"/>
  <c r="AC139" s="1"/>
  <c r="G46"/>
  <c r="H56"/>
  <c r="H130" s="1"/>
  <c r="AA130"/>
  <c r="AB130"/>
  <c r="AB131" l="1"/>
  <c r="AB139" s="1"/>
  <c r="AB138"/>
  <c r="AA138"/>
  <c r="AA131"/>
  <c r="AA139" s="1"/>
  <c r="H131"/>
  <c r="H139" s="1"/>
  <c r="H138"/>
  <c r="F46"/>
  <c r="G56"/>
  <c r="G130" s="1"/>
  <c r="Z130"/>
  <c r="Z131" l="1"/>
  <c r="Z139" s="1"/>
  <c r="Z138"/>
  <c r="G138"/>
  <c r="G131"/>
  <c r="G139" s="1"/>
  <c r="E46"/>
  <c r="F56"/>
  <c r="X130"/>
  <c r="Y130"/>
  <c r="Y138" s="1"/>
  <c r="Y131" l="1"/>
  <c r="Y139" s="1"/>
  <c r="X131"/>
  <c r="X139" s="1"/>
  <c r="X138"/>
  <c r="AD46"/>
  <c r="E56"/>
  <c r="E130" s="1"/>
  <c r="E138" s="1"/>
  <c r="F130"/>
  <c r="W130"/>
  <c r="AD56" l="1"/>
  <c r="AD130" s="1"/>
  <c r="AD131" s="1"/>
  <c r="AD139" s="1"/>
  <c r="AD138" s="1"/>
  <c r="E131"/>
  <c r="E139" s="1"/>
  <c r="F131"/>
  <c r="F139" s="1"/>
  <c r="F138"/>
  <c r="W138"/>
  <c r="W131"/>
  <c r="W139" s="1"/>
  <c r="V130"/>
  <c r="V131" l="1"/>
  <c r="V139" s="1"/>
  <c r="V138"/>
  <c r="U130"/>
  <c r="X144" s="1"/>
  <c r="X148" s="1"/>
  <c r="U138" l="1"/>
  <c r="U139"/>
  <c r="S130"/>
  <c r="T139" l="1"/>
  <c r="T138"/>
  <c r="S138"/>
  <c r="S131"/>
  <c r="S139" s="1"/>
  <c r="R130"/>
  <c r="R131" l="1"/>
  <c r="R139" s="1"/>
  <c r="R138"/>
  <c r="Q130"/>
  <c r="Q131" s="1"/>
  <c r="X145" l="1"/>
  <c r="X150" s="1"/>
  <c r="Q139"/>
  <c r="Q138"/>
  <c r="J151" l="1"/>
  <c r="N130"/>
  <c r="O138" l="1"/>
  <c r="O131"/>
  <c r="N138"/>
  <c r="N131"/>
  <c r="N139" s="1"/>
  <c r="M130"/>
  <c r="X146" s="1"/>
  <c r="O139" l="1"/>
  <c r="AE139" s="1"/>
  <c r="AE131"/>
  <c r="M145"/>
  <c r="M131"/>
  <c r="M139" s="1"/>
  <c r="M138"/>
  <c r="I56" l="1"/>
  <c r="I130" s="1"/>
  <c r="I138" l="1"/>
  <c r="I131"/>
  <c r="I139" s="1"/>
  <c r="X147"/>
</calcChain>
</file>

<file path=xl/sharedStrings.xml><?xml version="1.0" encoding="utf-8"?>
<sst xmlns="http://schemas.openxmlformats.org/spreadsheetml/2006/main" count="377" uniqueCount="293">
  <si>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</si>
  <si>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</si>
  <si>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</si>
  <si>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</si>
  <si>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</si>
  <si>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</si>
  <si>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</si>
  <si>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</si>
  <si>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</si>
  <si>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</si>
  <si>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</si>
  <si>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</si>
  <si>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</si>
  <si>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</si>
  <si>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</si>
  <si>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</si>
  <si>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</si>
  <si>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</si>
  <si>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</si>
  <si>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</si>
  <si>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</si>
  <si>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</si>
  <si>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</si>
  <si>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</si>
  <si>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</si>
  <si>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</si>
  <si>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</si>
  <si>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</si>
  <si>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</si>
  <si>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</si>
  <si>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</si>
  <si>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</si>
  <si>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</si>
  <si>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</si>
  <si>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</si>
  <si>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</si>
  <si>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</si>
  <si>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</si>
  <si>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</si>
  <si>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</si>
  <si>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</si>
  <si>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</si>
  <si>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</si>
  <si>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</si>
  <si>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</si>
  <si>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</si>
  <si>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</si>
  <si>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</si>
  <si>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</si>
  <si>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</si>
  <si>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</si>
  <si>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</si>
  <si>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</si>
  <si>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</si>
  <si>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</si>
  <si>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</si>
  <si>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</si>
  <si>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</si>
  <si>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</si>
  <si>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</si>
  <si>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</si>
  <si>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</si>
  <si>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</si>
  <si>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</si>
  <si>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</si>
  <si>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</si>
  <si>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</si>
  <si>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</si>
  <si>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</si>
  <si>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</si>
  <si>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</si>
  <si>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</si>
  <si>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</si>
  <si>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</si>
  <si>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</si>
  <si>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</si>
  <si>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</si>
  <si>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</si>
  <si>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</si>
  <si>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</si>
  <si>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</si>
  <si>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</si>
  <si>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</si>
  <si>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</si>
  <si>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МАУИ "ТЮЗ "Дилижанс",</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</si>
  <si>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</si>
  <si>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</si>
  <si>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</si>
  <si>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</si>
  <si>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</si>
  <si>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</si>
  <si>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</si>
  <si>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</si>
  <si>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</si>
  <si>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</si>
  <si>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</si>
  <si>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</si>
  <si>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</si>
  <si>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</si>
  <si>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</si>
  <si>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</si>
  <si>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</si>
  <si>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</si>
  <si>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</si>
  <si>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</si>
  <si>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</si>
  <si>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</si>
  <si>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</si>
  <si>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</si>
  <si>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</si>
  <si>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</si>
  <si>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</si>
  <si>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</si>
  <si>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</si>
  <si>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</si>
  <si>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</si>
  <si>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</si>
  <si>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</si>
  <si>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</si>
  <si>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</si>
  <si>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</si>
  <si>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</si>
  <si>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</si>
  <si>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</si>
  <si>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</si>
  <si>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</si>
  <si>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</si>
  <si>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</si>
  <si>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</si>
  <si>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</si>
  <si>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</si>
  <si>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</si>
  <si>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</si>
  <si>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</si>
  <si>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</si>
  <si>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</si>
  <si>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</si>
  <si>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</si>
  <si>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</si>
  <si>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</si>
  <si>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</si>
  <si>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</si>
  <si>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</si>
  <si>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</si>
  <si>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</si>
  <si>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</si>
  <si>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</si>
  <si>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</si>
  <si>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</si>
  <si>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</si>
  <si>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</si>
  <si>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</si>
  <si>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</si>
  <si>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</si>
  <si>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</si>
  <si>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</si>
  <si>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</si>
  <si>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</si>
  <si>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</si>
  <si>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</si>
  <si>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</si>
  <si>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</si>
  <si>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</si>
  <si>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</si>
  <si>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</si>
  <si>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</si>
  <si>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</si>
  <si>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</si>
  <si>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</si>
  <si>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</si>
  <si>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</si>
  <si>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</si>
  <si>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</si>
  <si>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</si>
  <si>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</si>
  <si>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</si>
  <si>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</si>
  <si>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</si>
  <si>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</si>
  <si>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</si>
  <si>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</si>
  <si>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</si>
  <si>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</si>
  <si>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</si>
  <si>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</si>
  <si>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</si>
  <si>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</si>
  <si>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</si>
  <si>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</si>
  <si>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</si>
  <si>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</si>
  <si>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</si>
  <si>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</si>
  <si>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</si>
  <si>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</si>
  <si>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</si>
  <si>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</si>
  <si>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</si>
  <si>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</si>
  <si>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</si>
  <si>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</si>
  <si>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</si>
  <si>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</si>
  <si>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</si>
  <si>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</si>
  <si>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</si>
  <si>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</si>
  <si>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</si>
  <si>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</si>
  <si>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</si>
  <si>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</si>
  <si>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</si>
  <si>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</si>
  <si>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</si>
  <si>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</si>
  <si>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</si>
  <si>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</si>
  <si>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</si>
  <si>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</si>
  <si>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</si>
  <si>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</si>
  <si>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</si>
  <si>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</si>
  <si>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</si>
  <si>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</si>
  <si>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</si>
  <si>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</si>
  <si>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</si>
  <si>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</si>
  <si>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</si>
  <si>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</si>
  <si>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</si>
  <si>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</si>
  <si>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</si>
  <si>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</si>
  <si>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</si>
  <si>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</si>
  <si>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</si>
  <si>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</si>
  <si>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</si>
  <si>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</si>
  <si>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</si>
  <si>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</si>
  <si>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</si>
  <si>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</si>
  <si>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</si>
  <si>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</si>
  <si>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</si>
  <si>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</si>
  <si>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</si>
  <si>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</si>
  <si>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</si>
  <si>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</si>
  <si>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</si>
  <si>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</si>
  <si>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</si>
  <si>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</si>
  <si>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</si>
  <si>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</si>
  <si>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</si>
  <si>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</si>
  <si>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</si>
  <si>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</si>
  <si>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</si>
  <si>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</si>
  <si>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r>
      <t xml:space="preserve">МБУК ТКМ, </t>
    </r>
    <r>
      <rPr>
        <sz val="12"/>
        <color rgb="FFFF0000"/>
        <rFont val="Times New Roman"/>
        <family val="1"/>
        <charset val="204"/>
      </rPr>
      <t>МБУИиК г.о. Тольятти "Тольяттинская филармония</t>
    </r>
    <r>
      <rPr>
        <sz val="12"/>
        <rFont val="Times New Roman"/>
        <family val="1"/>
        <charset val="204"/>
      </rPr>
      <t>", МБУК "Библиотеки Тольятти", МБУДО ХШ им. М. Шагала, МБОУ ВО ТК   
(департамент культуры)</t>
    </r>
  </si>
  <si>
    <r>
      <t xml:space="preserve"> МБУК "Библиотеки Тольятти", МБУК ОДБ, </t>
    </r>
    <r>
      <rPr>
        <sz val="12"/>
        <color rgb="FFFF0000"/>
        <rFont val="Times New Roman"/>
        <family val="1"/>
        <charset val="204"/>
      </rPr>
      <t>МАУ "КЦ"Автоград"</t>
    </r>
    <r>
      <rPr>
        <sz val="12"/>
        <rFont val="Times New Roman"/>
        <family val="1"/>
        <charset val="204"/>
      </rPr>
      <t>,
(департамент культуры)</t>
    </r>
  </si>
  <si>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</si>
  <si>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</si>
  <si>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 xml:space="preserve">МБУК "Библиотеки Тольятти", МАУ КДЦ "Буревестник", МАУИ "ТЮЗ "Дилижанс", МБУ ДО ДМШ № 4 им. В.М. Свердлова, МБУИ г.о. Тольятти "МДТ", МБУК ТКМ, МБУ ДО Школа искусств Центрального района,                                                 (департамент культуры)  </t>
  </si>
  <si>
    <t>2019, 2021</t>
  </si>
  <si>
    <t>2019, 2020, 2021</t>
  </si>
  <si>
    <t>2020, 2021</t>
  </si>
  <si>
    <t>2019, 2020, 2021, 2023</t>
  </si>
  <si>
    <t>2019-2020</t>
  </si>
  <si>
    <t>2019, 2020, 2023</t>
  </si>
  <si>
    <t>2019, 2021, 2022, 2023</t>
  </si>
  <si>
    <t>-</t>
  </si>
  <si>
    <t>2022-2023</t>
  </si>
  <si>
    <t>2021-2023</t>
  </si>
  <si>
    <t>2019 - 2021</t>
  </si>
  <si>
    <t>Приложение                                                                                                                                                                                                                                                                                                            к постановлению администрации городского округа Тольятти                                                                                                                                                                                                                                                                             от ______________№_________________</t>
  </si>
  <si>
    <t>Биб-ки Тольятти</t>
  </si>
  <si>
    <t>Автоград</t>
  </si>
  <si>
    <t>ОДБ</t>
  </si>
  <si>
    <t>областной</t>
  </si>
  <si>
    <t>всего вышестоящий</t>
  </si>
  <si>
    <t>федеральный</t>
  </si>
  <si>
    <t xml:space="preserve">Проведение капитального ремонта (частично),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 в муниципальных музеях: </t>
  </si>
  <si>
    <t>6.9.</t>
  </si>
  <si>
    <t>Проектно-изыскательские работы на восстановление стелы-панно "Радость труда"</t>
  </si>
  <si>
    <r>
      <t>МБУК "Библиотеки Тольятти", МБУК ОДБ</t>
    </r>
    <r>
      <rPr>
        <sz val="12"/>
        <rFont val="Times New Roman"/>
        <family val="1"/>
        <charset val="204"/>
      </rPr>
      <t xml:space="preserve"> (департамент культуры)</t>
    </r>
  </si>
  <si>
    <t>2022, 2023</t>
  </si>
</sst>
</file>

<file path=xl/styles.xml><?xml version="1.0" encoding="utf-8"?>
<styleSheet xmlns="http://schemas.openxmlformats.org/spreadsheetml/2006/main">
  <numFmts count="1">
    <numFmt numFmtId="164" formatCode="#,##0.000"/>
  </numFmts>
  <fonts count="17">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87">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0" fontId="9" fillId="0" borderId="1" xfId="0" applyFont="1" applyFill="1" applyBorder="1" applyAlignment="1">
      <alignment horizontal="left" vertical="center" wrapText="1"/>
    </xf>
    <xf numFmtId="4" fontId="10" fillId="0" borderId="0" xfId="0" applyNumberFormat="1" applyFont="1" applyFill="1"/>
    <xf numFmtId="4" fontId="0" fillId="0" borderId="0" xfId="0" applyNumberFormat="1" applyFill="1"/>
    <xf numFmtId="0" fontId="12"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wrapText="1"/>
    </xf>
    <xf numFmtId="4" fontId="14" fillId="0" borderId="1" xfId="0" applyNumberFormat="1" applyFont="1" applyFill="1" applyBorder="1"/>
    <xf numFmtId="4" fontId="11" fillId="0" borderId="0" xfId="0" applyNumberFormat="1" applyFont="1" applyFill="1"/>
    <xf numFmtId="4" fontId="14" fillId="0" borderId="1" xfId="0" applyNumberFormat="1" applyFont="1" applyFill="1" applyBorder="1" applyAlignment="1">
      <alignment horizontal="right"/>
    </xf>
    <xf numFmtId="164" fontId="12" fillId="0" borderId="1" xfId="0" applyNumberFormat="1" applyFont="1" applyFill="1" applyBorder="1" applyAlignment="1">
      <alignment horizontal="right"/>
    </xf>
    <xf numFmtId="164" fontId="14" fillId="0" borderId="1" xfId="0" applyNumberFormat="1" applyFont="1" applyFill="1" applyBorder="1" applyAlignment="1">
      <alignment horizontal="right" wrapText="1"/>
    </xf>
    <xf numFmtId="164" fontId="0" fillId="0" borderId="0" xfId="0" applyNumberFormat="1" applyFill="1"/>
    <xf numFmtId="4" fontId="0" fillId="0" borderId="0" xfId="0" applyNumberFormat="1" applyFill="1" applyAlignment="1">
      <alignment horizontal="right"/>
    </xf>
    <xf numFmtId="0" fontId="1" fillId="0" borderId="4"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4" fontId="14" fillId="5" borderId="1" xfId="0" applyNumberFormat="1" applyFont="1" applyFill="1" applyBorder="1"/>
    <xf numFmtId="4" fontId="12" fillId="5" borderId="1" xfId="0" applyNumberFormat="1" applyFont="1" applyFill="1" applyBorder="1"/>
    <xf numFmtId="4" fontId="14" fillId="5" borderId="1" xfId="0" applyNumberFormat="1" applyFont="1" applyFill="1" applyBorder="1" applyAlignment="1">
      <alignment horizontal="right"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left" vertical="center" wrapText="1"/>
    </xf>
    <xf numFmtId="0" fontId="1" fillId="6" borderId="1" xfId="0" applyFont="1" applyFill="1" applyBorder="1" applyAlignment="1">
      <alignment horizontal="center" vertical="center" textRotation="90"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1" fillId="6"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0" fontId="1"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2" fillId="5" borderId="1" xfId="0" applyNumberFormat="1" applyFont="1" applyFill="1" applyBorder="1" applyAlignment="1">
      <alignment horizontal="right" wrapText="1"/>
    </xf>
    <xf numFmtId="4" fontId="1" fillId="5" borderId="1" xfId="0" applyNumberFormat="1" applyFont="1" applyFill="1" applyBorder="1" applyAlignment="1">
      <alignment horizontal="right" wrapText="1"/>
    </xf>
    <xf numFmtId="4" fontId="12" fillId="5" borderId="1" xfId="0" applyNumberFormat="1" applyFont="1" applyFill="1" applyBorder="1" applyAlignment="1">
      <alignment horizontal="right"/>
    </xf>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7" borderId="9" xfId="0" applyFont="1" applyFill="1" applyBorder="1"/>
    <xf numFmtId="0" fontId="16" fillId="7" borderId="10" xfId="0" applyFont="1" applyFill="1" applyBorder="1" applyAlignment="1">
      <alignment horizontal="center"/>
    </xf>
    <xf numFmtId="4" fontId="16" fillId="7" borderId="10" xfId="0" applyNumberFormat="1" applyFont="1" applyFill="1" applyBorder="1" applyAlignment="1">
      <alignment horizontal="center"/>
    </xf>
    <xf numFmtId="2" fontId="13" fillId="7" borderId="10" xfId="0" applyNumberFormat="1" applyFont="1" applyFill="1" applyBorder="1" applyAlignment="1">
      <alignment horizontal="center"/>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3" fillId="7" borderId="8"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4" fontId="1" fillId="5" borderId="1" xfId="0" applyNumberFormat="1" applyFont="1" applyFill="1" applyBorder="1" applyAlignment="1">
      <alignment wrapText="1"/>
    </xf>
    <xf numFmtId="4" fontId="1" fillId="5" borderId="1" xfId="0" applyNumberFormat="1" applyFont="1" applyFill="1" applyBorder="1" applyAlignment="1">
      <alignment horizontal="right"/>
    </xf>
    <xf numFmtId="0" fontId="1" fillId="5" borderId="1" xfId="0" applyFont="1" applyFill="1" applyBorder="1" applyAlignment="1">
      <alignment horizontal="left" vertical="center" wrapText="1"/>
    </xf>
    <xf numFmtId="4" fontId="6" fillId="5" borderId="1" xfId="0" applyNumberFormat="1" applyFont="1" applyFill="1" applyBorder="1" applyAlignment="1">
      <alignment horizontal="right" wrapText="1"/>
    </xf>
    <xf numFmtId="0" fontId="1" fillId="5" borderId="1" xfId="0" applyFont="1" applyFill="1" applyBorder="1" applyAlignment="1">
      <alignment horizontal="center" vertical="center" wrapText="1"/>
    </xf>
    <xf numFmtId="4" fontId="1" fillId="5" borderId="1" xfId="0" applyNumberFormat="1" applyFont="1" applyFill="1" applyBorder="1"/>
    <xf numFmtId="0" fontId="1" fillId="0" borderId="1" xfId="0" applyFont="1" applyFill="1" applyBorder="1" applyAlignment="1">
      <alignment horizontal="left" vertical="center" wrapText="1"/>
    </xf>
    <xf numFmtId="4" fontId="12" fillId="6" borderId="1" xfId="0" applyNumberFormat="1" applyFont="1" applyFill="1" applyBorder="1" applyAlignment="1">
      <alignment horizontal="right"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154"/>
  <sheetViews>
    <sheetView tabSelected="1" view="pageBreakPreview" zoomScale="80" zoomScaleNormal="53" zoomScaleSheetLayoutView="80" workbookViewId="0">
      <pane xSplit="3" ySplit="9" topLeftCell="X10" activePane="bottomRight" state="frozen"/>
      <selection pane="topRight" activeCell="D1" sqref="D1"/>
      <selection pane="bottomLeft" activeCell="A10" sqref="A10"/>
      <selection pane="bottomRight" activeCell="D122" sqref="D122:D124"/>
    </sheetView>
  </sheetViews>
  <sheetFormatPr defaultRowHeight="15"/>
  <cols>
    <col min="1" max="1" width="7" style="60" customWidth="1"/>
    <col min="2" max="2" width="55.7109375" style="60" customWidth="1"/>
    <col min="3" max="3" width="66.85546875" style="60" customWidth="1"/>
    <col min="4" max="4" width="16.42578125" customWidth="1"/>
    <col min="5" max="5" width="15.42578125" style="46" customWidth="1"/>
    <col min="6" max="6" width="15" style="11" customWidth="1"/>
    <col min="7" max="7" width="14" style="39" customWidth="1"/>
    <col min="8" max="8" width="14.140625" style="39" customWidth="1"/>
    <col min="9" max="9" width="13.7109375" style="11" customWidth="1"/>
    <col min="10" max="10" width="18.85546875" style="3" customWidth="1"/>
    <col min="11" max="11" width="14.5703125" customWidth="1"/>
    <col min="12" max="12" width="12.42578125" customWidth="1"/>
    <col min="13" max="13" width="15.7109375" customWidth="1"/>
    <col min="14" max="14" width="13.28515625" customWidth="1"/>
    <col min="15" max="15" width="14.42578125" style="60" customWidth="1"/>
    <col min="16" max="16" width="16" style="60" customWidth="1"/>
    <col min="17" max="17" width="15.5703125" style="60" customWidth="1"/>
    <col min="18" max="19" width="14.28515625" style="60" customWidth="1"/>
    <col min="20" max="20" width="16.28515625" style="60" customWidth="1"/>
    <col min="21" max="21" width="15.7109375" style="60" customWidth="1"/>
    <col min="22" max="22" width="12.5703125" style="60" customWidth="1"/>
    <col min="23" max="23" width="12.140625" style="60" customWidth="1"/>
    <col min="24" max="24" width="19.5703125" style="60" customWidth="1"/>
    <col min="25" max="25" width="15.7109375" style="60" customWidth="1"/>
    <col min="26" max="26" width="14.5703125" style="60" customWidth="1"/>
    <col min="27" max="27" width="14.7109375" style="60" customWidth="1"/>
    <col min="28" max="28" width="14.28515625" style="60" customWidth="1"/>
    <col min="29" max="29" width="14" style="60" customWidth="1"/>
    <col min="30" max="30" width="18.7109375" style="60" customWidth="1"/>
    <col min="31" max="31" width="17.5703125" customWidth="1"/>
  </cols>
  <sheetData>
    <row r="1" spans="1:30" ht="54.75" customHeight="1">
      <c r="B1" s="8"/>
      <c r="C1" s="9"/>
      <c r="D1" s="9"/>
      <c r="E1" s="8"/>
      <c r="F1" s="147" t="s">
        <v>281</v>
      </c>
      <c r="G1" s="147"/>
      <c r="H1" s="147"/>
      <c r="I1" s="147"/>
      <c r="J1" s="147"/>
      <c r="K1" s="147"/>
      <c r="L1" s="147"/>
      <c r="M1" s="148"/>
      <c r="N1" s="8"/>
      <c r="O1" s="8"/>
      <c r="P1" s="8"/>
      <c r="Q1" s="8"/>
      <c r="R1" s="8"/>
      <c r="S1" s="8"/>
      <c r="T1" s="8"/>
      <c r="U1" s="8"/>
      <c r="V1" s="8"/>
      <c r="W1" s="8"/>
      <c r="X1" s="8"/>
      <c r="Y1" s="8"/>
      <c r="Z1" s="8"/>
      <c r="AA1" s="8"/>
      <c r="AB1" s="8"/>
      <c r="AC1" s="8"/>
      <c r="AD1" s="8"/>
    </row>
    <row r="2" spans="1:30" ht="28.15" customHeight="1">
      <c r="B2" s="8"/>
      <c r="C2" s="9"/>
      <c r="D2" s="9"/>
      <c r="E2" s="8"/>
      <c r="F2" s="147" t="s">
        <v>223</v>
      </c>
      <c r="G2" s="147"/>
      <c r="H2" s="147"/>
      <c r="I2" s="147"/>
      <c r="J2" s="147"/>
      <c r="K2" s="147"/>
      <c r="L2" s="147"/>
      <c r="M2" s="8"/>
      <c r="N2" s="8"/>
      <c r="O2" s="8"/>
      <c r="P2" s="8"/>
      <c r="Q2" s="8"/>
      <c r="R2" s="8"/>
      <c r="S2" s="8"/>
      <c r="T2" s="8"/>
      <c r="U2" s="8"/>
      <c r="V2" s="8"/>
      <c r="W2" s="8"/>
      <c r="X2" s="8"/>
      <c r="Y2" s="8"/>
      <c r="Z2" s="8"/>
      <c r="AA2" s="8"/>
      <c r="AB2" s="8"/>
      <c r="AC2" s="8"/>
      <c r="AD2" s="8"/>
    </row>
    <row r="3" spans="1:30" ht="33" customHeight="1">
      <c r="B3" s="147" t="s">
        <v>27</v>
      </c>
      <c r="C3" s="147"/>
      <c r="D3" s="147"/>
      <c r="E3" s="73"/>
      <c r="F3" s="73"/>
      <c r="G3" s="73"/>
      <c r="H3" s="73"/>
      <c r="I3" s="73"/>
      <c r="J3" s="73"/>
      <c r="K3" s="73"/>
      <c r="L3" s="73"/>
      <c r="M3" s="8"/>
      <c r="N3" s="8"/>
      <c r="O3" s="8"/>
      <c r="P3" s="8"/>
      <c r="Q3" s="8"/>
      <c r="R3" s="8"/>
      <c r="S3" s="8"/>
      <c r="T3" s="8"/>
      <c r="U3" s="8"/>
      <c r="V3" s="8"/>
      <c r="W3" s="8"/>
      <c r="X3" s="8"/>
      <c r="Y3" s="8"/>
      <c r="Z3" s="8"/>
      <c r="AA3" s="8"/>
      <c r="AB3" s="8"/>
      <c r="AC3" s="8"/>
      <c r="AD3" s="8"/>
    </row>
    <row r="4" spans="1:30" ht="1.9" hidden="1" customHeight="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68" t="s">
        <v>28</v>
      </c>
      <c r="B6" s="153" t="s">
        <v>29</v>
      </c>
      <c r="C6" s="149" t="s">
        <v>30</v>
      </c>
      <c r="D6" s="149" t="s">
        <v>0</v>
      </c>
      <c r="E6" s="153" t="s">
        <v>31</v>
      </c>
      <c r="F6" s="153"/>
      <c r="G6" s="153"/>
      <c r="H6" s="153"/>
      <c r="I6" s="153"/>
      <c r="J6" s="153"/>
      <c r="K6" s="153"/>
      <c r="L6" s="153"/>
      <c r="M6" s="153"/>
      <c r="N6" s="153"/>
      <c r="O6" s="171" t="s">
        <v>31</v>
      </c>
      <c r="P6" s="171"/>
      <c r="Q6" s="171"/>
      <c r="R6" s="171"/>
      <c r="S6" s="171"/>
      <c r="T6" s="171"/>
      <c r="U6" s="171"/>
      <c r="V6" s="171"/>
      <c r="W6" s="171"/>
      <c r="X6" s="171"/>
      <c r="Y6" s="177" t="s">
        <v>31</v>
      </c>
      <c r="Z6" s="178"/>
      <c r="AA6" s="178"/>
      <c r="AB6" s="178"/>
      <c r="AC6" s="178"/>
      <c r="AD6" s="179"/>
    </row>
    <row r="7" spans="1:30" ht="23.25" customHeight="1">
      <c r="A7" s="169"/>
      <c r="B7" s="170"/>
      <c r="C7" s="170"/>
      <c r="D7" s="150"/>
      <c r="E7" s="151" t="s">
        <v>39</v>
      </c>
      <c r="F7" s="152"/>
      <c r="G7" s="152"/>
      <c r="H7" s="152"/>
      <c r="I7" s="152"/>
      <c r="J7" s="151" t="s">
        <v>40</v>
      </c>
      <c r="K7" s="152"/>
      <c r="L7" s="152"/>
      <c r="M7" s="152"/>
      <c r="N7" s="152"/>
      <c r="O7" s="151" t="s">
        <v>41</v>
      </c>
      <c r="P7" s="152"/>
      <c r="Q7" s="152"/>
      <c r="R7" s="152"/>
      <c r="S7" s="152"/>
      <c r="T7" s="151" t="s">
        <v>42</v>
      </c>
      <c r="U7" s="152"/>
      <c r="V7" s="152"/>
      <c r="W7" s="152"/>
      <c r="X7" s="152"/>
      <c r="Y7" s="185" t="s">
        <v>43</v>
      </c>
      <c r="Z7" s="186"/>
      <c r="AA7" s="186"/>
      <c r="AB7" s="186"/>
      <c r="AC7" s="186"/>
      <c r="AD7" s="184" t="s">
        <v>32</v>
      </c>
    </row>
    <row r="8" spans="1:30" ht="87.75" customHeight="1">
      <c r="A8" s="169"/>
      <c r="B8" s="170"/>
      <c r="C8" s="170"/>
      <c r="D8" s="150"/>
      <c r="E8" s="71" t="s">
        <v>1</v>
      </c>
      <c r="F8" s="71" t="s">
        <v>20</v>
      </c>
      <c r="G8" s="71" t="s">
        <v>21</v>
      </c>
      <c r="H8" s="71" t="s">
        <v>22</v>
      </c>
      <c r="I8" s="71" t="s">
        <v>23</v>
      </c>
      <c r="J8" s="71" t="s">
        <v>1</v>
      </c>
      <c r="K8" s="71" t="s">
        <v>20</v>
      </c>
      <c r="L8" s="71" t="s">
        <v>21</v>
      </c>
      <c r="M8" s="71" t="s">
        <v>22</v>
      </c>
      <c r="N8" s="71" t="s">
        <v>23</v>
      </c>
      <c r="O8" s="84" t="s">
        <v>1</v>
      </c>
      <c r="P8" s="84" t="s">
        <v>20</v>
      </c>
      <c r="Q8" s="84" t="s">
        <v>21</v>
      </c>
      <c r="R8" s="84" t="s">
        <v>22</v>
      </c>
      <c r="S8" s="84" t="s">
        <v>23</v>
      </c>
      <c r="T8" s="84" t="s">
        <v>1</v>
      </c>
      <c r="U8" s="84" t="s">
        <v>20</v>
      </c>
      <c r="V8" s="84" t="s">
        <v>21</v>
      </c>
      <c r="W8" s="84" t="s">
        <v>22</v>
      </c>
      <c r="X8" s="84" t="s">
        <v>23</v>
      </c>
      <c r="Y8" s="84" t="s">
        <v>1</v>
      </c>
      <c r="Z8" s="84" t="s">
        <v>20</v>
      </c>
      <c r="AA8" s="84" t="s">
        <v>21</v>
      </c>
      <c r="AB8" s="84" t="s">
        <v>22</v>
      </c>
      <c r="AC8" s="84" t="s">
        <v>23</v>
      </c>
      <c r="AD8" s="184"/>
    </row>
    <row r="9" spans="1:30" ht="13.5" customHeight="1">
      <c r="A9" s="85">
        <v>1</v>
      </c>
      <c r="B9" s="85">
        <v>2</v>
      </c>
      <c r="C9" s="85">
        <v>3</v>
      </c>
      <c r="D9" s="72">
        <v>4</v>
      </c>
      <c r="E9" s="72">
        <v>5</v>
      </c>
      <c r="F9" s="72">
        <v>6</v>
      </c>
      <c r="G9" s="72">
        <v>7</v>
      </c>
      <c r="H9" s="72">
        <v>8</v>
      </c>
      <c r="I9" s="72">
        <v>9</v>
      </c>
      <c r="J9" s="72">
        <v>10</v>
      </c>
      <c r="K9" s="72">
        <v>11</v>
      </c>
      <c r="L9" s="72">
        <v>12</v>
      </c>
      <c r="M9" s="72">
        <v>13</v>
      </c>
      <c r="N9" s="72">
        <v>14</v>
      </c>
      <c r="O9" s="85">
        <v>15</v>
      </c>
      <c r="P9" s="85">
        <v>16</v>
      </c>
      <c r="Q9" s="85">
        <v>17</v>
      </c>
      <c r="R9" s="85">
        <v>18</v>
      </c>
      <c r="S9" s="85">
        <v>19</v>
      </c>
      <c r="T9" s="85">
        <v>20</v>
      </c>
      <c r="U9" s="85">
        <v>21</v>
      </c>
      <c r="V9" s="85">
        <v>22</v>
      </c>
      <c r="W9" s="85">
        <v>23</v>
      </c>
      <c r="X9" s="85">
        <v>24</v>
      </c>
      <c r="Y9" s="85">
        <v>25</v>
      </c>
      <c r="Z9" s="85">
        <v>26</v>
      </c>
      <c r="AA9" s="85">
        <v>27</v>
      </c>
      <c r="AB9" s="85">
        <v>28</v>
      </c>
      <c r="AC9" s="85">
        <v>29</v>
      </c>
      <c r="AD9" s="82">
        <v>30</v>
      </c>
    </row>
    <row r="10" spans="1:30" s="11" customFormat="1" ht="47.45" customHeight="1">
      <c r="A10" s="1"/>
      <c r="B10" s="166" t="s">
        <v>128</v>
      </c>
      <c r="C10" s="167"/>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155" t="s">
        <v>129</v>
      </c>
      <c r="C11" s="156"/>
      <c r="D11" s="70"/>
      <c r="E11" s="70"/>
      <c r="F11" s="70"/>
      <c r="G11" s="70"/>
      <c r="H11" s="70"/>
      <c r="I11" s="70"/>
      <c r="J11" s="70"/>
      <c r="K11" s="70"/>
      <c r="L11" s="70"/>
      <c r="M11" s="70"/>
      <c r="N11" s="70"/>
      <c r="O11" s="7"/>
      <c r="P11" s="7"/>
      <c r="Q11" s="7"/>
      <c r="R11" s="7"/>
      <c r="S11" s="7"/>
      <c r="T11" s="7"/>
      <c r="U11" s="7"/>
      <c r="V11" s="7"/>
      <c r="W11" s="7"/>
      <c r="X11" s="7"/>
      <c r="Y11" s="7"/>
      <c r="Z11" s="7"/>
      <c r="AA11" s="7"/>
      <c r="AB11" s="7"/>
      <c r="AC11" s="7"/>
      <c r="AD11" s="7"/>
    </row>
    <row r="12" spans="1:30" s="11" customFormat="1" ht="127.9" customHeight="1">
      <c r="A12" s="86" t="s">
        <v>2</v>
      </c>
      <c r="B12" s="87" t="s">
        <v>45</v>
      </c>
      <c r="C12" s="158" t="s">
        <v>146</v>
      </c>
      <c r="D12" s="161"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86" t="s">
        <v>235</v>
      </c>
      <c r="B13" s="157" t="s">
        <v>18</v>
      </c>
      <c r="C13" s="159"/>
      <c r="D13" s="162"/>
      <c r="E13" s="4">
        <f>SUM(F13:G13)</f>
        <v>460697</v>
      </c>
      <c r="F13" s="4">
        <v>326623</v>
      </c>
      <c r="G13" s="4">
        <v>134074</v>
      </c>
      <c r="H13" s="4">
        <v>0</v>
      </c>
      <c r="I13" s="4">
        <v>0</v>
      </c>
      <c r="J13" s="4">
        <f>SUM(K13:L13)</f>
        <v>490804</v>
      </c>
      <c r="K13" s="4">
        <f>499409-3814-2223-2568</f>
        <v>490804</v>
      </c>
      <c r="L13" s="4">
        <v>0</v>
      </c>
      <c r="M13" s="4">
        <v>0</v>
      </c>
      <c r="N13" s="4">
        <v>0</v>
      </c>
      <c r="O13" s="29">
        <f>SUM(P13:Q13)</f>
        <v>509649</v>
      </c>
      <c r="P13" s="29">
        <f>455435+21634+1669+13460+17451</f>
        <v>509649</v>
      </c>
      <c r="Q13" s="29">
        <v>0</v>
      </c>
      <c r="R13" s="30">
        <v>0</v>
      </c>
      <c r="S13" s="30">
        <v>0</v>
      </c>
      <c r="T13" s="117">
        <f>SUM(U13:V13)</f>
        <v>513126</v>
      </c>
      <c r="U13" s="119">
        <f>425523+20032+67571</f>
        <v>513126</v>
      </c>
      <c r="V13" s="5">
        <v>0</v>
      </c>
      <c r="W13" s="5">
        <v>0</v>
      </c>
      <c r="X13" s="5">
        <v>0</v>
      </c>
      <c r="Y13" s="117">
        <f>SUM(Z13:AA13)</f>
        <v>468433</v>
      </c>
      <c r="Z13" s="119">
        <f>425523+20032+22878</f>
        <v>468433</v>
      </c>
      <c r="AA13" s="5">
        <v>0</v>
      </c>
      <c r="AB13" s="5">
        <v>0</v>
      </c>
      <c r="AC13" s="5">
        <v>0</v>
      </c>
      <c r="AD13" s="137">
        <f>SUM(Y13,T13,O13,J13,E13)</f>
        <v>2442709</v>
      </c>
    </row>
    <row r="14" spans="1:30" s="11" customFormat="1" ht="24" hidden="1" customHeight="1" thickBot="1">
      <c r="A14" s="86"/>
      <c r="B14" s="157"/>
      <c r="C14" s="159"/>
      <c r="D14" s="162"/>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29">
        <f t="shared" ref="Y14:Y23" si="3">SUM(Z14:AC14)</f>
        <v>0</v>
      </c>
      <c r="Z14" s="30">
        <v>0</v>
      </c>
      <c r="AA14" s="5">
        <v>0</v>
      </c>
      <c r="AB14" s="5">
        <v>0</v>
      </c>
      <c r="AC14" s="5">
        <v>0</v>
      </c>
      <c r="AD14" s="5">
        <f t="shared" ref="AD14:AD16" si="4">SUM(Y14,T14,O14,J14,E14)</f>
        <v>0</v>
      </c>
    </row>
    <row r="15" spans="1:30" s="11" customFormat="1" ht="83.45" customHeight="1">
      <c r="A15" s="86" t="s">
        <v>236</v>
      </c>
      <c r="B15" s="87" t="s">
        <v>19</v>
      </c>
      <c r="C15" s="159"/>
      <c r="D15" s="163"/>
      <c r="E15" s="4">
        <f>SUM(F15:G15)</f>
        <v>354602</v>
      </c>
      <c r="F15" s="4">
        <v>244730</v>
      </c>
      <c r="G15" s="4">
        <v>109872</v>
      </c>
      <c r="H15" s="4">
        <v>0</v>
      </c>
      <c r="I15" s="4">
        <v>0</v>
      </c>
      <c r="J15" s="29">
        <f>SUM(K15:L15)</f>
        <v>385054</v>
      </c>
      <c r="K15" s="29">
        <f>387249-2611+416</f>
        <v>385054</v>
      </c>
      <c r="L15" s="4">
        <v>0</v>
      </c>
      <c r="M15" s="4">
        <v>0</v>
      </c>
      <c r="N15" s="4">
        <v>0</v>
      </c>
      <c r="O15" s="29">
        <f>SUM(P15:Q15)</f>
        <v>422164</v>
      </c>
      <c r="P15" s="30">
        <f>407130+17631-2597</f>
        <v>422164</v>
      </c>
      <c r="Q15" s="30">
        <v>0</v>
      </c>
      <c r="R15" s="30">
        <v>0</v>
      </c>
      <c r="S15" s="30">
        <v>0</v>
      </c>
      <c r="T15" s="117">
        <f>SUM(U15:V15)</f>
        <v>440746</v>
      </c>
      <c r="U15" s="119">
        <f>407878+17631+15237</f>
        <v>440746</v>
      </c>
      <c r="V15" s="5">
        <v>0</v>
      </c>
      <c r="W15" s="5">
        <v>0</v>
      </c>
      <c r="X15" s="5">
        <v>0</v>
      </c>
      <c r="Y15" s="117">
        <f>SUM(Z15:AA15)</f>
        <v>440746</v>
      </c>
      <c r="Z15" s="119">
        <f>407878+17631+15237</f>
        <v>440746</v>
      </c>
      <c r="AA15" s="5">
        <v>0</v>
      </c>
      <c r="AB15" s="5">
        <v>0</v>
      </c>
      <c r="AC15" s="5">
        <v>0</v>
      </c>
      <c r="AD15" s="137">
        <f t="shared" si="4"/>
        <v>2043312</v>
      </c>
    </row>
    <row r="16" spans="1:30" s="11" customFormat="1" ht="83.45" customHeight="1">
      <c r="A16" s="86" t="s">
        <v>237</v>
      </c>
      <c r="B16" s="87" t="s">
        <v>229</v>
      </c>
      <c r="C16" s="160"/>
      <c r="D16" s="69"/>
      <c r="E16" s="4"/>
      <c r="F16" s="4"/>
      <c r="G16" s="4"/>
      <c r="H16" s="4"/>
      <c r="I16" s="4"/>
      <c r="J16" s="29">
        <f>SUM(K16:L16)</f>
        <v>6823</v>
      </c>
      <c r="K16" s="29">
        <v>6823</v>
      </c>
      <c r="L16" s="4">
        <v>0</v>
      </c>
      <c r="M16" s="4">
        <v>0</v>
      </c>
      <c r="N16" s="4">
        <v>0</v>
      </c>
      <c r="O16" s="29">
        <f>SUM(P16:Q16)</f>
        <v>30929</v>
      </c>
      <c r="P16" s="30">
        <f>19564+424+10941</f>
        <v>30929</v>
      </c>
      <c r="Q16" s="30">
        <v>0</v>
      </c>
      <c r="R16" s="30">
        <v>0</v>
      </c>
      <c r="S16" s="30">
        <v>0</v>
      </c>
      <c r="T16" s="117">
        <f>SUM(U16:V16)</f>
        <v>24691</v>
      </c>
      <c r="U16" s="119">
        <v>24691</v>
      </c>
      <c r="V16" s="5">
        <v>0</v>
      </c>
      <c r="W16" s="5">
        <v>0</v>
      </c>
      <c r="X16" s="5">
        <v>0</v>
      </c>
      <c r="Y16" s="4">
        <v>0</v>
      </c>
      <c r="Z16" s="5">
        <v>0</v>
      </c>
      <c r="AA16" s="5">
        <v>0</v>
      </c>
      <c r="AB16" s="5">
        <v>0</v>
      </c>
      <c r="AC16" s="5">
        <v>0</v>
      </c>
      <c r="AD16" s="137">
        <f t="shared" si="4"/>
        <v>62443</v>
      </c>
    </row>
    <row r="17" spans="1:30" s="11" customFormat="1" ht="72.599999999999994" customHeight="1">
      <c r="A17" s="86" t="s">
        <v>24</v>
      </c>
      <c r="B17" s="87" t="s">
        <v>264</v>
      </c>
      <c r="C17" s="85" t="s">
        <v>265</v>
      </c>
      <c r="D17" s="96" t="s">
        <v>271</v>
      </c>
      <c r="E17" s="4">
        <f>SUM(F17:G17)</f>
        <v>1669.6</v>
      </c>
      <c r="F17" s="4">
        <f>1737.1-67.5</f>
        <v>1669.6</v>
      </c>
      <c r="G17" s="4">
        <v>0</v>
      </c>
      <c r="H17" s="4">
        <v>0</v>
      </c>
      <c r="I17" s="4">
        <v>0</v>
      </c>
      <c r="J17" s="29">
        <f>SUM(K17:L17)</f>
        <v>93</v>
      </c>
      <c r="K17" s="4">
        <f>0+93</f>
        <v>93</v>
      </c>
      <c r="L17" s="4">
        <v>0</v>
      </c>
      <c r="M17" s="4">
        <v>0</v>
      </c>
      <c r="N17" s="4">
        <v>0</v>
      </c>
      <c r="O17" s="29">
        <f>SUM(P17:Q17)</f>
        <v>1526</v>
      </c>
      <c r="P17" s="29">
        <v>1526</v>
      </c>
      <c r="Q17" s="4">
        <v>0</v>
      </c>
      <c r="R17" s="4">
        <v>0</v>
      </c>
      <c r="S17" s="4">
        <v>0</v>
      </c>
      <c r="T17" s="4">
        <v>0</v>
      </c>
      <c r="U17" s="4">
        <v>0</v>
      </c>
      <c r="V17" s="4">
        <v>0</v>
      </c>
      <c r="W17" s="4">
        <v>0</v>
      </c>
      <c r="X17" s="4">
        <v>0</v>
      </c>
      <c r="Y17" s="4">
        <v>0</v>
      </c>
      <c r="Z17" s="4">
        <v>0</v>
      </c>
      <c r="AA17" s="4">
        <v>0</v>
      </c>
      <c r="AB17" s="4">
        <v>0</v>
      </c>
      <c r="AC17" s="4">
        <v>0</v>
      </c>
      <c r="AD17" s="5">
        <f t="shared" ref="AD17:AD22" si="5">SUM(Y17,T17,O17,J17,E17)</f>
        <v>3288.6</v>
      </c>
    </row>
    <row r="18" spans="1:30" s="11" customFormat="1" ht="144" customHeight="1">
      <c r="A18" s="86" t="s">
        <v>25</v>
      </c>
      <c r="B18" s="87" t="s">
        <v>26</v>
      </c>
      <c r="C18" s="85" t="s">
        <v>76</v>
      </c>
      <c r="D18" s="97" t="s">
        <v>44</v>
      </c>
      <c r="E18" s="4">
        <f>SUM(F18:G18)</f>
        <v>409</v>
      </c>
      <c r="F18" s="4">
        <v>409</v>
      </c>
      <c r="G18" s="4">
        <v>0</v>
      </c>
      <c r="H18" s="4">
        <v>0</v>
      </c>
      <c r="I18" s="4">
        <v>0</v>
      </c>
      <c r="J18" s="29">
        <f>SUM(K18:L18)</f>
        <v>337</v>
      </c>
      <c r="K18" s="29">
        <v>337</v>
      </c>
      <c r="L18" s="4">
        <v>0</v>
      </c>
      <c r="M18" s="4">
        <v>0</v>
      </c>
      <c r="N18" s="4">
        <v>0</v>
      </c>
      <c r="O18" s="29">
        <f>SUM(P18:Q18)</f>
        <v>180.48000000000002</v>
      </c>
      <c r="P18" s="29">
        <f>265.88+5.6-91</f>
        <v>180.48000000000002</v>
      </c>
      <c r="Q18" s="29">
        <v>0</v>
      </c>
      <c r="R18" s="29">
        <v>0</v>
      </c>
      <c r="S18" s="29">
        <v>0</v>
      </c>
      <c r="T18" s="117">
        <f t="shared" si="2"/>
        <v>272</v>
      </c>
      <c r="U18" s="117">
        <f>124+12+136</f>
        <v>272</v>
      </c>
      <c r="V18" s="4">
        <v>0</v>
      </c>
      <c r="W18" s="4">
        <v>0</v>
      </c>
      <c r="X18" s="4">
        <v>0</v>
      </c>
      <c r="Y18" s="117">
        <f t="shared" si="3"/>
        <v>263</v>
      </c>
      <c r="Z18" s="117">
        <f>316-53</f>
        <v>263</v>
      </c>
      <c r="AA18" s="4">
        <v>0</v>
      </c>
      <c r="AB18" s="4">
        <v>0</v>
      </c>
      <c r="AC18" s="4">
        <v>0</v>
      </c>
      <c r="AD18" s="30">
        <f t="shared" si="5"/>
        <v>1461.48</v>
      </c>
    </row>
    <row r="19" spans="1:30" s="11" customFormat="1" ht="96.75" customHeight="1">
      <c r="A19" s="40" t="s">
        <v>36</v>
      </c>
      <c r="B19" s="47" t="s">
        <v>159</v>
      </c>
      <c r="C19" s="85" t="s">
        <v>137</v>
      </c>
      <c r="D19" s="101" t="s">
        <v>274</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71.25" customHeight="1">
      <c r="A20" s="86" t="s">
        <v>47</v>
      </c>
      <c r="B20" s="87" t="s">
        <v>46</v>
      </c>
      <c r="C20" s="85" t="s">
        <v>136</v>
      </c>
      <c r="D20" s="101" t="s">
        <v>272</v>
      </c>
      <c r="E20" s="4">
        <f t="shared" si="0"/>
        <v>0</v>
      </c>
      <c r="F20" s="4">
        <v>0</v>
      </c>
      <c r="G20" s="4">
        <v>0</v>
      </c>
      <c r="H20" s="4">
        <v>0</v>
      </c>
      <c r="I20" s="4">
        <v>0</v>
      </c>
      <c r="J20" s="29">
        <f t="shared" si="1"/>
        <v>297</v>
      </c>
      <c r="K20" s="29">
        <v>297</v>
      </c>
      <c r="L20" s="4">
        <v>0</v>
      </c>
      <c r="M20" s="4">
        <v>0</v>
      </c>
      <c r="N20" s="4">
        <v>0</v>
      </c>
      <c r="O20" s="4">
        <f t="shared" ref="O20:O23" si="6">SUM(P20:S20)</f>
        <v>837</v>
      </c>
      <c r="P20" s="5">
        <f>591+246</f>
        <v>837</v>
      </c>
      <c r="Q20" s="5">
        <v>0</v>
      </c>
      <c r="R20" s="5">
        <v>0</v>
      </c>
      <c r="S20" s="5">
        <v>0</v>
      </c>
      <c r="T20" s="118">
        <f t="shared" si="2"/>
        <v>574</v>
      </c>
      <c r="U20" s="118">
        <v>574</v>
      </c>
      <c r="V20" s="4">
        <v>0</v>
      </c>
      <c r="W20" s="4">
        <v>0</v>
      </c>
      <c r="X20" s="4">
        <v>0</v>
      </c>
      <c r="Y20" s="4">
        <f t="shared" si="3"/>
        <v>0</v>
      </c>
      <c r="Z20" s="4">
        <v>0</v>
      </c>
      <c r="AA20" s="4">
        <v>0</v>
      </c>
      <c r="AB20" s="4">
        <v>0</v>
      </c>
      <c r="AC20" s="4">
        <v>0</v>
      </c>
      <c r="AD20" s="5">
        <f t="shared" si="5"/>
        <v>1708</v>
      </c>
    </row>
    <row r="21" spans="1:30" s="11" customFormat="1" ht="37.9" customHeight="1">
      <c r="A21" s="86" t="s">
        <v>48</v>
      </c>
      <c r="B21" s="87" t="s">
        <v>197</v>
      </c>
      <c r="C21" s="85" t="s">
        <v>77</v>
      </c>
      <c r="D21" s="103" t="s">
        <v>278</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41" t="s">
        <v>49</v>
      </c>
      <c r="B22" s="87" t="s">
        <v>196</v>
      </c>
      <c r="C22" s="85" t="s">
        <v>250</v>
      </c>
      <c r="D22" s="101" t="s">
        <v>44</v>
      </c>
      <c r="E22" s="4">
        <v>0</v>
      </c>
      <c r="F22" s="4">
        <v>0</v>
      </c>
      <c r="G22" s="4">
        <v>0</v>
      </c>
      <c r="H22" s="4">
        <v>0</v>
      </c>
      <c r="I22" s="4">
        <v>0</v>
      </c>
      <c r="J22" s="29">
        <f>SUM(K22:N22)</f>
        <v>5736</v>
      </c>
      <c r="K22" s="29">
        <v>574</v>
      </c>
      <c r="L22" s="29">
        <v>723</v>
      </c>
      <c r="M22" s="29">
        <v>4439</v>
      </c>
      <c r="N22" s="4">
        <v>0</v>
      </c>
      <c r="O22" s="4">
        <v>563.99</v>
      </c>
      <c r="P22" s="5">
        <v>563.99</v>
      </c>
      <c r="Q22" s="5">
        <v>0</v>
      </c>
      <c r="R22" s="5">
        <v>0</v>
      </c>
      <c r="S22" s="5">
        <v>0</v>
      </c>
      <c r="T22" s="4">
        <f>SUM(U22:W22)</f>
        <v>574</v>
      </c>
      <c r="U22" s="4">
        <v>574</v>
      </c>
      <c r="V22" s="4"/>
      <c r="W22" s="4"/>
      <c r="X22" s="4">
        <v>0</v>
      </c>
      <c r="Y22" s="4">
        <f>SUM(Z22:AC22)</f>
        <v>0</v>
      </c>
      <c r="Z22" s="4">
        <v>0</v>
      </c>
      <c r="AA22" s="4">
        <v>0</v>
      </c>
      <c r="AB22" s="4">
        <v>0</v>
      </c>
      <c r="AC22" s="4">
        <v>0</v>
      </c>
      <c r="AD22" s="5">
        <f t="shared" si="5"/>
        <v>6873.99</v>
      </c>
    </row>
    <row r="23" spans="1:30" s="8" customFormat="1" ht="71.25" customHeight="1">
      <c r="A23" s="86" t="s">
        <v>156</v>
      </c>
      <c r="B23" s="87" t="s">
        <v>145</v>
      </c>
      <c r="C23" s="85" t="s">
        <v>80</v>
      </c>
      <c r="D23" s="101" t="s">
        <v>274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86" t="s">
        <v>157</v>
      </c>
      <c r="B24" s="87" t="s">
        <v>198</v>
      </c>
      <c r="C24" s="85" t="s">
        <v>125</v>
      </c>
      <c r="D24" s="71"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80" t="s">
        <v>73</v>
      </c>
      <c r="C25" s="80"/>
      <c r="D25" s="14"/>
      <c r="E25" s="12">
        <f>SUM(E13:E24)</f>
        <v>826317.6</v>
      </c>
      <c r="F25" s="12">
        <f t="shared" ref="F25:AC25" si="13">SUM(F13:F24)</f>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42">
        <f t="shared" si="13"/>
        <v>965849.47</v>
      </c>
      <c r="P25" s="42">
        <f t="shared" si="13"/>
        <v>965849.47</v>
      </c>
      <c r="Q25" s="12">
        <f t="shared" si="13"/>
        <v>0</v>
      </c>
      <c r="R25" s="12">
        <f t="shared" si="13"/>
        <v>0</v>
      </c>
      <c r="S25" s="12">
        <f t="shared" si="13"/>
        <v>0</v>
      </c>
      <c r="T25" s="139">
        <f t="shared" si="13"/>
        <v>979983</v>
      </c>
      <c r="U25" s="139">
        <f>SUM(U13:U24)</f>
        <v>979983</v>
      </c>
      <c r="V25" s="139">
        <f t="shared" si="13"/>
        <v>0</v>
      </c>
      <c r="W25" s="139">
        <f t="shared" si="13"/>
        <v>0</v>
      </c>
      <c r="X25" s="12">
        <f t="shared" si="13"/>
        <v>0</v>
      </c>
      <c r="Y25" s="12">
        <f>SUM(Y13:Y24)</f>
        <v>909442</v>
      </c>
      <c r="Z25" s="12">
        <f t="shared" si="13"/>
        <v>909442</v>
      </c>
      <c r="AA25" s="12">
        <f t="shared" si="13"/>
        <v>0</v>
      </c>
      <c r="AB25" s="12">
        <f t="shared" si="13"/>
        <v>0</v>
      </c>
      <c r="AC25" s="12">
        <f t="shared" si="13"/>
        <v>0</v>
      </c>
      <c r="AD25" s="30">
        <f>SUM(Y25,T25,O25,J25,E25)</f>
        <v>4578646.0699999994</v>
      </c>
    </row>
    <row r="26" spans="1:30" s="11" customFormat="1" ht="47.45" customHeight="1">
      <c r="A26" s="1"/>
      <c r="B26" s="155" t="s">
        <v>130</v>
      </c>
      <c r="C26" s="155"/>
      <c r="D26" s="74"/>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87" t="s">
        <v>50</v>
      </c>
      <c r="C27" s="85" t="s">
        <v>173</v>
      </c>
      <c r="D27" s="71"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8.25" customHeight="1">
      <c r="A28" s="86" t="s">
        <v>4</v>
      </c>
      <c r="B28" s="87" t="s">
        <v>138</v>
      </c>
      <c r="C28" s="85" t="s">
        <v>77</v>
      </c>
      <c r="D28" s="71"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73.5" customHeight="1">
      <c r="A29" s="86" t="s">
        <v>5</v>
      </c>
      <c r="B29" s="87" t="s">
        <v>104</v>
      </c>
      <c r="C29" s="85" t="s">
        <v>147</v>
      </c>
      <c r="D29" s="71"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86" t="s">
        <v>6</v>
      </c>
      <c r="B30" s="87" t="s">
        <v>199</v>
      </c>
      <c r="C30" s="85" t="s">
        <v>200</v>
      </c>
      <c r="D30" s="71"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74</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155" t="s">
        <v>131</v>
      </c>
      <c r="C32" s="155"/>
      <c r="D32" s="74"/>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86" t="s">
        <v>7</v>
      </c>
      <c r="B33" s="87" t="s">
        <v>201</v>
      </c>
      <c r="C33" s="85" t="s">
        <v>148</v>
      </c>
      <c r="D33" s="71"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86" t="s">
        <v>16</v>
      </c>
      <c r="B34" s="87" t="s">
        <v>183</v>
      </c>
      <c r="C34" s="85" t="s">
        <v>149</v>
      </c>
      <c r="D34" s="103">
        <v>2019</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144" t="s">
        <v>38</v>
      </c>
      <c r="B35" s="87" t="s">
        <v>113</v>
      </c>
      <c r="C35" s="158" t="s">
        <v>255</v>
      </c>
      <c r="D35" s="161" t="s">
        <v>211</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145"/>
      <c r="B36" s="87" t="s">
        <v>178</v>
      </c>
      <c r="C36" s="174"/>
      <c r="D36" s="175"/>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145"/>
      <c r="B37" s="87" t="s">
        <v>51</v>
      </c>
      <c r="C37" s="160"/>
      <c r="D37" s="176"/>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145"/>
      <c r="B38" s="87" t="s">
        <v>202</v>
      </c>
      <c r="C38" s="79" t="s">
        <v>256</v>
      </c>
      <c r="D38" s="68" t="s">
        <v>257</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146"/>
      <c r="B39" s="87" t="s">
        <v>181</v>
      </c>
      <c r="C39" s="79" t="s">
        <v>180</v>
      </c>
      <c r="D39" s="68">
        <v>2021</v>
      </c>
      <c r="E39" s="4">
        <v>0</v>
      </c>
      <c r="F39" s="4">
        <v>0</v>
      </c>
      <c r="G39" s="4">
        <v>0</v>
      </c>
      <c r="H39" s="4">
        <v>0</v>
      </c>
      <c r="I39" s="4">
        <v>0</v>
      </c>
      <c r="J39" s="4">
        <f>SUM(K39:N39)</f>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30">
        <f t="shared" si="15"/>
        <v>0</v>
      </c>
    </row>
    <row r="40" spans="1:30" s="13" customFormat="1" ht="42" customHeight="1">
      <c r="A40" s="86" t="s">
        <v>8</v>
      </c>
      <c r="B40" s="87" t="s">
        <v>111</v>
      </c>
      <c r="C40" s="85" t="s">
        <v>112</v>
      </c>
      <c r="D40" s="71">
        <v>2019</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144" t="s">
        <v>52</v>
      </c>
      <c r="B41" s="87" t="s">
        <v>81</v>
      </c>
      <c r="C41" s="85"/>
      <c r="D41" s="71"/>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145"/>
      <c r="B42" s="87" t="s">
        <v>187</v>
      </c>
      <c r="C42" s="85" t="s">
        <v>190</v>
      </c>
      <c r="D42" s="161" t="s">
        <v>213</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118">
        <f t="shared" si="19"/>
        <v>0</v>
      </c>
      <c r="U42" s="137">
        <v>0</v>
      </c>
      <c r="V42" s="5">
        <v>0</v>
      </c>
      <c r="W42" s="5">
        <v>0</v>
      </c>
      <c r="X42" s="5">
        <v>0</v>
      </c>
      <c r="Y42" s="4">
        <f t="shared" si="20"/>
        <v>0</v>
      </c>
      <c r="Z42" s="5">
        <v>0</v>
      </c>
      <c r="AA42" s="5">
        <v>0</v>
      </c>
      <c r="AB42" s="5">
        <v>0</v>
      </c>
      <c r="AC42" s="5">
        <v>0</v>
      </c>
      <c r="AD42" s="5">
        <f>SUM(Y42,T42,O42,J42,E42)</f>
        <v>473.2</v>
      </c>
    </row>
    <row r="43" spans="1:30" s="8" customFormat="1" ht="54" customHeight="1">
      <c r="A43" s="145"/>
      <c r="B43" s="87" t="s">
        <v>206</v>
      </c>
      <c r="C43" s="116" t="s">
        <v>266</v>
      </c>
      <c r="D43" s="162"/>
      <c r="E43" s="4">
        <f t="shared" si="16"/>
        <v>0</v>
      </c>
      <c r="F43" s="5">
        <v>0</v>
      </c>
      <c r="G43" s="5">
        <v>0</v>
      </c>
      <c r="H43" s="5">
        <v>0</v>
      </c>
      <c r="I43" s="5">
        <v>0</v>
      </c>
      <c r="J43" s="29">
        <f t="shared" si="17"/>
        <v>350</v>
      </c>
      <c r="K43" s="30">
        <v>350</v>
      </c>
      <c r="L43" s="5">
        <v>0</v>
      </c>
      <c r="M43" s="5">
        <v>0</v>
      </c>
      <c r="N43" s="5">
        <v>0</v>
      </c>
      <c r="O43" s="29">
        <f t="shared" si="18"/>
        <v>3616</v>
      </c>
      <c r="P43" s="30">
        <f>350+33</f>
        <v>383</v>
      </c>
      <c r="Q43" s="30">
        <v>1131</v>
      </c>
      <c r="R43" s="30">
        <v>2102</v>
      </c>
      <c r="S43" s="30">
        <v>0</v>
      </c>
      <c r="T43" s="117">
        <f t="shared" si="19"/>
        <v>820</v>
      </c>
      <c r="U43" s="119">
        <f>330+470+20</f>
        <v>820</v>
      </c>
      <c r="V43" s="5">
        <v>0</v>
      </c>
      <c r="W43" s="5">
        <v>0</v>
      </c>
      <c r="X43" s="5">
        <v>0</v>
      </c>
      <c r="Y43" s="117">
        <f t="shared" si="20"/>
        <v>1670</v>
      </c>
      <c r="Z43" s="119">
        <f>700+470+480+20</f>
        <v>1670</v>
      </c>
      <c r="AA43" s="5">
        <v>0</v>
      </c>
      <c r="AB43" s="5">
        <v>0</v>
      </c>
      <c r="AC43" s="5">
        <v>0</v>
      </c>
      <c r="AD43" s="5">
        <f>SUM(Y43,T43,O43,J43,E43)</f>
        <v>6456</v>
      </c>
    </row>
    <row r="44" spans="1:30" s="8" customFormat="1" ht="54.75" customHeight="1">
      <c r="A44" s="145"/>
      <c r="B44" s="87" t="s">
        <v>212</v>
      </c>
      <c r="C44" s="85" t="s">
        <v>82</v>
      </c>
      <c r="D44" s="163"/>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4">
        <f t="shared" si="19"/>
        <v>0</v>
      </c>
      <c r="U44" s="5">
        <v>0</v>
      </c>
      <c r="V44" s="5">
        <v>0</v>
      </c>
      <c r="W44" s="5">
        <v>0</v>
      </c>
      <c r="X44" s="5">
        <v>0</v>
      </c>
      <c r="Y44" s="4">
        <f t="shared" si="20"/>
        <v>0</v>
      </c>
      <c r="Z44" s="5">
        <v>0</v>
      </c>
      <c r="AA44" s="5">
        <v>0</v>
      </c>
      <c r="AB44" s="5">
        <v>0</v>
      </c>
      <c r="AC44" s="5">
        <v>0</v>
      </c>
      <c r="AD44" s="5">
        <f>SUM(Y44,T44,O44,J44,E44)</f>
        <v>379</v>
      </c>
    </row>
    <row r="45" spans="1:30" s="8" customFormat="1" ht="40.9" customHeight="1">
      <c r="A45" s="146"/>
      <c r="B45" s="87" t="s">
        <v>103</v>
      </c>
      <c r="C45" s="85" t="s">
        <v>191</v>
      </c>
      <c r="D45" s="71">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87" t="s">
        <v>214</v>
      </c>
      <c r="C46" s="85" t="s">
        <v>192</v>
      </c>
      <c r="D46" s="71">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69" customHeight="1">
      <c r="A47" s="2" t="s">
        <v>54</v>
      </c>
      <c r="B47" s="87" t="s">
        <v>251</v>
      </c>
      <c r="C47" s="140" t="s">
        <v>291</v>
      </c>
      <c r="D47" s="97" t="s">
        <v>270</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118">
        <f t="shared" si="19"/>
        <v>0</v>
      </c>
      <c r="U47" s="117">
        <v>0</v>
      </c>
      <c r="V47" s="4">
        <v>0</v>
      </c>
      <c r="W47" s="4">
        <v>0</v>
      </c>
      <c r="X47" s="4">
        <v>0</v>
      </c>
      <c r="Y47" s="4">
        <v>0</v>
      </c>
      <c r="Z47" s="4">
        <v>0</v>
      </c>
      <c r="AA47" s="4">
        <v>0</v>
      </c>
      <c r="AB47" s="4">
        <v>0</v>
      </c>
      <c r="AC47" s="4">
        <v>0</v>
      </c>
      <c r="AD47" s="4">
        <f>SUM(E47,J47,O47,T47,Y47)</f>
        <v>16321.5</v>
      </c>
    </row>
    <row r="48" spans="1:30" s="8" customFormat="1" ht="36.6" customHeight="1">
      <c r="A48" s="2" t="s">
        <v>55</v>
      </c>
      <c r="B48" s="87" t="s">
        <v>179</v>
      </c>
      <c r="C48" s="85" t="s">
        <v>193</v>
      </c>
      <c r="D48" s="71">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37" t="s">
        <v>171</v>
      </c>
      <c r="B49" s="87" t="s">
        <v>170</v>
      </c>
      <c r="C49" s="85" t="s">
        <v>194</v>
      </c>
      <c r="D49" s="72">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38" t="s">
        <v>172</v>
      </c>
      <c r="B50" s="111" t="s">
        <v>177</v>
      </c>
      <c r="C50" s="113" t="s">
        <v>169</v>
      </c>
      <c r="D50" s="112" t="s">
        <v>280</v>
      </c>
      <c r="E50" s="4">
        <f>SUM(F50:I50)</f>
        <v>13950.9</v>
      </c>
      <c r="F50" s="4">
        <v>697.6</v>
      </c>
      <c r="G50" s="4">
        <v>13253.3</v>
      </c>
      <c r="H50" s="4">
        <v>0</v>
      </c>
      <c r="I50" s="4">
        <v>0</v>
      </c>
      <c r="J50" s="29">
        <f>K50+L50</f>
        <v>2685</v>
      </c>
      <c r="K50" s="29">
        <v>2685</v>
      </c>
      <c r="L50" s="5">
        <v>0</v>
      </c>
      <c r="M50" s="5">
        <v>0</v>
      </c>
      <c r="N50" s="5">
        <v>0</v>
      </c>
      <c r="O50" s="29">
        <f>P50+Q50+R50+S50</f>
        <v>0</v>
      </c>
      <c r="P50" s="30">
        <v>0</v>
      </c>
      <c r="Q50" s="30">
        <v>0</v>
      </c>
      <c r="R50" s="5">
        <v>0</v>
      </c>
      <c r="S50" s="5">
        <v>0</v>
      </c>
      <c r="T50" s="118">
        <f>U50</f>
        <v>12272</v>
      </c>
      <c r="U50" s="137">
        <v>12272</v>
      </c>
      <c r="V50" s="5">
        <v>0</v>
      </c>
      <c r="W50" s="5">
        <v>0</v>
      </c>
      <c r="X50" s="5">
        <v>0</v>
      </c>
      <c r="Y50" s="4">
        <v>0</v>
      </c>
      <c r="Z50" s="5">
        <v>0</v>
      </c>
      <c r="AA50" s="5">
        <v>0</v>
      </c>
      <c r="AB50" s="5">
        <v>0</v>
      </c>
      <c r="AC50" s="5">
        <v>0</v>
      </c>
      <c r="AD50" s="5">
        <f>SUM(Y50,T50,O50,J50,E50)</f>
        <v>28907.9</v>
      </c>
    </row>
    <row r="51" spans="1:30" s="31" customFormat="1" ht="93" customHeight="1">
      <c r="A51" s="38" t="s">
        <v>218</v>
      </c>
      <c r="B51" s="87" t="s">
        <v>220</v>
      </c>
      <c r="C51" s="85" t="s">
        <v>219</v>
      </c>
      <c r="D51" s="72">
        <v>2020</v>
      </c>
      <c r="E51" s="4">
        <f>SUM(F51:I51)</f>
        <v>0</v>
      </c>
      <c r="F51" s="5">
        <v>0</v>
      </c>
      <c r="G51" s="5">
        <v>0</v>
      </c>
      <c r="H51" s="5">
        <v>0</v>
      </c>
      <c r="I51" s="5">
        <v>0</v>
      </c>
      <c r="J51" s="29">
        <f>K51+L51+M51+N51</f>
        <v>15125</v>
      </c>
      <c r="K51" s="29">
        <v>15125</v>
      </c>
      <c r="L51" s="5">
        <v>0</v>
      </c>
      <c r="M51" s="5">
        <v>0</v>
      </c>
      <c r="N51" s="5">
        <v>0</v>
      </c>
      <c r="O51" s="4">
        <f>P51+Q51+R51+S514</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38" t="s">
        <v>224</v>
      </c>
      <c r="B52" s="87" t="s">
        <v>238</v>
      </c>
      <c r="C52" s="85" t="s">
        <v>227</v>
      </c>
      <c r="D52" s="72" t="s">
        <v>257</v>
      </c>
      <c r="E52" s="5">
        <v>0</v>
      </c>
      <c r="F52" s="5">
        <v>0</v>
      </c>
      <c r="G52" s="5">
        <v>0</v>
      </c>
      <c r="H52" s="5">
        <v>0</v>
      </c>
      <c r="I52" s="5">
        <v>0</v>
      </c>
      <c r="J52" s="29">
        <f>K52+L52+M52+N52</f>
        <v>69261</v>
      </c>
      <c r="K52" s="29">
        <f>3692-229</f>
        <v>3463</v>
      </c>
      <c r="L52" s="5">
        <f>70149-4351</f>
        <v>65798</v>
      </c>
      <c r="M52" s="5">
        <v>0</v>
      </c>
      <c r="N52" s="5">
        <v>0</v>
      </c>
      <c r="O52" s="4">
        <f>P52+Q52+R52+S515</f>
        <v>13736</v>
      </c>
      <c r="P52" s="5">
        <v>687</v>
      </c>
      <c r="Q52" s="30">
        <v>13049</v>
      </c>
      <c r="R52" s="5">
        <v>0</v>
      </c>
      <c r="S52" s="5">
        <v>0</v>
      </c>
      <c r="T52" s="4">
        <v>0</v>
      </c>
      <c r="U52" s="5">
        <v>0</v>
      </c>
      <c r="V52" s="5">
        <v>0</v>
      </c>
      <c r="W52" s="5">
        <v>0</v>
      </c>
      <c r="X52" s="5">
        <v>0</v>
      </c>
      <c r="Y52" s="4">
        <v>0</v>
      </c>
      <c r="Z52" s="5">
        <v>0</v>
      </c>
      <c r="AA52" s="5">
        <v>0</v>
      </c>
      <c r="AB52" s="5">
        <v>0</v>
      </c>
      <c r="AC52" s="5">
        <v>0</v>
      </c>
      <c r="AD52" s="5">
        <f t="shared" ref="AD52:AD55" si="33">SUM(Y52,T52,O52,J52,E52)</f>
        <v>82997</v>
      </c>
    </row>
    <row r="53" spans="1:30" s="31" customFormat="1" ht="58.5" customHeight="1">
      <c r="A53" s="38" t="s">
        <v>225</v>
      </c>
      <c r="B53" s="87" t="s">
        <v>226</v>
      </c>
      <c r="C53" s="85" t="s">
        <v>228</v>
      </c>
      <c r="D53" s="72">
        <v>2020</v>
      </c>
      <c r="E53" s="5">
        <v>0</v>
      </c>
      <c r="F53" s="5">
        <v>0</v>
      </c>
      <c r="G53" s="5">
        <v>0</v>
      </c>
      <c r="H53" s="5">
        <v>0</v>
      </c>
      <c r="I53" s="5">
        <v>0</v>
      </c>
      <c r="J53" s="29">
        <f>K53+L53+M53+N53</f>
        <v>127</v>
      </c>
      <c r="K53" s="29">
        <v>127</v>
      </c>
      <c r="L53" s="5">
        <v>0</v>
      </c>
      <c r="M53" s="5">
        <v>0</v>
      </c>
      <c r="N53" s="5">
        <v>0</v>
      </c>
      <c r="O53" s="4">
        <f>P53+Q53+R53+S516</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38" t="s">
        <v>232</v>
      </c>
      <c r="B54" s="87" t="s">
        <v>233</v>
      </c>
      <c r="C54" s="85" t="s">
        <v>228</v>
      </c>
      <c r="D54" s="72">
        <v>2020</v>
      </c>
      <c r="E54" s="5">
        <v>0</v>
      </c>
      <c r="F54" s="5">
        <v>0</v>
      </c>
      <c r="G54" s="5">
        <v>0</v>
      </c>
      <c r="H54" s="5">
        <v>0</v>
      </c>
      <c r="I54" s="5">
        <v>0</v>
      </c>
      <c r="J54" s="29">
        <f>K54+L54+M54+N54</f>
        <v>810</v>
      </c>
      <c r="K54" s="29">
        <v>810</v>
      </c>
      <c r="L54" s="5">
        <v>0</v>
      </c>
      <c r="M54" s="5">
        <v>0</v>
      </c>
      <c r="N54" s="5">
        <v>0</v>
      </c>
      <c r="O54" s="4">
        <f>P54+Q54+R54+S517</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31" customFormat="1" ht="96.75" customHeight="1">
      <c r="A55" s="38" t="s">
        <v>267</v>
      </c>
      <c r="B55" s="142" t="s">
        <v>268</v>
      </c>
      <c r="C55" s="85" t="s">
        <v>269</v>
      </c>
      <c r="D55" s="78">
        <v>2021</v>
      </c>
      <c r="E55" s="104" t="s">
        <v>277</v>
      </c>
      <c r="F55" s="106" t="s">
        <v>277</v>
      </c>
      <c r="G55" s="106" t="s">
        <v>277</v>
      </c>
      <c r="H55" s="106" t="s">
        <v>277</v>
      </c>
      <c r="I55" s="106" t="s">
        <v>277</v>
      </c>
      <c r="J55" s="106" t="s">
        <v>277</v>
      </c>
      <c r="K55" s="106" t="s">
        <v>277</v>
      </c>
      <c r="L55" s="106" t="s">
        <v>277</v>
      </c>
      <c r="M55" s="106" t="s">
        <v>277</v>
      </c>
      <c r="N55" s="106" t="s">
        <v>277</v>
      </c>
      <c r="O55" s="105">
        <f>P55+Q55+R55+S518</f>
        <v>4318</v>
      </c>
      <c r="P55" s="104">
        <v>4318</v>
      </c>
      <c r="Q55" s="104">
        <v>0</v>
      </c>
      <c r="R55" s="104">
        <v>0</v>
      </c>
      <c r="S55" s="104">
        <v>0</v>
      </c>
      <c r="T55" s="106" t="s">
        <v>277</v>
      </c>
      <c r="U55" s="106" t="s">
        <v>277</v>
      </c>
      <c r="V55" s="106" t="s">
        <v>277</v>
      </c>
      <c r="W55" s="106" t="s">
        <v>277</v>
      </c>
      <c r="X55" s="106" t="s">
        <v>277</v>
      </c>
      <c r="Y55" s="106" t="s">
        <v>277</v>
      </c>
      <c r="Z55" s="106" t="s">
        <v>277</v>
      </c>
      <c r="AA55" s="106" t="s">
        <v>277</v>
      </c>
      <c r="AB55" s="106" t="s">
        <v>277</v>
      </c>
      <c r="AC55" s="106" t="s">
        <v>277</v>
      </c>
      <c r="AD55" s="5">
        <f t="shared" si="33"/>
        <v>4318</v>
      </c>
    </row>
    <row r="56" spans="1:30" s="18" customFormat="1" ht="42.75" customHeight="1">
      <c r="A56" s="27"/>
      <c r="B56" s="80" t="s">
        <v>253</v>
      </c>
      <c r="C56" s="48"/>
      <c r="D56" s="49"/>
      <c r="E56" s="12">
        <f>SUM(E33:E51)</f>
        <v>29166.7</v>
      </c>
      <c r="F56" s="12">
        <f>SUM(F33:F51)</f>
        <v>4249.2</v>
      </c>
      <c r="G56" s="12">
        <f>SUM(G33:G51)</f>
        <v>14160.099999999999</v>
      </c>
      <c r="H56" s="12">
        <f>SUM(H33:H51)</f>
        <v>10757.4</v>
      </c>
      <c r="I56" s="12">
        <f t="shared" ref="I56" si="35">SUM(I33:I49)</f>
        <v>0</v>
      </c>
      <c r="J56" s="12">
        <f>SUM(J33:J54)</f>
        <v>102515</v>
      </c>
      <c r="K56" s="12">
        <f>SUM(K33:K54)</f>
        <v>36486</v>
      </c>
      <c r="L56" s="12">
        <f>SUM(L33:L54)</f>
        <v>65879</v>
      </c>
      <c r="M56" s="12">
        <f t="shared" ref="M56:N56" si="36">SUM(M33:M54)</f>
        <v>150</v>
      </c>
      <c r="N56" s="12">
        <f t="shared" si="36"/>
        <v>0</v>
      </c>
      <c r="O56" s="42">
        <f>SUM(O33:O54)-O38-O52+O55</f>
        <v>18101</v>
      </c>
      <c r="P56" s="42">
        <f>SUM(P33:P54)-P38-P52+P55</f>
        <v>4868</v>
      </c>
      <c r="Q56" s="42">
        <f t="shared" ref="Q56:S56" si="37">SUM(Q33:Q54)-Q38-Q52+Q55</f>
        <v>1131</v>
      </c>
      <c r="R56" s="42">
        <f t="shared" si="37"/>
        <v>12102</v>
      </c>
      <c r="S56" s="42">
        <f t="shared" si="37"/>
        <v>0</v>
      </c>
      <c r="T56" s="139">
        <f>U56+V56+V56+W56+X56</f>
        <v>820</v>
      </c>
      <c r="U56" s="139">
        <f>SUM(U33:U55)-U50</f>
        <v>820</v>
      </c>
      <c r="V56" s="12">
        <f t="shared" ref="V56" si="38">SUM(V33:V54)</f>
        <v>0</v>
      </c>
      <c r="W56" s="12">
        <f t="shared" ref="W56" si="39">SUM(W33:W54)</f>
        <v>0</v>
      </c>
      <c r="X56" s="12">
        <f t="shared" ref="X56" si="40">SUM(X33:X54)</f>
        <v>0</v>
      </c>
      <c r="Y56" s="12">
        <f t="shared" ref="Y56" si="41">SUM(Y33:Y54)</f>
        <v>1670</v>
      </c>
      <c r="Z56" s="12">
        <f t="shared" ref="Z56" si="42">SUM(Z33:Z54)</f>
        <v>1670</v>
      </c>
      <c r="AA56" s="12">
        <f t="shared" ref="AA56" si="43">SUM(AA33:AA54)</f>
        <v>0</v>
      </c>
      <c r="AB56" s="12">
        <f t="shared" ref="AB56" si="44">SUM(AB33:AB54)</f>
        <v>0</v>
      </c>
      <c r="AC56" s="12">
        <f t="shared" ref="AC56" si="45">SUM(AC33:AC54)</f>
        <v>0</v>
      </c>
      <c r="AD56" s="42">
        <f>SUM(AD33:AD54)-AD57+AD55</f>
        <v>152272.70000000001</v>
      </c>
    </row>
    <row r="57" spans="1:30" s="18" customFormat="1" ht="40.5" customHeight="1">
      <c r="A57" s="27"/>
      <c r="B57" s="55" t="s">
        <v>254</v>
      </c>
      <c r="C57" s="48"/>
      <c r="D57" s="49"/>
      <c r="E57" s="42">
        <v>0</v>
      </c>
      <c r="F57" s="42">
        <v>0</v>
      </c>
      <c r="G57" s="42">
        <v>0</v>
      </c>
      <c r="H57" s="42">
        <v>0</v>
      </c>
      <c r="I57" s="42">
        <v>0</v>
      </c>
      <c r="J57" s="42">
        <v>0</v>
      </c>
      <c r="K57" s="42">
        <v>0</v>
      </c>
      <c r="L57" s="42">
        <v>0</v>
      </c>
      <c r="M57" s="42">
        <v>0</v>
      </c>
      <c r="N57" s="42">
        <v>0</v>
      </c>
      <c r="O57" s="42">
        <f>O52+O38</f>
        <v>13947</v>
      </c>
      <c r="P57" s="42">
        <f>P52+P38</f>
        <v>898</v>
      </c>
      <c r="Q57" s="42">
        <f t="shared" ref="Q57:S57" si="46">Q52+Q38</f>
        <v>13049</v>
      </c>
      <c r="R57" s="42">
        <f t="shared" si="46"/>
        <v>0</v>
      </c>
      <c r="S57" s="42">
        <f t="shared" si="46"/>
        <v>0</v>
      </c>
      <c r="T57" s="139">
        <f>U57+V57+V57+W57+X57</f>
        <v>12272</v>
      </c>
      <c r="U57" s="100">
        <f>U52+U38+U50</f>
        <v>12272</v>
      </c>
      <c r="V57" s="42">
        <f t="shared" ref="V57:W57" si="47">V52+V38</f>
        <v>0</v>
      </c>
      <c r="W57" s="42">
        <f t="shared" si="47"/>
        <v>0</v>
      </c>
      <c r="X57" s="42">
        <v>0</v>
      </c>
      <c r="Y57" s="42">
        <v>0</v>
      </c>
      <c r="Z57" s="42">
        <v>0</v>
      </c>
      <c r="AA57" s="42">
        <v>0</v>
      </c>
      <c r="AB57" s="42">
        <v>0</v>
      </c>
      <c r="AC57" s="42">
        <v>0</v>
      </c>
      <c r="AD57" s="91">
        <f>SUM(Y57,T57,O57,J57,E57)</f>
        <v>26219</v>
      </c>
    </row>
    <row r="58" spans="1:30" s="8" customFormat="1" ht="40.15" customHeight="1">
      <c r="A58" s="2"/>
      <c r="B58" s="155" t="s">
        <v>132</v>
      </c>
      <c r="C58" s="156"/>
      <c r="D58" s="50"/>
      <c r="E58" s="4"/>
      <c r="F58" s="4"/>
      <c r="G58" s="4"/>
      <c r="H58" s="4"/>
      <c r="I58" s="4"/>
      <c r="J58" s="5"/>
      <c r="K58" s="5"/>
      <c r="L58" s="5"/>
      <c r="M58" s="5"/>
      <c r="N58" s="5"/>
      <c r="O58" s="4"/>
      <c r="P58" s="5"/>
      <c r="Q58" s="4"/>
      <c r="R58" s="4"/>
      <c r="S58" s="4"/>
      <c r="T58" s="5"/>
      <c r="U58" s="5"/>
      <c r="V58" s="4"/>
      <c r="W58" s="4"/>
      <c r="X58" s="5"/>
      <c r="Y58" s="5"/>
      <c r="Z58" s="5"/>
      <c r="AA58" s="5"/>
      <c r="AB58" s="5"/>
      <c r="AC58" s="5"/>
      <c r="AD58" s="5"/>
    </row>
    <row r="59" spans="1:30" s="8" customFormat="1" ht="71.25" customHeight="1">
      <c r="A59" s="2" t="s">
        <v>9</v>
      </c>
      <c r="B59" s="87" t="s">
        <v>203</v>
      </c>
      <c r="C59" s="85" t="s">
        <v>150</v>
      </c>
      <c r="D59" s="101" t="s">
        <v>44</v>
      </c>
      <c r="E59" s="4">
        <f t="shared" ref="E59:E66" si="48">SUM(F59:I59)</f>
        <v>0</v>
      </c>
      <c r="F59" s="4">
        <v>0</v>
      </c>
      <c r="G59" s="4">
        <v>0</v>
      </c>
      <c r="H59" s="4">
        <v>0</v>
      </c>
      <c r="I59" s="4">
        <v>0</v>
      </c>
      <c r="J59" s="4">
        <f t="shared" ref="J59:J66" si="49">SUM(K59:N59)</f>
        <v>0</v>
      </c>
      <c r="K59" s="4">
        <v>0</v>
      </c>
      <c r="L59" s="4">
        <v>0</v>
      </c>
      <c r="M59" s="4">
        <v>0</v>
      </c>
      <c r="N59" s="4">
        <v>0</v>
      </c>
      <c r="O59" s="4">
        <f t="shared" ref="O59:O66" si="50">SUM(P59:S59)</f>
        <v>0</v>
      </c>
      <c r="P59" s="4">
        <v>0</v>
      </c>
      <c r="Q59" s="4">
        <v>0</v>
      </c>
      <c r="R59" s="4">
        <v>0</v>
      </c>
      <c r="S59" s="4">
        <v>0</v>
      </c>
      <c r="T59" s="4">
        <f t="shared" ref="T59:T65" si="51">SUM(U59:X59)</f>
        <v>0</v>
      </c>
      <c r="U59" s="4">
        <v>0</v>
      </c>
      <c r="V59" s="4">
        <v>0</v>
      </c>
      <c r="W59" s="4">
        <v>0</v>
      </c>
      <c r="X59" s="4">
        <v>0</v>
      </c>
      <c r="Y59" s="4">
        <f t="shared" ref="Y59:Y65" si="52">SUM(Z59:AC59)</f>
        <v>0</v>
      </c>
      <c r="Z59" s="4">
        <v>0</v>
      </c>
      <c r="AA59" s="4">
        <v>0</v>
      </c>
      <c r="AB59" s="4">
        <v>0</v>
      </c>
      <c r="AC59" s="4">
        <v>0</v>
      </c>
      <c r="AD59" s="5">
        <f t="shared" ref="AD59:AD68" si="53">SUM(Y59,T59,O59,J59,E59)</f>
        <v>0</v>
      </c>
    </row>
    <row r="60" spans="1:30" s="8" customFormat="1" ht="106.5" customHeight="1">
      <c r="A60" s="2" t="s">
        <v>10</v>
      </c>
      <c r="B60" s="87" t="s">
        <v>85</v>
      </c>
      <c r="C60" s="85" t="s">
        <v>174</v>
      </c>
      <c r="D60" s="97">
        <v>2021</v>
      </c>
      <c r="E60" s="4">
        <f t="shared" si="48"/>
        <v>0</v>
      </c>
      <c r="F60" s="4">
        <v>0</v>
      </c>
      <c r="G60" s="4">
        <v>0</v>
      </c>
      <c r="H60" s="4">
        <v>0</v>
      </c>
      <c r="I60" s="4">
        <v>0</v>
      </c>
      <c r="J60" s="4">
        <f t="shared" si="49"/>
        <v>0</v>
      </c>
      <c r="K60" s="5">
        <v>0</v>
      </c>
      <c r="L60" s="5">
        <v>0</v>
      </c>
      <c r="M60" s="5">
        <v>0</v>
      </c>
      <c r="N60" s="5">
        <v>0</v>
      </c>
      <c r="O60" s="4">
        <f t="shared" si="50"/>
        <v>1000</v>
      </c>
      <c r="P60" s="5">
        <v>1000</v>
      </c>
      <c r="Q60" s="5">
        <v>0</v>
      </c>
      <c r="R60" s="5">
        <v>0</v>
      </c>
      <c r="S60" s="5">
        <v>0</v>
      </c>
      <c r="T60" s="117">
        <f t="shared" si="51"/>
        <v>1000</v>
      </c>
      <c r="U60" s="119">
        <v>1000</v>
      </c>
      <c r="V60" s="4">
        <v>0</v>
      </c>
      <c r="W60" s="4">
        <v>0</v>
      </c>
      <c r="X60" s="4">
        <v>0</v>
      </c>
      <c r="Y60" s="4">
        <f t="shared" si="52"/>
        <v>0</v>
      </c>
      <c r="Z60" s="5">
        <v>0</v>
      </c>
      <c r="AA60" s="4">
        <v>0</v>
      </c>
      <c r="AB60" s="4">
        <v>0</v>
      </c>
      <c r="AC60" s="4">
        <v>0</v>
      </c>
      <c r="AD60" s="30">
        <f t="shared" si="53"/>
        <v>2000</v>
      </c>
    </row>
    <row r="61" spans="1:30" s="8" customFormat="1" ht="85.5" customHeight="1">
      <c r="A61" s="2" t="s">
        <v>57</v>
      </c>
      <c r="B61" s="47" t="s">
        <v>142</v>
      </c>
      <c r="C61" s="85" t="s">
        <v>143</v>
      </c>
      <c r="D61" s="97" t="s">
        <v>44</v>
      </c>
      <c r="E61" s="4">
        <f>SUM(F61:I61)</f>
        <v>13539.8</v>
      </c>
      <c r="F61" s="4">
        <v>677</v>
      </c>
      <c r="G61" s="4">
        <v>4502</v>
      </c>
      <c r="H61" s="4">
        <v>8360.7999999999993</v>
      </c>
      <c r="I61" s="4">
        <v>0</v>
      </c>
      <c r="J61" s="4">
        <f t="shared" si="49"/>
        <v>11086</v>
      </c>
      <c r="K61" s="30">
        <v>555</v>
      </c>
      <c r="L61" s="30">
        <v>3686</v>
      </c>
      <c r="M61" s="30">
        <v>6845</v>
      </c>
      <c r="N61" s="5">
        <v>0</v>
      </c>
      <c r="O61" s="29">
        <f>SUM(P61:S61)</f>
        <v>9578</v>
      </c>
      <c r="P61" s="30">
        <f>554-75</f>
        <v>479</v>
      </c>
      <c r="Q61" s="30">
        <f>3685.85-993.85+492.45</f>
        <v>3184.45</v>
      </c>
      <c r="R61" s="30">
        <f>6845.15-1845.15+914.55</f>
        <v>5914.55</v>
      </c>
      <c r="S61" s="5">
        <v>0</v>
      </c>
      <c r="T61" s="117">
        <f t="shared" si="51"/>
        <v>369</v>
      </c>
      <c r="U61" s="117">
        <f>563-194</f>
        <v>369</v>
      </c>
      <c r="V61" s="4"/>
      <c r="W61" s="4"/>
      <c r="X61" s="4">
        <v>0</v>
      </c>
      <c r="Y61" s="117">
        <f t="shared" si="52"/>
        <v>342</v>
      </c>
      <c r="Z61" s="117">
        <v>342</v>
      </c>
      <c r="AA61" s="4">
        <v>0</v>
      </c>
      <c r="AB61" s="4">
        <v>0</v>
      </c>
      <c r="AC61" s="4">
        <v>0</v>
      </c>
      <c r="AD61" s="5">
        <f>SUM(Y61,T61,O61,J61,E61)</f>
        <v>34914.800000000003</v>
      </c>
    </row>
    <row r="62" spans="1:30" s="8" customFormat="1" ht="68.45" customHeight="1">
      <c r="A62" s="2" t="s">
        <v>58</v>
      </c>
      <c r="B62" s="87" t="s">
        <v>56</v>
      </c>
      <c r="C62" s="85" t="s">
        <v>77</v>
      </c>
      <c r="D62" s="71" t="s">
        <v>44</v>
      </c>
      <c r="E62" s="4">
        <f t="shared" si="48"/>
        <v>0</v>
      </c>
      <c r="F62" s="4">
        <v>0</v>
      </c>
      <c r="G62" s="4">
        <v>0</v>
      </c>
      <c r="H62" s="4">
        <v>0</v>
      </c>
      <c r="I62" s="4">
        <v>0</v>
      </c>
      <c r="J62" s="4">
        <f t="shared" si="49"/>
        <v>0</v>
      </c>
      <c r="K62" s="4">
        <v>0</v>
      </c>
      <c r="L62" s="4">
        <v>0</v>
      </c>
      <c r="M62" s="4">
        <v>0</v>
      </c>
      <c r="N62" s="4">
        <v>0</v>
      </c>
      <c r="O62" s="4">
        <f>SUM(P62:S62)</f>
        <v>0</v>
      </c>
      <c r="P62" s="4">
        <v>0</v>
      </c>
      <c r="Q62" s="4">
        <v>0</v>
      </c>
      <c r="R62" s="4">
        <v>0</v>
      </c>
      <c r="S62" s="4">
        <v>0</v>
      </c>
      <c r="T62" s="4">
        <f t="shared" si="51"/>
        <v>0</v>
      </c>
      <c r="U62" s="4">
        <v>0</v>
      </c>
      <c r="V62" s="4">
        <v>0</v>
      </c>
      <c r="W62" s="4">
        <v>0</v>
      </c>
      <c r="X62" s="4">
        <v>0</v>
      </c>
      <c r="Y62" s="4">
        <f t="shared" si="52"/>
        <v>0</v>
      </c>
      <c r="Z62" s="4">
        <v>0</v>
      </c>
      <c r="AA62" s="4">
        <v>0</v>
      </c>
      <c r="AB62" s="4">
        <v>0</v>
      </c>
      <c r="AC62" s="4">
        <v>0</v>
      </c>
      <c r="AD62" s="5">
        <f t="shared" si="53"/>
        <v>0</v>
      </c>
    </row>
    <row r="63" spans="1:30" s="8" customFormat="1" ht="104.45" customHeight="1">
      <c r="A63" s="2" t="s">
        <v>60</v>
      </c>
      <c r="B63" s="87" t="s">
        <v>59</v>
      </c>
      <c r="C63" s="85" t="s">
        <v>77</v>
      </c>
      <c r="D63" s="71">
        <v>2021</v>
      </c>
      <c r="E63" s="4">
        <f t="shared" si="48"/>
        <v>0</v>
      </c>
      <c r="F63" s="4">
        <v>0</v>
      </c>
      <c r="G63" s="4">
        <v>0</v>
      </c>
      <c r="H63" s="4">
        <v>0</v>
      </c>
      <c r="I63" s="4">
        <v>0</v>
      </c>
      <c r="J63" s="4">
        <f t="shared" si="49"/>
        <v>0</v>
      </c>
      <c r="K63" s="4">
        <v>0</v>
      </c>
      <c r="L63" s="5">
        <v>0</v>
      </c>
      <c r="M63" s="5">
        <v>0</v>
      </c>
      <c r="N63" s="5">
        <v>0</v>
      </c>
      <c r="O63" s="4">
        <f t="shared" si="50"/>
        <v>2500</v>
      </c>
      <c r="P63" s="4">
        <v>2500</v>
      </c>
      <c r="Q63" s="4">
        <v>0</v>
      </c>
      <c r="R63" s="4">
        <v>0</v>
      </c>
      <c r="S63" s="4">
        <v>0</v>
      </c>
      <c r="T63" s="4">
        <f t="shared" si="51"/>
        <v>0</v>
      </c>
      <c r="U63" s="4">
        <v>0</v>
      </c>
      <c r="V63" s="4">
        <v>0</v>
      </c>
      <c r="W63" s="4">
        <v>0</v>
      </c>
      <c r="X63" s="4">
        <v>0</v>
      </c>
      <c r="Y63" s="4">
        <f t="shared" si="52"/>
        <v>0</v>
      </c>
      <c r="Z63" s="4">
        <v>0</v>
      </c>
      <c r="AA63" s="5">
        <v>0</v>
      </c>
      <c r="AB63" s="5">
        <v>0</v>
      </c>
      <c r="AC63" s="5">
        <v>0</v>
      </c>
      <c r="AD63" s="5">
        <f t="shared" si="53"/>
        <v>2500</v>
      </c>
    </row>
    <row r="64" spans="1:30" s="8" customFormat="1" ht="69.75" customHeight="1">
      <c r="A64" s="2" t="s">
        <v>61</v>
      </c>
      <c r="B64" s="87" t="s">
        <v>135</v>
      </c>
      <c r="C64" s="85" t="s">
        <v>33</v>
      </c>
      <c r="D64" s="71" t="s">
        <v>44</v>
      </c>
      <c r="E64" s="4">
        <f t="shared" si="48"/>
        <v>0</v>
      </c>
      <c r="F64" s="4">
        <v>0</v>
      </c>
      <c r="G64" s="4">
        <v>0</v>
      </c>
      <c r="H64" s="4">
        <v>0</v>
      </c>
      <c r="I64" s="4">
        <v>0</v>
      </c>
      <c r="J64" s="4">
        <f t="shared" si="49"/>
        <v>0</v>
      </c>
      <c r="K64" s="4">
        <v>0</v>
      </c>
      <c r="L64" s="4">
        <v>0</v>
      </c>
      <c r="M64" s="4">
        <v>0</v>
      </c>
      <c r="N64" s="4">
        <v>0</v>
      </c>
      <c r="O64" s="4">
        <f t="shared" si="50"/>
        <v>0</v>
      </c>
      <c r="P64" s="4">
        <v>0</v>
      </c>
      <c r="Q64" s="4">
        <v>0</v>
      </c>
      <c r="R64" s="4">
        <v>0</v>
      </c>
      <c r="S64" s="4">
        <v>0</v>
      </c>
      <c r="T64" s="4">
        <f t="shared" si="51"/>
        <v>0</v>
      </c>
      <c r="U64" s="4">
        <v>0</v>
      </c>
      <c r="V64" s="4">
        <v>0</v>
      </c>
      <c r="W64" s="4">
        <v>0</v>
      </c>
      <c r="X64" s="4">
        <v>0</v>
      </c>
      <c r="Y64" s="4">
        <f t="shared" si="52"/>
        <v>0</v>
      </c>
      <c r="Z64" s="4">
        <v>0</v>
      </c>
      <c r="AA64" s="4">
        <v>0</v>
      </c>
      <c r="AB64" s="4">
        <v>0</v>
      </c>
      <c r="AC64" s="4">
        <v>0</v>
      </c>
      <c r="AD64" s="5">
        <f t="shared" si="53"/>
        <v>0</v>
      </c>
    </row>
    <row r="65" spans="1:30" s="8" customFormat="1" ht="85.9" customHeight="1">
      <c r="A65" s="2" t="s">
        <v>63</v>
      </c>
      <c r="B65" s="87" t="s">
        <v>62</v>
      </c>
      <c r="C65" s="85" t="s">
        <v>195</v>
      </c>
      <c r="D65" s="71" t="s">
        <v>44</v>
      </c>
      <c r="E65" s="4">
        <f t="shared" si="48"/>
        <v>0</v>
      </c>
      <c r="F65" s="4">
        <v>0</v>
      </c>
      <c r="G65" s="4">
        <v>0</v>
      </c>
      <c r="H65" s="4">
        <v>0</v>
      </c>
      <c r="I65" s="4">
        <v>0</v>
      </c>
      <c r="J65" s="4">
        <f t="shared" si="49"/>
        <v>0</v>
      </c>
      <c r="K65" s="4">
        <v>0</v>
      </c>
      <c r="L65" s="4">
        <v>0</v>
      </c>
      <c r="M65" s="4">
        <v>0</v>
      </c>
      <c r="N65" s="4">
        <v>0</v>
      </c>
      <c r="O65" s="4">
        <f t="shared" si="50"/>
        <v>0</v>
      </c>
      <c r="P65" s="4">
        <v>0</v>
      </c>
      <c r="Q65" s="4">
        <v>0</v>
      </c>
      <c r="R65" s="4">
        <v>0</v>
      </c>
      <c r="S65" s="4">
        <v>0</v>
      </c>
      <c r="T65" s="4">
        <f t="shared" si="51"/>
        <v>0</v>
      </c>
      <c r="U65" s="4">
        <v>0</v>
      </c>
      <c r="V65" s="4">
        <v>0</v>
      </c>
      <c r="W65" s="4">
        <v>0</v>
      </c>
      <c r="X65" s="4">
        <v>0</v>
      </c>
      <c r="Y65" s="4">
        <f t="shared" si="52"/>
        <v>0</v>
      </c>
      <c r="Z65" s="4">
        <v>0</v>
      </c>
      <c r="AA65" s="4">
        <v>0</v>
      </c>
      <c r="AB65" s="4">
        <v>0</v>
      </c>
      <c r="AC65" s="4">
        <v>0</v>
      </c>
      <c r="AD65" s="5">
        <f t="shared" si="53"/>
        <v>0</v>
      </c>
    </row>
    <row r="66" spans="1:30" s="8" customFormat="1" ht="72.599999999999994" customHeight="1">
      <c r="A66" s="109" t="s">
        <v>144</v>
      </c>
      <c r="B66" s="87" t="s">
        <v>158</v>
      </c>
      <c r="C66" s="85" t="s">
        <v>126</v>
      </c>
      <c r="D66" s="108">
        <v>2019.2022999999999</v>
      </c>
      <c r="E66" s="4">
        <f t="shared" si="48"/>
        <v>273</v>
      </c>
      <c r="F66" s="4">
        <f>347-74</f>
        <v>273</v>
      </c>
      <c r="G66" s="4">
        <v>0</v>
      </c>
      <c r="H66" s="4">
        <v>0</v>
      </c>
      <c r="I66" s="4">
        <v>0</v>
      </c>
      <c r="J66" s="4">
        <f t="shared" si="49"/>
        <v>0</v>
      </c>
      <c r="K66" s="4">
        <v>0</v>
      </c>
      <c r="L66" s="4">
        <v>0</v>
      </c>
      <c r="M66" s="4">
        <v>0</v>
      </c>
      <c r="N66" s="4">
        <v>0</v>
      </c>
      <c r="O66" s="29">
        <f t="shared" si="50"/>
        <v>0</v>
      </c>
      <c r="P66" s="29">
        <f>49-49</f>
        <v>0</v>
      </c>
      <c r="Q66" s="4">
        <v>0</v>
      </c>
      <c r="R66" s="4">
        <v>0</v>
      </c>
      <c r="S66" s="4">
        <v>0</v>
      </c>
      <c r="T66" s="4">
        <v>0</v>
      </c>
      <c r="U66" s="4">
        <v>0</v>
      </c>
      <c r="V66" s="4">
        <v>0</v>
      </c>
      <c r="W66" s="4">
        <v>0</v>
      </c>
      <c r="X66" s="4">
        <v>0</v>
      </c>
      <c r="Y66" s="4">
        <v>0</v>
      </c>
      <c r="Z66" s="4">
        <v>0</v>
      </c>
      <c r="AA66" s="4">
        <v>0</v>
      </c>
      <c r="AB66" s="4">
        <v>0</v>
      </c>
      <c r="AC66" s="4">
        <v>0</v>
      </c>
      <c r="AD66" s="5">
        <f t="shared" si="53"/>
        <v>273</v>
      </c>
    </row>
    <row r="67" spans="1:30" s="8" customFormat="1" ht="72.599999999999994" customHeight="1">
      <c r="A67" s="109" t="s">
        <v>205</v>
      </c>
      <c r="B67" s="102" t="s">
        <v>204</v>
      </c>
      <c r="C67" s="85" t="s">
        <v>33</v>
      </c>
      <c r="D67" s="108" t="s">
        <v>44</v>
      </c>
      <c r="E67" s="4">
        <v>74</v>
      </c>
      <c r="F67" s="4">
        <v>74</v>
      </c>
      <c r="G67" s="4">
        <v>0</v>
      </c>
      <c r="H67" s="4">
        <v>0</v>
      </c>
      <c r="I67" s="4">
        <v>0</v>
      </c>
      <c r="J67" s="4">
        <f t="shared" ref="J67" si="54">SUM(K67:N67)</f>
        <v>74</v>
      </c>
      <c r="K67" s="4">
        <v>74</v>
      </c>
      <c r="L67" s="4">
        <v>0</v>
      </c>
      <c r="M67" s="4">
        <v>0</v>
      </c>
      <c r="N67" s="4">
        <v>0</v>
      </c>
      <c r="O67" s="29">
        <v>74</v>
      </c>
      <c r="P67" s="29">
        <v>74</v>
      </c>
      <c r="Q67" s="4">
        <v>0</v>
      </c>
      <c r="R67" s="4">
        <v>0</v>
      </c>
      <c r="S67" s="4">
        <v>0</v>
      </c>
      <c r="T67" s="4">
        <v>74</v>
      </c>
      <c r="U67" s="4">
        <v>74</v>
      </c>
      <c r="V67" s="4">
        <v>0</v>
      </c>
      <c r="W67" s="4">
        <v>0</v>
      </c>
      <c r="X67" s="4">
        <v>0</v>
      </c>
      <c r="Y67" s="143">
        <f t="shared" ref="Y67" si="55">SUM(Z67:AC67)</f>
        <v>74</v>
      </c>
      <c r="Z67" s="143">
        <v>74</v>
      </c>
      <c r="AA67" s="4">
        <v>0</v>
      </c>
      <c r="AB67" s="4">
        <v>0</v>
      </c>
      <c r="AC67" s="4">
        <v>0</v>
      </c>
      <c r="AD67" s="137">
        <f t="shared" ref="AD67" si="56">SUM(Y67,T67,O67,J67,E67)</f>
        <v>370</v>
      </c>
    </row>
    <row r="68" spans="1:30" s="8" customFormat="1" ht="64.5" customHeight="1">
      <c r="A68" s="107" t="s">
        <v>248</v>
      </c>
      <c r="B68" s="87" t="s">
        <v>249</v>
      </c>
      <c r="C68" s="85" t="s">
        <v>33</v>
      </c>
      <c r="D68" s="103" t="s">
        <v>279</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5">
        <f t="shared" si="53"/>
        <v>0</v>
      </c>
    </row>
    <row r="69" spans="1:30" s="18" customFormat="1" ht="22.9" customHeight="1">
      <c r="A69" s="22"/>
      <c r="B69" s="80" t="s">
        <v>35</v>
      </c>
      <c r="C69" s="80"/>
      <c r="D69" s="51"/>
      <c r="E69" s="12">
        <f>SUM(F69:I69)</f>
        <v>13886.8</v>
      </c>
      <c r="F69" s="12">
        <f>SUM(F59:F68)</f>
        <v>1024</v>
      </c>
      <c r="G69" s="12">
        <f t="shared" ref="G69:I69" si="57">SUM(G59:G68)</f>
        <v>4502</v>
      </c>
      <c r="H69" s="12">
        <f t="shared" si="57"/>
        <v>8360.7999999999993</v>
      </c>
      <c r="I69" s="12">
        <f t="shared" si="57"/>
        <v>0</v>
      </c>
      <c r="J69" s="42">
        <f>SUM(J59:J68)</f>
        <v>11160</v>
      </c>
      <c r="K69" s="42">
        <f>SUM(K59:K68)</f>
        <v>629</v>
      </c>
      <c r="L69" s="42">
        <f>SUM(L59:L68)</f>
        <v>3686</v>
      </c>
      <c r="M69" s="42">
        <f>SUM(M59:M68)</f>
        <v>6845</v>
      </c>
      <c r="N69" s="12">
        <f t="shared" ref="N69" si="58">SUM(N59:N66)</f>
        <v>0</v>
      </c>
      <c r="O69" s="42">
        <f>SUM(P69:S69)</f>
        <v>13152</v>
      </c>
      <c r="P69" s="12">
        <f>SUM(P59:P68)</f>
        <v>4053</v>
      </c>
      <c r="Q69" s="12">
        <f>SUM(Q59:Q68)</f>
        <v>3184.45</v>
      </c>
      <c r="R69" s="12">
        <f>SUM(R59:R68)</f>
        <v>5914.55</v>
      </c>
      <c r="S69" s="12">
        <f>SUM(S59:S68)</f>
        <v>0</v>
      </c>
      <c r="T69" s="100">
        <f>SUM(U69:X69)</f>
        <v>1443</v>
      </c>
      <c r="U69" s="139">
        <f t="shared" ref="U69:AD69" si="59">SUM(U59:U68)</f>
        <v>1443</v>
      </c>
      <c r="V69" s="12">
        <f t="shared" si="59"/>
        <v>0</v>
      </c>
      <c r="W69" s="12">
        <f t="shared" si="59"/>
        <v>0</v>
      </c>
      <c r="X69" s="12">
        <f t="shared" si="59"/>
        <v>0</v>
      </c>
      <c r="Y69" s="139">
        <f>SUM(Y59:Y68)</f>
        <v>416</v>
      </c>
      <c r="Z69" s="139">
        <f>SUM(Z59:Z68)</f>
        <v>416</v>
      </c>
      <c r="AA69" s="12">
        <f t="shared" si="59"/>
        <v>0</v>
      </c>
      <c r="AB69" s="12">
        <f t="shared" si="59"/>
        <v>0</v>
      </c>
      <c r="AC69" s="12">
        <f t="shared" si="59"/>
        <v>0</v>
      </c>
      <c r="AD69" s="30">
        <f t="shared" si="59"/>
        <v>40057.800000000003</v>
      </c>
    </row>
    <row r="70" spans="1:30" s="8" customFormat="1" ht="46.15" customHeight="1">
      <c r="A70" s="15"/>
      <c r="B70" s="155" t="s">
        <v>133</v>
      </c>
      <c r="C70" s="180"/>
      <c r="D70" s="52"/>
      <c r="E70" s="4"/>
      <c r="F70" s="4"/>
      <c r="G70" s="4"/>
      <c r="H70" s="4"/>
      <c r="I70" s="4"/>
      <c r="J70" s="5"/>
      <c r="K70" s="5"/>
      <c r="L70" s="5"/>
      <c r="M70" s="5"/>
      <c r="N70" s="5"/>
      <c r="O70" s="5"/>
      <c r="P70" s="5"/>
      <c r="Q70" s="4"/>
      <c r="R70" s="4"/>
      <c r="S70" s="4"/>
      <c r="T70" s="4"/>
      <c r="U70" s="4"/>
      <c r="V70" s="4"/>
      <c r="W70" s="4"/>
      <c r="X70" s="5"/>
      <c r="Y70" s="5"/>
      <c r="Z70" s="5"/>
      <c r="AA70" s="5"/>
      <c r="AB70" s="5"/>
      <c r="AC70" s="5"/>
      <c r="AD70" s="5"/>
    </row>
    <row r="71" spans="1:30" s="8" customFormat="1" ht="40.9" customHeight="1">
      <c r="A71" s="85" t="s">
        <v>11</v>
      </c>
      <c r="B71" s="87" t="s">
        <v>78</v>
      </c>
      <c r="C71" s="85" t="s">
        <v>77</v>
      </c>
      <c r="D71" s="101" t="s">
        <v>275</v>
      </c>
      <c r="E71" s="4">
        <f t="shared" ref="E71:E85" si="60">SUM(F71:I71)</f>
        <v>0</v>
      </c>
      <c r="F71" s="4">
        <v>0</v>
      </c>
      <c r="G71" s="4">
        <v>0</v>
      </c>
      <c r="H71" s="4">
        <v>0</v>
      </c>
      <c r="I71" s="4">
        <v>0</v>
      </c>
      <c r="J71" s="4">
        <v>0</v>
      </c>
      <c r="K71" s="4">
        <v>0</v>
      </c>
      <c r="L71" s="4">
        <v>0</v>
      </c>
      <c r="M71" s="4">
        <v>0</v>
      </c>
      <c r="N71" s="4">
        <v>0</v>
      </c>
      <c r="O71" s="4">
        <v>0</v>
      </c>
      <c r="P71" s="4">
        <v>0</v>
      </c>
      <c r="Q71" s="4">
        <v>0</v>
      </c>
      <c r="R71" s="4">
        <v>0</v>
      </c>
      <c r="S71" s="4">
        <v>0</v>
      </c>
      <c r="T71" s="4">
        <f t="shared" ref="T71:T85" si="61">SUM(U71:X71)</f>
        <v>0</v>
      </c>
      <c r="U71" s="4">
        <v>0</v>
      </c>
      <c r="V71" s="4">
        <v>0</v>
      </c>
      <c r="W71" s="4">
        <v>0</v>
      </c>
      <c r="X71" s="4">
        <v>0</v>
      </c>
      <c r="Y71" s="4">
        <f t="shared" ref="Y71:Y85" si="62">SUM(Z71:AC71)</f>
        <v>0</v>
      </c>
      <c r="Z71" s="4">
        <v>0</v>
      </c>
      <c r="AA71" s="4">
        <v>0</v>
      </c>
      <c r="AB71" s="4">
        <v>0</v>
      </c>
      <c r="AC71" s="4">
        <v>0</v>
      </c>
      <c r="AD71" s="5">
        <f>SUM(Y71,T71,O71,J71,E71)</f>
        <v>0</v>
      </c>
    </row>
    <row r="72" spans="1:30" s="13" customFormat="1" ht="279.60000000000002" customHeight="1">
      <c r="A72" s="86" t="s">
        <v>12</v>
      </c>
      <c r="B72" s="111" t="s">
        <v>64</v>
      </c>
      <c r="C72" s="110" t="s">
        <v>151</v>
      </c>
      <c r="D72" s="71" t="s">
        <v>44</v>
      </c>
      <c r="E72" s="4">
        <f t="shared" si="60"/>
        <v>167984.2</v>
      </c>
      <c r="F72" s="4">
        <v>0</v>
      </c>
      <c r="G72" s="4">
        <v>0</v>
      </c>
      <c r="H72" s="4">
        <v>0</v>
      </c>
      <c r="I72" s="5">
        <v>167984.2</v>
      </c>
      <c r="J72" s="4">
        <f t="shared" ref="J72:J84" si="63">SUM(K72:N72)</f>
        <v>144287.70000000001</v>
      </c>
      <c r="K72" s="4">
        <v>0</v>
      </c>
      <c r="L72" s="4">
        <v>0</v>
      </c>
      <c r="M72" s="4">
        <v>0</v>
      </c>
      <c r="N72" s="5">
        <f>156096-11808.3</f>
        <v>144287.70000000001</v>
      </c>
      <c r="O72" s="4">
        <f t="shared" ref="O72:O87" si="64">SUM(P72:S72)</f>
        <v>174143</v>
      </c>
      <c r="P72" s="4">
        <v>0</v>
      </c>
      <c r="Q72" s="4">
        <v>0</v>
      </c>
      <c r="R72" s="4">
        <v>0</v>
      </c>
      <c r="S72" s="5">
        <v>174143</v>
      </c>
      <c r="T72" s="118">
        <f t="shared" si="61"/>
        <v>166621</v>
      </c>
      <c r="U72" s="4">
        <v>0</v>
      </c>
      <c r="V72" s="4">
        <v>0</v>
      </c>
      <c r="W72" s="4">
        <v>0</v>
      </c>
      <c r="X72" s="137">
        <v>166621</v>
      </c>
      <c r="Y72" s="118">
        <f t="shared" si="62"/>
        <v>160578</v>
      </c>
      <c r="Z72" s="4">
        <v>0</v>
      </c>
      <c r="AA72" s="4">
        <v>0</v>
      </c>
      <c r="AB72" s="4">
        <v>0</v>
      </c>
      <c r="AC72" s="137">
        <v>160578</v>
      </c>
      <c r="AD72" s="137">
        <f>SUM(Y72,T72,O72,J72,E72)</f>
        <v>813613.89999999991</v>
      </c>
    </row>
    <row r="73" spans="1:30" s="8" customFormat="1" ht="102.75" customHeight="1">
      <c r="A73" s="86" t="s">
        <v>17</v>
      </c>
      <c r="B73" s="87" t="s">
        <v>234</v>
      </c>
      <c r="C73" s="85" t="s">
        <v>152</v>
      </c>
      <c r="D73" s="71">
        <v>2020</v>
      </c>
      <c r="E73" s="4">
        <f t="shared" si="60"/>
        <v>0</v>
      </c>
      <c r="F73" s="16">
        <v>0</v>
      </c>
      <c r="G73" s="16">
        <v>0</v>
      </c>
      <c r="H73" s="16">
        <v>0</v>
      </c>
      <c r="I73" s="16">
        <v>0</v>
      </c>
      <c r="J73" s="29">
        <f t="shared" si="63"/>
        <v>1300</v>
      </c>
      <c r="K73" s="29">
        <f>2000-700</f>
        <v>1300</v>
      </c>
      <c r="L73" s="4">
        <v>0</v>
      </c>
      <c r="M73" s="4">
        <v>0</v>
      </c>
      <c r="N73" s="5">
        <v>0</v>
      </c>
      <c r="O73" s="4">
        <f t="shared" si="64"/>
        <v>0</v>
      </c>
      <c r="P73" s="5">
        <v>0</v>
      </c>
      <c r="Q73" s="5">
        <v>0</v>
      </c>
      <c r="R73" s="5">
        <v>0</v>
      </c>
      <c r="S73" s="5">
        <v>0</v>
      </c>
      <c r="T73" s="4">
        <f t="shared" si="61"/>
        <v>0</v>
      </c>
      <c r="U73" s="5">
        <v>0</v>
      </c>
      <c r="V73" s="5">
        <v>0</v>
      </c>
      <c r="W73" s="5">
        <v>0</v>
      </c>
      <c r="X73" s="5">
        <v>0</v>
      </c>
      <c r="Y73" s="4">
        <f t="shared" si="62"/>
        <v>0</v>
      </c>
      <c r="Z73" s="5">
        <v>0</v>
      </c>
      <c r="AA73" s="5">
        <v>0</v>
      </c>
      <c r="AB73" s="5">
        <v>0</v>
      </c>
      <c r="AC73" s="5">
        <v>0</v>
      </c>
      <c r="AD73" s="5">
        <f>SUM(Y73,T73,O73,J73,E73)</f>
        <v>1300</v>
      </c>
    </row>
    <row r="74" spans="1:30" s="8" customFormat="1" ht="42.75" customHeight="1">
      <c r="A74" s="86" t="s">
        <v>37</v>
      </c>
      <c r="B74" s="87" t="s">
        <v>83</v>
      </c>
      <c r="C74" s="85" t="s">
        <v>252</v>
      </c>
      <c r="D74" s="71">
        <v>2020</v>
      </c>
      <c r="E74" s="4">
        <f t="shared" si="60"/>
        <v>0</v>
      </c>
      <c r="F74" s="16">
        <v>0</v>
      </c>
      <c r="G74" s="16">
        <v>0</v>
      </c>
      <c r="H74" s="16">
        <v>0</v>
      </c>
      <c r="I74" s="16">
        <v>0</v>
      </c>
      <c r="J74" s="29">
        <f t="shared" si="63"/>
        <v>0</v>
      </c>
      <c r="K74" s="29">
        <f>150-150</f>
        <v>0</v>
      </c>
      <c r="L74" s="4">
        <v>0</v>
      </c>
      <c r="M74" s="5">
        <v>0</v>
      </c>
      <c r="N74" s="5">
        <v>0</v>
      </c>
      <c r="O74" s="4">
        <f t="shared" si="64"/>
        <v>0</v>
      </c>
      <c r="P74" s="5">
        <v>0</v>
      </c>
      <c r="Q74" s="5">
        <v>0</v>
      </c>
      <c r="R74" s="5">
        <v>0</v>
      </c>
      <c r="S74" s="5">
        <v>0</v>
      </c>
      <c r="T74" s="4">
        <f t="shared" si="61"/>
        <v>0</v>
      </c>
      <c r="U74" s="5">
        <v>0</v>
      </c>
      <c r="V74" s="5">
        <v>0</v>
      </c>
      <c r="W74" s="5">
        <v>0</v>
      </c>
      <c r="X74" s="5">
        <v>0</v>
      </c>
      <c r="Y74" s="4">
        <f t="shared" si="62"/>
        <v>0</v>
      </c>
      <c r="Z74" s="5">
        <v>0</v>
      </c>
      <c r="AA74" s="5">
        <v>0</v>
      </c>
      <c r="AB74" s="5">
        <v>0</v>
      </c>
      <c r="AC74" s="5">
        <v>0</v>
      </c>
      <c r="AD74" s="5">
        <f>SUM(Y74,T74,O74,J74,E74)</f>
        <v>0</v>
      </c>
    </row>
    <row r="75" spans="1:30" s="8" customFormat="1" ht="53.45" customHeight="1">
      <c r="A75" s="86" t="s">
        <v>66</v>
      </c>
      <c r="B75" s="87" t="s">
        <v>65</v>
      </c>
      <c r="C75" s="85" t="s">
        <v>152</v>
      </c>
      <c r="D75" s="71">
        <v>2019</v>
      </c>
      <c r="E75" s="4">
        <f t="shared" si="60"/>
        <v>100</v>
      </c>
      <c r="F75" s="4">
        <v>100</v>
      </c>
      <c r="G75" s="4">
        <v>0</v>
      </c>
      <c r="H75" s="16">
        <v>0</v>
      </c>
      <c r="I75" s="16">
        <v>0</v>
      </c>
      <c r="J75" s="4">
        <f t="shared" si="63"/>
        <v>0</v>
      </c>
      <c r="K75" s="16">
        <v>0</v>
      </c>
      <c r="L75" s="16">
        <v>0</v>
      </c>
      <c r="M75" s="16">
        <v>0</v>
      </c>
      <c r="N75" s="16">
        <v>0</v>
      </c>
      <c r="O75" s="4">
        <f t="shared" si="64"/>
        <v>0</v>
      </c>
      <c r="P75" s="16">
        <v>0</v>
      </c>
      <c r="Q75" s="16">
        <v>0</v>
      </c>
      <c r="R75" s="16">
        <v>0</v>
      </c>
      <c r="S75" s="16">
        <v>0</v>
      </c>
      <c r="T75" s="4">
        <f t="shared" si="61"/>
        <v>0</v>
      </c>
      <c r="U75" s="16">
        <v>0</v>
      </c>
      <c r="V75" s="16">
        <v>0</v>
      </c>
      <c r="W75" s="16">
        <v>0</v>
      </c>
      <c r="X75" s="16">
        <v>0</v>
      </c>
      <c r="Y75" s="4">
        <f t="shared" si="62"/>
        <v>0</v>
      </c>
      <c r="Z75" s="16">
        <v>0</v>
      </c>
      <c r="AA75" s="16">
        <v>0</v>
      </c>
      <c r="AB75" s="16">
        <v>0</v>
      </c>
      <c r="AC75" s="16">
        <v>0</v>
      </c>
      <c r="AD75" s="5">
        <f>SUM(Y75,T75,O75,J75,E75)</f>
        <v>100</v>
      </c>
    </row>
    <row r="76" spans="1:30" s="8" customFormat="1" ht="69.75" customHeight="1">
      <c r="A76" s="154" t="s">
        <v>67</v>
      </c>
      <c r="B76" s="87" t="s">
        <v>262</v>
      </c>
      <c r="C76" s="158" t="s">
        <v>261</v>
      </c>
      <c r="D76" s="158" t="s">
        <v>276</v>
      </c>
      <c r="E76" s="4"/>
      <c r="F76" s="4"/>
      <c r="G76" s="4"/>
      <c r="H76" s="4"/>
      <c r="I76" s="4"/>
      <c r="J76" s="4"/>
      <c r="K76" s="5"/>
      <c r="L76" s="5"/>
      <c r="M76" s="5"/>
      <c r="N76" s="5"/>
      <c r="O76" s="4">
        <f t="shared" si="64"/>
        <v>0</v>
      </c>
      <c r="P76" s="4"/>
      <c r="Q76" s="4"/>
      <c r="R76" s="4"/>
      <c r="S76" s="4"/>
      <c r="T76" s="4"/>
      <c r="U76" s="4"/>
      <c r="V76" s="4"/>
      <c r="W76" s="4"/>
      <c r="X76" s="5"/>
      <c r="Y76" s="4"/>
      <c r="Z76" s="5"/>
      <c r="AA76" s="5"/>
      <c r="AB76" s="5"/>
      <c r="AC76" s="5"/>
      <c r="AD76" s="5"/>
    </row>
    <row r="77" spans="1:30" s="8" customFormat="1" ht="32.450000000000003" customHeight="1">
      <c r="A77" s="154"/>
      <c r="B77" s="87" t="s">
        <v>239</v>
      </c>
      <c r="C77" s="164"/>
      <c r="D77" s="164"/>
      <c r="E77" s="4">
        <f t="shared" si="60"/>
        <v>100</v>
      </c>
      <c r="F77" s="4">
        <v>100</v>
      </c>
      <c r="G77" s="4">
        <v>0</v>
      </c>
      <c r="H77" s="4">
        <v>0</v>
      </c>
      <c r="I77" s="4">
        <v>0</v>
      </c>
      <c r="J77" s="29">
        <f t="shared" si="63"/>
        <v>0</v>
      </c>
      <c r="K77" s="30">
        <f>100-100</f>
        <v>0</v>
      </c>
      <c r="L77" s="5">
        <v>0</v>
      </c>
      <c r="M77" s="5">
        <v>0</v>
      </c>
      <c r="N77" s="5">
        <v>0</v>
      </c>
      <c r="O77" s="4">
        <f t="shared" si="64"/>
        <v>49</v>
      </c>
      <c r="P77" s="29">
        <v>49</v>
      </c>
      <c r="Q77" s="29">
        <v>0</v>
      </c>
      <c r="R77" s="29">
        <v>0</v>
      </c>
      <c r="S77" s="29">
        <v>0</v>
      </c>
      <c r="T77" s="117">
        <f t="shared" si="61"/>
        <v>256</v>
      </c>
      <c r="U77" s="117">
        <v>256</v>
      </c>
      <c r="V77" s="4">
        <v>0</v>
      </c>
      <c r="W77" s="4">
        <v>0</v>
      </c>
      <c r="X77" s="4">
        <v>0</v>
      </c>
      <c r="Y77" s="117">
        <f t="shared" si="62"/>
        <v>256</v>
      </c>
      <c r="Z77" s="119">
        <v>256</v>
      </c>
      <c r="AA77" s="5">
        <v>0</v>
      </c>
      <c r="AB77" s="5">
        <v>0</v>
      </c>
      <c r="AC77" s="5">
        <v>0</v>
      </c>
      <c r="AD77" s="5">
        <f>SUM(Y77,T77,O77,J77,E77)</f>
        <v>661</v>
      </c>
    </row>
    <row r="78" spans="1:30" s="8" customFormat="1" ht="28.9" customHeight="1">
      <c r="A78" s="154"/>
      <c r="B78" s="87" t="s">
        <v>240</v>
      </c>
      <c r="C78" s="164"/>
      <c r="D78" s="164"/>
      <c r="E78" s="4">
        <f t="shared" si="60"/>
        <v>300</v>
      </c>
      <c r="F78" s="4">
        <v>300</v>
      </c>
      <c r="G78" s="4">
        <v>0</v>
      </c>
      <c r="H78" s="4">
        <v>0</v>
      </c>
      <c r="I78" s="4">
        <v>0</v>
      </c>
      <c r="J78" s="29">
        <f t="shared" si="63"/>
        <v>0</v>
      </c>
      <c r="K78" s="30">
        <f>303-303</f>
        <v>0</v>
      </c>
      <c r="L78" s="5">
        <v>0</v>
      </c>
      <c r="M78" s="5">
        <v>0</v>
      </c>
      <c r="N78" s="5">
        <v>0</v>
      </c>
      <c r="O78" s="4">
        <f t="shared" si="64"/>
        <v>0</v>
      </c>
      <c r="P78" s="29">
        <v>0</v>
      </c>
      <c r="Q78" s="29">
        <v>0</v>
      </c>
      <c r="R78" s="29">
        <v>0</v>
      </c>
      <c r="S78" s="29">
        <v>0</v>
      </c>
      <c r="T78" s="29">
        <f t="shared" si="61"/>
        <v>0</v>
      </c>
      <c r="U78" s="29">
        <v>0</v>
      </c>
      <c r="V78" s="4">
        <v>0</v>
      </c>
      <c r="W78" s="4">
        <v>0</v>
      </c>
      <c r="X78" s="4">
        <v>0</v>
      </c>
      <c r="Y78" s="4">
        <v>0</v>
      </c>
      <c r="Z78" s="5">
        <v>0</v>
      </c>
      <c r="AA78" s="5">
        <v>0</v>
      </c>
      <c r="AB78" s="5">
        <v>0</v>
      </c>
      <c r="AC78" s="5">
        <v>0</v>
      </c>
      <c r="AD78" s="5">
        <f t="shared" ref="AD78:AD84" si="65">SUM(Y78,T78,O78,J78,E78)</f>
        <v>300</v>
      </c>
    </row>
    <row r="79" spans="1:30" s="8" customFormat="1" ht="36" customHeight="1">
      <c r="A79" s="154"/>
      <c r="B79" s="87" t="s">
        <v>241</v>
      </c>
      <c r="C79" s="164"/>
      <c r="D79" s="164"/>
      <c r="E79" s="4">
        <f t="shared" si="60"/>
        <v>73</v>
      </c>
      <c r="F79" s="4">
        <v>73</v>
      </c>
      <c r="G79" s="4">
        <v>0</v>
      </c>
      <c r="H79" s="4">
        <v>0</v>
      </c>
      <c r="I79" s="4">
        <v>0</v>
      </c>
      <c r="J79" s="4">
        <f t="shared" si="63"/>
        <v>0</v>
      </c>
      <c r="K79" s="5">
        <v>0</v>
      </c>
      <c r="L79" s="5">
        <v>0</v>
      </c>
      <c r="M79" s="5">
        <v>0</v>
      </c>
      <c r="N79" s="5">
        <v>0</v>
      </c>
      <c r="O79" s="4">
        <f t="shared" si="64"/>
        <v>0</v>
      </c>
      <c r="P79" s="29">
        <v>0</v>
      </c>
      <c r="Q79" s="4">
        <v>0</v>
      </c>
      <c r="R79" s="4">
        <v>0</v>
      </c>
      <c r="S79" s="4">
        <v>0</v>
      </c>
      <c r="T79" s="29">
        <f t="shared" si="61"/>
        <v>0</v>
      </c>
      <c r="U79" s="29">
        <v>0</v>
      </c>
      <c r="V79" s="4">
        <v>0</v>
      </c>
      <c r="W79" s="4">
        <v>0</v>
      </c>
      <c r="X79" s="4">
        <v>0</v>
      </c>
      <c r="Y79" s="4">
        <f t="shared" si="62"/>
        <v>0</v>
      </c>
      <c r="Z79" s="5">
        <v>0</v>
      </c>
      <c r="AA79" s="5">
        <v>0</v>
      </c>
      <c r="AB79" s="5">
        <v>0</v>
      </c>
      <c r="AC79" s="5">
        <v>0</v>
      </c>
      <c r="AD79" s="5">
        <f t="shared" si="65"/>
        <v>73</v>
      </c>
    </row>
    <row r="80" spans="1:30" s="8" customFormat="1" ht="26.45" customHeight="1">
      <c r="A80" s="154"/>
      <c r="B80" s="87" t="s">
        <v>242</v>
      </c>
      <c r="C80" s="164"/>
      <c r="D80" s="164"/>
      <c r="E80" s="4">
        <f t="shared" si="60"/>
        <v>0</v>
      </c>
      <c r="F80" s="4">
        <v>0</v>
      </c>
      <c r="G80" s="4">
        <v>0</v>
      </c>
      <c r="H80" s="4">
        <v>0</v>
      </c>
      <c r="I80" s="4">
        <v>0</v>
      </c>
      <c r="J80" s="4">
        <f t="shared" si="63"/>
        <v>0</v>
      </c>
      <c r="K80" s="4">
        <v>0</v>
      </c>
      <c r="L80" s="4">
        <v>0</v>
      </c>
      <c r="M80" s="4">
        <v>0</v>
      </c>
      <c r="N80" s="4">
        <v>0</v>
      </c>
      <c r="O80" s="4">
        <f t="shared" si="64"/>
        <v>0</v>
      </c>
      <c r="P80" s="4">
        <v>0</v>
      </c>
      <c r="Q80" s="4">
        <v>0</v>
      </c>
      <c r="R80" s="4">
        <v>0</v>
      </c>
      <c r="S80" s="4">
        <v>0</v>
      </c>
      <c r="T80" s="4">
        <f t="shared" si="61"/>
        <v>0</v>
      </c>
      <c r="U80" s="4">
        <v>0</v>
      </c>
      <c r="V80" s="4">
        <v>0</v>
      </c>
      <c r="W80" s="4">
        <v>0</v>
      </c>
      <c r="X80" s="4">
        <v>0</v>
      </c>
      <c r="Y80" s="4">
        <f t="shared" si="62"/>
        <v>0</v>
      </c>
      <c r="Z80" s="5">
        <v>0</v>
      </c>
      <c r="AA80" s="5">
        <v>0</v>
      </c>
      <c r="AB80" s="5">
        <v>0</v>
      </c>
      <c r="AC80" s="5">
        <v>0</v>
      </c>
      <c r="AD80" s="5">
        <f t="shared" si="65"/>
        <v>0</v>
      </c>
    </row>
    <row r="81" spans="1:30" s="8" customFormat="1" ht="26.45" customHeight="1">
      <c r="A81" s="154"/>
      <c r="B81" s="87" t="s">
        <v>243</v>
      </c>
      <c r="C81" s="164"/>
      <c r="D81" s="164"/>
      <c r="E81" s="4">
        <f t="shared" ref="E81" si="66">SUM(F81:I81)</f>
        <v>0</v>
      </c>
      <c r="F81" s="4">
        <v>0</v>
      </c>
      <c r="G81" s="4">
        <v>0</v>
      </c>
      <c r="H81" s="4">
        <v>0</v>
      </c>
      <c r="I81" s="4">
        <v>0</v>
      </c>
      <c r="J81" s="4">
        <f t="shared" ref="J81" si="67">SUM(K81:N81)</f>
        <v>0</v>
      </c>
      <c r="K81" s="4">
        <v>0</v>
      </c>
      <c r="L81" s="4">
        <v>0</v>
      </c>
      <c r="M81" s="4">
        <v>0</v>
      </c>
      <c r="N81" s="4">
        <v>0</v>
      </c>
      <c r="O81" s="4">
        <f t="shared" ref="O81" si="68">SUM(P81:S81)</f>
        <v>0</v>
      </c>
      <c r="P81" s="4">
        <v>0</v>
      </c>
      <c r="Q81" s="4">
        <v>0</v>
      </c>
      <c r="R81" s="4">
        <v>0</v>
      </c>
      <c r="S81" s="4">
        <v>0</v>
      </c>
      <c r="T81" s="4">
        <f t="shared" ref="T81" si="69">SUM(U81:X81)</f>
        <v>0</v>
      </c>
      <c r="U81" s="4">
        <v>0</v>
      </c>
      <c r="V81" s="4">
        <v>0</v>
      </c>
      <c r="W81" s="4">
        <v>0</v>
      </c>
      <c r="X81" s="4">
        <v>0</v>
      </c>
      <c r="Y81" s="4">
        <f t="shared" ref="Y81" si="70">SUM(Z81:AC81)</f>
        <v>0</v>
      </c>
      <c r="Z81" s="5">
        <v>0</v>
      </c>
      <c r="AA81" s="5">
        <v>0</v>
      </c>
      <c r="AB81" s="5">
        <v>0</v>
      </c>
      <c r="AC81" s="5">
        <v>0</v>
      </c>
      <c r="AD81" s="5">
        <f t="shared" ref="AD81" si="71">SUM(Y81,T81,O81,J81,E81)</f>
        <v>0</v>
      </c>
    </row>
    <row r="82" spans="1:30" s="8" customFormat="1" ht="23.45" customHeight="1">
      <c r="A82" s="154"/>
      <c r="B82" s="87" t="s">
        <v>259</v>
      </c>
      <c r="C82" s="165"/>
      <c r="D82" s="165"/>
      <c r="E82" s="4">
        <f t="shared" si="60"/>
        <v>0</v>
      </c>
      <c r="F82" s="4">
        <v>0</v>
      </c>
      <c r="G82" s="4">
        <v>0</v>
      </c>
      <c r="H82" s="4">
        <v>0</v>
      </c>
      <c r="I82" s="4">
        <v>0</v>
      </c>
      <c r="J82" s="4">
        <f t="shared" si="63"/>
        <v>0</v>
      </c>
      <c r="K82" s="4">
        <v>0</v>
      </c>
      <c r="L82" s="4">
        <v>0</v>
      </c>
      <c r="M82" s="4">
        <v>0</v>
      </c>
      <c r="N82" s="4">
        <v>0</v>
      </c>
      <c r="O82" s="4">
        <f t="shared" si="64"/>
        <v>0</v>
      </c>
      <c r="P82" s="29">
        <v>0</v>
      </c>
      <c r="Q82" s="4">
        <v>0</v>
      </c>
      <c r="R82" s="4">
        <v>0</v>
      </c>
      <c r="S82" s="4">
        <v>0</v>
      </c>
      <c r="T82" s="4">
        <f t="shared" si="61"/>
        <v>0</v>
      </c>
      <c r="U82" s="4">
        <v>0</v>
      </c>
      <c r="V82" s="4">
        <v>0</v>
      </c>
      <c r="W82" s="4">
        <v>0</v>
      </c>
      <c r="X82" s="4">
        <v>0</v>
      </c>
      <c r="Y82" s="4">
        <f t="shared" si="62"/>
        <v>0</v>
      </c>
      <c r="Z82" s="5">
        <v>0</v>
      </c>
      <c r="AA82" s="5">
        <v>0</v>
      </c>
      <c r="AB82" s="5">
        <v>0</v>
      </c>
      <c r="AC82" s="5">
        <v>0</v>
      </c>
      <c r="AD82" s="30">
        <f t="shared" si="65"/>
        <v>0</v>
      </c>
    </row>
    <row r="83" spans="1:30" s="8" customFormat="1" ht="45.75" customHeight="1">
      <c r="A83" s="86" t="s">
        <v>68</v>
      </c>
      <c r="B83" s="87" t="s">
        <v>207</v>
      </c>
      <c r="C83" s="79" t="s">
        <v>208</v>
      </c>
      <c r="D83" s="68">
        <v>2020</v>
      </c>
      <c r="E83" s="4">
        <v>0</v>
      </c>
      <c r="F83" s="4">
        <v>0</v>
      </c>
      <c r="G83" s="4">
        <v>0</v>
      </c>
      <c r="H83" s="4">
        <v>0</v>
      </c>
      <c r="I83" s="4">
        <v>0</v>
      </c>
      <c r="J83" s="29">
        <f t="shared" si="63"/>
        <v>400</v>
      </c>
      <c r="K83" s="29">
        <v>400</v>
      </c>
      <c r="L83" s="4">
        <v>0</v>
      </c>
      <c r="M83" s="4">
        <v>0</v>
      </c>
      <c r="N83" s="4">
        <v>0</v>
      </c>
      <c r="O83" s="4">
        <f t="shared" si="64"/>
        <v>0</v>
      </c>
      <c r="P83" s="4">
        <v>0</v>
      </c>
      <c r="Q83" s="4">
        <v>0</v>
      </c>
      <c r="R83" s="4">
        <v>0</v>
      </c>
      <c r="S83" s="4">
        <v>0</v>
      </c>
      <c r="T83" s="4">
        <v>0</v>
      </c>
      <c r="U83" s="4">
        <v>0</v>
      </c>
      <c r="V83" s="4">
        <v>0</v>
      </c>
      <c r="W83" s="4">
        <v>0</v>
      </c>
      <c r="X83" s="4">
        <v>0</v>
      </c>
      <c r="Y83" s="4">
        <v>0</v>
      </c>
      <c r="Z83" s="5">
        <v>0</v>
      </c>
      <c r="AA83" s="5">
        <v>0</v>
      </c>
      <c r="AB83" s="5">
        <v>0</v>
      </c>
      <c r="AC83" s="5">
        <v>0</v>
      </c>
      <c r="AD83" s="5">
        <f t="shared" si="65"/>
        <v>400</v>
      </c>
    </row>
    <row r="84" spans="1:30" s="8" customFormat="1" ht="111.75" customHeight="1">
      <c r="A84" s="86" t="s">
        <v>79</v>
      </c>
      <c r="B84" s="87" t="s">
        <v>189</v>
      </c>
      <c r="C84" s="85" t="s">
        <v>188</v>
      </c>
      <c r="D84" s="71">
        <v>2019</v>
      </c>
      <c r="E84" s="4">
        <f t="shared" si="60"/>
        <v>627.20000000000005</v>
      </c>
      <c r="F84" s="4">
        <v>627.20000000000005</v>
      </c>
      <c r="G84" s="4">
        <v>0</v>
      </c>
      <c r="H84" s="4">
        <v>0</v>
      </c>
      <c r="I84" s="4">
        <v>0</v>
      </c>
      <c r="J84" s="4">
        <f t="shared" si="63"/>
        <v>0</v>
      </c>
      <c r="K84" s="4">
        <v>0</v>
      </c>
      <c r="L84" s="4">
        <v>0</v>
      </c>
      <c r="M84" s="4">
        <v>0</v>
      </c>
      <c r="N84" s="4">
        <v>0</v>
      </c>
      <c r="O84" s="4">
        <f t="shared" si="64"/>
        <v>0</v>
      </c>
      <c r="P84" s="4">
        <v>0</v>
      </c>
      <c r="Q84" s="4">
        <v>0</v>
      </c>
      <c r="R84" s="4">
        <v>0</v>
      </c>
      <c r="S84" s="4">
        <v>0</v>
      </c>
      <c r="T84" s="4">
        <f t="shared" si="61"/>
        <v>0</v>
      </c>
      <c r="U84" s="4">
        <v>0</v>
      </c>
      <c r="V84" s="4">
        <v>0</v>
      </c>
      <c r="W84" s="4">
        <v>0</v>
      </c>
      <c r="X84" s="4">
        <v>0</v>
      </c>
      <c r="Y84" s="4">
        <f t="shared" si="62"/>
        <v>0</v>
      </c>
      <c r="Z84" s="4">
        <v>0</v>
      </c>
      <c r="AA84" s="4">
        <v>0</v>
      </c>
      <c r="AB84" s="4">
        <v>0</v>
      </c>
      <c r="AC84" s="4">
        <v>0</v>
      </c>
      <c r="AD84" s="5">
        <f t="shared" si="65"/>
        <v>627.20000000000005</v>
      </c>
    </row>
    <row r="85" spans="1:30" s="8" customFormat="1" ht="51.75" customHeight="1">
      <c r="A85" s="86" t="s">
        <v>209</v>
      </c>
      <c r="B85" s="87" t="s">
        <v>160</v>
      </c>
      <c r="C85" s="85" t="s">
        <v>153</v>
      </c>
      <c r="D85" s="101" t="s">
        <v>44</v>
      </c>
      <c r="E85" s="4">
        <f t="shared" si="60"/>
        <v>0</v>
      </c>
      <c r="F85" s="4">
        <v>0</v>
      </c>
      <c r="G85" s="4">
        <v>0</v>
      </c>
      <c r="H85" s="4">
        <v>0</v>
      </c>
      <c r="I85" s="4">
        <v>0</v>
      </c>
      <c r="J85" s="4">
        <f>SUM(K85:N85)</f>
        <v>0</v>
      </c>
      <c r="K85" s="4">
        <v>0</v>
      </c>
      <c r="L85" s="4">
        <v>0</v>
      </c>
      <c r="M85" s="4">
        <v>0</v>
      </c>
      <c r="N85" s="4">
        <v>0</v>
      </c>
      <c r="O85" s="4">
        <f t="shared" si="64"/>
        <v>0</v>
      </c>
      <c r="P85" s="4">
        <v>0</v>
      </c>
      <c r="Q85" s="4">
        <v>0</v>
      </c>
      <c r="R85" s="4">
        <v>0</v>
      </c>
      <c r="S85" s="4">
        <v>0</v>
      </c>
      <c r="T85" s="4">
        <f t="shared" si="61"/>
        <v>0</v>
      </c>
      <c r="U85" s="4">
        <v>0</v>
      </c>
      <c r="V85" s="4">
        <v>0</v>
      </c>
      <c r="W85" s="4">
        <v>0</v>
      </c>
      <c r="X85" s="4">
        <v>0</v>
      </c>
      <c r="Y85" s="4">
        <f t="shared" si="62"/>
        <v>0</v>
      </c>
      <c r="Z85" s="4">
        <v>0</v>
      </c>
      <c r="AA85" s="4">
        <v>0</v>
      </c>
      <c r="AB85" s="4">
        <v>0</v>
      </c>
      <c r="AC85" s="4">
        <v>0</v>
      </c>
      <c r="AD85" s="5">
        <f>SUM(Y85,T85,O85,J85,E85)</f>
        <v>0</v>
      </c>
    </row>
    <row r="86" spans="1:30" s="8" customFormat="1" ht="51.75" customHeight="1">
      <c r="A86" s="86" t="s">
        <v>210</v>
      </c>
      <c r="B86" s="87" t="s">
        <v>215</v>
      </c>
      <c r="C86" s="85" t="s">
        <v>126</v>
      </c>
      <c r="D86" s="71">
        <v>2020</v>
      </c>
      <c r="E86" s="4">
        <v>0</v>
      </c>
      <c r="F86" s="4">
        <v>0</v>
      </c>
      <c r="G86" s="4">
        <v>0</v>
      </c>
      <c r="H86" s="4">
        <v>0</v>
      </c>
      <c r="I86" s="4">
        <v>0</v>
      </c>
      <c r="J86" s="4">
        <f>SUM(K86:N86)</f>
        <v>0</v>
      </c>
      <c r="K86" s="4">
        <f>280-280</f>
        <v>0</v>
      </c>
      <c r="L86" s="4">
        <v>0</v>
      </c>
      <c r="M86" s="4">
        <v>0</v>
      </c>
      <c r="N86" s="4">
        <v>0</v>
      </c>
      <c r="O86" s="4">
        <f t="shared" si="64"/>
        <v>0</v>
      </c>
      <c r="P86" s="4">
        <v>0</v>
      </c>
      <c r="Q86" s="4">
        <v>0</v>
      </c>
      <c r="R86" s="4">
        <v>0</v>
      </c>
      <c r="S86" s="4">
        <v>0</v>
      </c>
      <c r="T86" s="4">
        <v>0</v>
      </c>
      <c r="U86" s="4">
        <v>0</v>
      </c>
      <c r="V86" s="4">
        <v>0</v>
      </c>
      <c r="W86" s="4">
        <v>0</v>
      </c>
      <c r="X86" s="4">
        <v>0</v>
      </c>
      <c r="Y86" s="4">
        <v>0</v>
      </c>
      <c r="Z86" s="4">
        <v>0</v>
      </c>
      <c r="AA86" s="4">
        <v>0</v>
      </c>
      <c r="AB86" s="4">
        <v>0</v>
      </c>
      <c r="AC86" s="4">
        <v>0</v>
      </c>
      <c r="AD86" s="5">
        <f>SUM(Y86,T86,O86,J86,E86)</f>
        <v>0</v>
      </c>
    </row>
    <row r="87" spans="1:30" s="8" customFormat="1" ht="91.5" customHeight="1">
      <c r="A87" s="86" t="s">
        <v>221</v>
      </c>
      <c r="B87" s="87" t="s">
        <v>222</v>
      </c>
      <c r="C87" s="85" t="s">
        <v>260</v>
      </c>
      <c r="D87" s="97" t="s">
        <v>272</v>
      </c>
      <c r="E87" s="4">
        <v>0</v>
      </c>
      <c r="F87" s="4">
        <v>0</v>
      </c>
      <c r="G87" s="4">
        <v>0</v>
      </c>
      <c r="H87" s="4">
        <v>0</v>
      </c>
      <c r="I87" s="4">
        <v>0</v>
      </c>
      <c r="J87" s="64">
        <f>SUM(K87:N87)</f>
        <v>9552</v>
      </c>
      <c r="K87" s="64">
        <f>2289+626.545+1.455-130</f>
        <v>2787</v>
      </c>
      <c r="L87" s="4">
        <f>5628+1527.3-0.3-390</f>
        <v>6765</v>
      </c>
      <c r="M87" s="4">
        <v>0</v>
      </c>
      <c r="N87" s="4">
        <v>0</v>
      </c>
      <c r="O87" s="29">
        <f t="shared" si="64"/>
        <v>25424</v>
      </c>
      <c r="P87" s="29">
        <f>6134-338</f>
        <v>5796</v>
      </c>
      <c r="Q87" s="29">
        <f>20825-1197</f>
        <v>19628</v>
      </c>
      <c r="R87" s="4">
        <v>0</v>
      </c>
      <c r="S87" s="4">
        <v>0</v>
      </c>
      <c r="T87" s="4">
        <v>0</v>
      </c>
      <c r="U87" s="4">
        <v>0</v>
      </c>
      <c r="V87" s="4">
        <v>0</v>
      </c>
      <c r="W87" s="4">
        <v>0</v>
      </c>
      <c r="X87" s="4">
        <v>0</v>
      </c>
      <c r="Y87" s="4">
        <v>0</v>
      </c>
      <c r="Z87" s="4">
        <v>0</v>
      </c>
      <c r="AA87" s="4">
        <v>0</v>
      </c>
      <c r="AB87" s="4">
        <v>0</v>
      </c>
      <c r="AC87" s="4">
        <v>0</v>
      </c>
      <c r="AD87" s="92">
        <f>SUM(Y87,T87,O87,J87,E87)</f>
        <v>34976</v>
      </c>
    </row>
    <row r="88" spans="1:30" s="18" customFormat="1" ht="25.15" customHeight="1">
      <c r="A88" s="17"/>
      <c r="B88" s="80" t="s">
        <v>34</v>
      </c>
      <c r="C88" s="80"/>
      <c r="D88" s="51"/>
      <c r="E88" s="12">
        <f>SUM(E71:E87)</f>
        <v>169184.40000000002</v>
      </c>
      <c r="F88" s="12">
        <f t="shared" ref="F88:AC88" si="72">SUM(F71:F87)</f>
        <v>1200.2</v>
      </c>
      <c r="G88" s="12">
        <f t="shared" si="72"/>
        <v>0</v>
      </c>
      <c r="H88" s="12">
        <f t="shared" si="72"/>
        <v>0</v>
      </c>
      <c r="I88" s="12">
        <f t="shared" si="72"/>
        <v>167984.2</v>
      </c>
      <c r="J88" s="62">
        <f>SUM(J71:J87)</f>
        <v>155539.70000000001</v>
      </c>
      <c r="K88" s="62">
        <f>SUM(K71:K87)</f>
        <v>4487</v>
      </c>
      <c r="L88" s="12">
        <f t="shared" si="72"/>
        <v>6765</v>
      </c>
      <c r="M88" s="12">
        <f t="shared" si="72"/>
        <v>0</v>
      </c>
      <c r="N88" s="12">
        <f t="shared" si="72"/>
        <v>144287.70000000001</v>
      </c>
      <c r="O88" s="12">
        <f>SUM(O71:O87)</f>
        <v>199616</v>
      </c>
      <c r="P88" s="12">
        <f>SUM(P71:P87)</f>
        <v>5845</v>
      </c>
      <c r="Q88" s="12">
        <f t="shared" si="72"/>
        <v>19628</v>
      </c>
      <c r="R88" s="12">
        <f t="shared" si="72"/>
        <v>0</v>
      </c>
      <c r="S88" s="12">
        <f t="shared" si="72"/>
        <v>174143</v>
      </c>
      <c r="T88" s="12">
        <f t="shared" si="72"/>
        <v>166877</v>
      </c>
      <c r="U88" s="12">
        <f t="shared" si="72"/>
        <v>256</v>
      </c>
      <c r="V88" s="12">
        <f t="shared" si="72"/>
        <v>0</v>
      </c>
      <c r="W88" s="12">
        <f t="shared" si="72"/>
        <v>0</v>
      </c>
      <c r="X88" s="12">
        <f t="shared" si="72"/>
        <v>166621</v>
      </c>
      <c r="Y88" s="12">
        <f>SUM(Y71:Y87)</f>
        <v>160834</v>
      </c>
      <c r="Z88" s="12">
        <f t="shared" si="72"/>
        <v>256</v>
      </c>
      <c r="AA88" s="12">
        <f t="shared" si="72"/>
        <v>0</v>
      </c>
      <c r="AB88" s="12">
        <f t="shared" si="72"/>
        <v>0</v>
      </c>
      <c r="AC88" s="12">
        <f t="shared" si="72"/>
        <v>160578</v>
      </c>
      <c r="AD88" s="92">
        <f>SUM(Y88,T88,O88,J88,E88)</f>
        <v>852051.1</v>
      </c>
    </row>
    <row r="89" spans="1:30" s="8" customFormat="1" ht="57.6" customHeight="1">
      <c r="A89" s="86"/>
      <c r="B89" s="155" t="s">
        <v>134</v>
      </c>
      <c r="C89" s="156"/>
      <c r="D89" s="72"/>
      <c r="E89" s="12"/>
      <c r="F89" s="4"/>
      <c r="G89" s="4"/>
      <c r="H89" s="4"/>
      <c r="I89" s="4"/>
      <c r="J89" s="5"/>
      <c r="K89" s="5"/>
      <c r="L89" s="5"/>
      <c r="M89" s="5"/>
      <c r="N89" s="5"/>
      <c r="O89" s="4"/>
      <c r="P89" s="4"/>
      <c r="Q89" s="5"/>
      <c r="R89" s="4"/>
      <c r="S89" s="4"/>
      <c r="T89" s="4"/>
      <c r="U89" s="4"/>
      <c r="V89" s="4"/>
      <c r="W89" s="4"/>
      <c r="X89" s="5"/>
      <c r="Y89" s="5"/>
      <c r="Z89" s="5"/>
      <c r="AA89" s="5"/>
      <c r="AB89" s="5"/>
      <c r="AC89" s="5"/>
      <c r="AD89" s="5"/>
    </row>
    <row r="90" spans="1:30" s="8" customFormat="1" ht="111.75" customHeight="1">
      <c r="A90" s="144" t="s">
        <v>13</v>
      </c>
      <c r="B90" s="87" t="s">
        <v>86</v>
      </c>
      <c r="C90" s="158" t="s">
        <v>118</v>
      </c>
      <c r="D90" s="71"/>
      <c r="E90" s="4"/>
      <c r="F90" s="4"/>
      <c r="G90" s="4"/>
      <c r="H90" s="4"/>
      <c r="I90" s="4"/>
      <c r="J90" s="5"/>
      <c r="K90" s="5"/>
      <c r="L90" s="5"/>
      <c r="M90" s="5"/>
      <c r="N90" s="5"/>
      <c r="O90" s="4"/>
      <c r="P90" s="4"/>
      <c r="Q90" s="4"/>
      <c r="R90" s="4"/>
      <c r="S90" s="4"/>
      <c r="T90" s="4"/>
      <c r="U90" s="4"/>
      <c r="V90" s="4"/>
      <c r="W90" s="4"/>
      <c r="X90" s="5"/>
      <c r="Y90" s="5"/>
      <c r="Z90" s="5"/>
      <c r="AA90" s="5"/>
      <c r="AB90" s="5"/>
      <c r="AC90" s="5"/>
      <c r="AD90" s="5"/>
    </row>
    <row r="91" spans="1:30" s="8" customFormat="1" ht="40.5" customHeight="1">
      <c r="A91" s="145"/>
      <c r="B91" s="87" t="s">
        <v>87</v>
      </c>
      <c r="C91" s="164"/>
      <c r="D91" s="72">
        <v>2019</v>
      </c>
      <c r="E91" s="4">
        <f t="shared" ref="E91:E96" si="73">SUM(F91:I91)</f>
        <v>25085.3</v>
      </c>
      <c r="F91" s="4">
        <v>1383.7</v>
      </c>
      <c r="G91" s="4">
        <v>23701.599999999999</v>
      </c>
      <c r="H91" s="4">
        <v>0</v>
      </c>
      <c r="I91" s="4">
        <v>0</v>
      </c>
      <c r="J91" s="4">
        <f t="shared" ref="J91:J125" si="74">SUM(K91:N91)</f>
        <v>0</v>
      </c>
      <c r="K91" s="5">
        <v>0</v>
      </c>
      <c r="L91" s="5">
        <v>0</v>
      </c>
      <c r="M91" s="5">
        <v>0</v>
      </c>
      <c r="N91" s="5">
        <v>0</v>
      </c>
      <c r="O91" s="4">
        <f t="shared" ref="O91:O124" si="75">SUM(P91:S91)</f>
        <v>0</v>
      </c>
      <c r="P91" s="4">
        <v>0</v>
      </c>
      <c r="Q91" s="5">
        <v>0</v>
      </c>
      <c r="R91" s="5">
        <v>0</v>
      </c>
      <c r="S91" s="5">
        <v>0</v>
      </c>
      <c r="T91" s="4">
        <f t="shared" ref="T91:T127" si="76">SUM(U91:X91)</f>
        <v>0</v>
      </c>
      <c r="U91" s="5">
        <v>0</v>
      </c>
      <c r="V91" s="5">
        <v>0</v>
      </c>
      <c r="W91" s="5">
        <v>0</v>
      </c>
      <c r="X91" s="5">
        <v>0</v>
      </c>
      <c r="Y91" s="4">
        <f t="shared" ref="Y91:Y125" si="77">SUM(Z91:AC91)</f>
        <v>0</v>
      </c>
      <c r="Z91" s="5">
        <v>0</v>
      </c>
      <c r="AA91" s="5">
        <v>0</v>
      </c>
      <c r="AB91" s="5">
        <v>0</v>
      </c>
      <c r="AC91" s="5">
        <v>0</v>
      </c>
      <c r="AD91" s="5">
        <f>SUM(E91,J91,O91,T91,Y91)</f>
        <v>25085.3</v>
      </c>
    </row>
    <row r="92" spans="1:30" s="8" customFormat="1" ht="25.9" customHeight="1">
      <c r="A92" s="145"/>
      <c r="B92" s="87" t="s">
        <v>139</v>
      </c>
      <c r="C92" s="164"/>
      <c r="D92" s="72">
        <v>2022</v>
      </c>
      <c r="E92" s="4">
        <f t="shared" si="73"/>
        <v>0</v>
      </c>
      <c r="F92" s="5">
        <v>0</v>
      </c>
      <c r="G92" s="4">
        <v>0</v>
      </c>
      <c r="H92" s="4">
        <v>0</v>
      </c>
      <c r="I92" s="4">
        <v>0</v>
      </c>
      <c r="J92" s="4">
        <f t="shared" si="74"/>
        <v>0</v>
      </c>
      <c r="K92" s="4">
        <v>0</v>
      </c>
      <c r="L92" s="4">
        <v>0</v>
      </c>
      <c r="M92" s="4">
        <v>0</v>
      </c>
      <c r="N92" s="4">
        <v>0</v>
      </c>
      <c r="O92" s="4">
        <f t="shared" si="75"/>
        <v>0</v>
      </c>
      <c r="P92" s="4"/>
      <c r="Q92" s="5">
        <v>0</v>
      </c>
      <c r="R92" s="5">
        <v>0</v>
      </c>
      <c r="S92" s="5">
        <v>0</v>
      </c>
      <c r="T92" s="4">
        <f t="shared" si="76"/>
        <v>0</v>
      </c>
      <c r="U92" s="5">
        <v>0</v>
      </c>
      <c r="V92" s="5">
        <v>0</v>
      </c>
      <c r="W92" s="5">
        <v>0</v>
      </c>
      <c r="X92" s="5">
        <v>0</v>
      </c>
      <c r="Y92" s="4">
        <f t="shared" si="77"/>
        <v>0</v>
      </c>
      <c r="Z92" s="5">
        <v>0</v>
      </c>
      <c r="AA92" s="5">
        <v>0</v>
      </c>
      <c r="AB92" s="5">
        <v>0</v>
      </c>
      <c r="AC92" s="5">
        <v>0</v>
      </c>
      <c r="AD92" s="5">
        <f t="shared" ref="AD92:AD125" si="78">SUM(E92,J92,O92,T92,Y92)</f>
        <v>0</v>
      </c>
    </row>
    <row r="93" spans="1:30" s="8" customFormat="1" ht="37.15" customHeight="1">
      <c r="A93" s="145"/>
      <c r="B93" s="172" t="s">
        <v>84</v>
      </c>
      <c r="C93" s="164"/>
      <c r="D93" s="72">
        <v>2019</v>
      </c>
      <c r="E93" s="4">
        <f t="shared" si="73"/>
        <v>342.8</v>
      </c>
      <c r="F93" s="5">
        <v>11.3</v>
      </c>
      <c r="G93" s="4">
        <v>331.5</v>
      </c>
      <c r="H93" s="4">
        <v>0</v>
      </c>
      <c r="I93" s="4">
        <v>0</v>
      </c>
      <c r="J93" s="4">
        <f t="shared" si="74"/>
        <v>0</v>
      </c>
      <c r="K93" s="5">
        <v>0</v>
      </c>
      <c r="L93" s="4">
        <v>0</v>
      </c>
      <c r="M93" s="4">
        <v>0</v>
      </c>
      <c r="N93" s="4">
        <v>0</v>
      </c>
      <c r="O93" s="4">
        <f t="shared" si="75"/>
        <v>0</v>
      </c>
      <c r="P93" s="4">
        <v>0</v>
      </c>
      <c r="Q93" s="5">
        <v>0</v>
      </c>
      <c r="R93" s="5">
        <v>0</v>
      </c>
      <c r="S93" s="5">
        <v>0</v>
      </c>
      <c r="T93" s="118">
        <f t="shared" si="76"/>
        <v>382</v>
      </c>
      <c r="U93" s="118">
        <v>382</v>
      </c>
      <c r="V93" s="5">
        <v>0</v>
      </c>
      <c r="W93" s="5">
        <v>0</v>
      </c>
      <c r="X93" s="5">
        <v>0</v>
      </c>
      <c r="Y93" s="4">
        <f t="shared" si="77"/>
        <v>0</v>
      </c>
      <c r="Z93" s="5">
        <v>0</v>
      </c>
      <c r="AA93" s="5">
        <v>0</v>
      </c>
      <c r="AB93" s="5">
        <v>0</v>
      </c>
      <c r="AC93" s="5">
        <v>0</v>
      </c>
      <c r="AD93" s="5">
        <f t="shared" si="78"/>
        <v>724.8</v>
      </c>
    </row>
    <row r="94" spans="1:30" s="8" customFormat="1" ht="64.900000000000006" customHeight="1">
      <c r="A94" s="145"/>
      <c r="B94" s="173"/>
      <c r="C94" s="164"/>
      <c r="D94" s="72" t="s">
        <v>161</v>
      </c>
      <c r="E94" s="4">
        <f t="shared" si="73"/>
        <v>1642.3</v>
      </c>
      <c r="F94" s="5">
        <v>0</v>
      </c>
      <c r="G94" s="4">
        <v>1642.3</v>
      </c>
      <c r="H94" s="4">
        <v>0</v>
      </c>
      <c r="I94" s="4">
        <v>0</v>
      </c>
      <c r="J94" s="4">
        <v>0</v>
      </c>
      <c r="K94" s="5">
        <v>0</v>
      </c>
      <c r="L94" s="4">
        <v>0</v>
      </c>
      <c r="M94" s="4">
        <v>0</v>
      </c>
      <c r="N94" s="4">
        <v>0</v>
      </c>
      <c r="O94" s="4">
        <v>0</v>
      </c>
      <c r="P94" s="4">
        <v>0</v>
      </c>
      <c r="Q94" s="5">
        <v>0</v>
      </c>
      <c r="R94" s="5">
        <v>0</v>
      </c>
      <c r="S94" s="5">
        <v>0</v>
      </c>
      <c r="T94" s="4">
        <v>0</v>
      </c>
      <c r="U94" s="4">
        <v>0</v>
      </c>
      <c r="V94" s="5">
        <v>0</v>
      </c>
      <c r="W94" s="5">
        <v>0</v>
      </c>
      <c r="X94" s="5">
        <v>0</v>
      </c>
      <c r="Y94" s="4">
        <v>0</v>
      </c>
      <c r="Z94" s="5">
        <v>0</v>
      </c>
      <c r="AA94" s="5">
        <v>0</v>
      </c>
      <c r="AB94" s="5">
        <v>0</v>
      </c>
      <c r="AC94" s="5">
        <v>0</v>
      </c>
      <c r="AD94" s="5">
        <f t="shared" si="78"/>
        <v>1642.3</v>
      </c>
    </row>
    <row r="95" spans="1:30" s="8" customFormat="1" ht="33.6" customHeight="1">
      <c r="A95" s="145"/>
      <c r="B95" s="87" t="s">
        <v>105</v>
      </c>
      <c r="C95" s="164"/>
      <c r="D95" s="72">
        <v>2020</v>
      </c>
      <c r="E95" s="4">
        <f t="shared" si="73"/>
        <v>0</v>
      </c>
      <c r="F95" s="16">
        <v>0</v>
      </c>
      <c r="G95" s="4">
        <v>0</v>
      </c>
      <c r="H95" s="4">
        <v>0</v>
      </c>
      <c r="I95" s="4">
        <v>0</v>
      </c>
      <c r="J95" s="29">
        <f t="shared" si="74"/>
        <v>1568</v>
      </c>
      <c r="K95" s="30">
        <f>2152-584</f>
        <v>1568</v>
      </c>
      <c r="L95" s="4">
        <v>0</v>
      </c>
      <c r="M95" s="4">
        <v>0</v>
      </c>
      <c r="N95" s="4">
        <v>0</v>
      </c>
      <c r="O95" s="4">
        <f t="shared" si="75"/>
        <v>0</v>
      </c>
      <c r="P95" s="4">
        <v>0</v>
      </c>
      <c r="Q95" s="5">
        <v>0</v>
      </c>
      <c r="R95" s="5">
        <v>0</v>
      </c>
      <c r="S95" s="5">
        <v>0</v>
      </c>
      <c r="T95" s="118">
        <f t="shared" si="76"/>
        <v>255</v>
      </c>
      <c r="U95" s="137">
        <v>255</v>
      </c>
      <c r="V95" s="5">
        <v>0</v>
      </c>
      <c r="W95" s="5">
        <v>0</v>
      </c>
      <c r="X95" s="5">
        <v>0</v>
      </c>
      <c r="Y95" s="4">
        <f t="shared" si="77"/>
        <v>0</v>
      </c>
      <c r="Z95" s="5">
        <v>0</v>
      </c>
      <c r="AA95" s="5">
        <v>0</v>
      </c>
      <c r="AB95" s="5">
        <v>0</v>
      </c>
      <c r="AC95" s="5">
        <v>0</v>
      </c>
      <c r="AD95" s="5">
        <f t="shared" si="78"/>
        <v>1823</v>
      </c>
    </row>
    <row r="96" spans="1:30" s="8" customFormat="1" ht="22.9" customHeight="1">
      <c r="A96" s="146"/>
      <c r="B96" s="53" t="s">
        <v>119</v>
      </c>
      <c r="C96" s="165"/>
      <c r="D96" s="72">
        <v>2023</v>
      </c>
      <c r="E96" s="4">
        <f t="shared" si="73"/>
        <v>0</v>
      </c>
      <c r="F96" s="5">
        <v>0</v>
      </c>
      <c r="G96" s="4">
        <v>0</v>
      </c>
      <c r="H96" s="4">
        <v>0</v>
      </c>
      <c r="I96" s="4">
        <v>0</v>
      </c>
      <c r="J96" s="4">
        <f t="shared" si="74"/>
        <v>0</v>
      </c>
      <c r="K96" s="4">
        <v>0</v>
      </c>
      <c r="L96" s="4">
        <v>0</v>
      </c>
      <c r="M96" s="4">
        <v>0</v>
      </c>
      <c r="N96" s="4">
        <v>0</v>
      </c>
      <c r="O96" s="4">
        <f t="shared" si="75"/>
        <v>0</v>
      </c>
      <c r="P96" s="4">
        <v>0</v>
      </c>
      <c r="Q96" s="4">
        <v>0</v>
      </c>
      <c r="R96" s="4">
        <v>0</v>
      </c>
      <c r="S96" s="4">
        <v>0</v>
      </c>
      <c r="T96" s="118">
        <f t="shared" si="76"/>
        <v>2184</v>
      </c>
      <c r="U96" s="118">
        <v>2184</v>
      </c>
      <c r="V96" s="4">
        <v>0</v>
      </c>
      <c r="W96" s="4">
        <v>0</v>
      </c>
      <c r="X96" s="4">
        <v>0</v>
      </c>
      <c r="Y96" s="4">
        <f t="shared" si="77"/>
        <v>0</v>
      </c>
      <c r="Z96" s="4">
        <v>0</v>
      </c>
      <c r="AA96" s="4">
        <v>0</v>
      </c>
      <c r="AB96" s="4">
        <v>0</v>
      </c>
      <c r="AC96" s="4">
        <v>0</v>
      </c>
      <c r="AD96" s="5">
        <f t="shared" si="78"/>
        <v>2184</v>
      </c>
    </row>
    <row r="97" spans="1:30" s="8" customFormat="1" ht="80.45" customHeight="1">
      <c r="A97" s="144" t="s">
        <v>14</v>
      </c>
      <c r="B97" s="138" t="s">
        <v>288</v>
      </c>
      <c r="C97" s="158" t="s">
        <v>120</v>
      </c>
      <c r="D97" s="54"/>
      <c r="E97" s="4"/>
      <c r="F97" s="5"/>
      <c r="G97" s="4"/>
      <c r="H97" s="4"/>
      <c r="I97" s="5"/>
      <c r="J97" s="4"/>
      <c r="K97" s="5"/>
      <c r="L97" s="5"/>
      <c r="M97" s="5"/>
      <c r="N97" s="5"/>
      <c r="O97" s="4"/>
      <c r="P97" s="4"/>
      <c r="Q97" s="4"/>
      <c r="R97" s="4"/>
      <c r="S97" s="4"/>
      <c r="T97" s="4"/>
      <c r="U97" s="4"/>
      <c r="V97" s="4"/>
      <c r="W97" s="4"/>
      <c r="X97" s="5"/>
      <c r="Y97" s="4"/>
      <c r="Z97" s="5"/>
      <c r="AA97" s="5"/>
      <c r="AB97" s="5"/>
      <c r="AC97" s="5"/>
      <c r="AD97" s="5">
        <f t="shared" si="78"/>
        <v>0</v>
      </c>
    </row>
    <row r="98" spans="1:30" s="8" customFormat="1" ht="23.45" customHeight="1">
      <c r="A98" s="145"/>
      <c r="B98" s="87" t="s">
        <v>88</v>
      </c>
      <c r="C98" s="164"/>
      <c r="D98" s="162">
        <v>2019</v>
      </c>
      <c r="E98" s="4">
        <f>SUM(F98:I98)</f>
        <v>15879.1</v>
      </c>
      <c r="F98" s="5">
        <v>794</v>
      </c>
      <c r="G98" s="4">
        <v>15085.1</v>
      </c>
      <c r="H98" s="4">
        <v>0</v>
      </c>
      <c r="I98" s="4">
        <v>0</v>
      </c>
      <c r="J98" s="4">
        <f t="shared" si="74"/>
        <v>0</v>
      </c>
      <c r="K98" s="5">
        <v>0</v>
      </c>
      <c r="L98" s="5">
        <v>0</v>
      </c>
      <c r="M98" s="5">
        <v>0</v>
      </c>
      <c r="N98" s="5">
        <v>0</v>
      </c>
      <c r="O98" s="4">
        <f t="shared" si="75"/>
        <v>0</v>
      </c>
      <c r="P98" s="4">
        <v>0</v>
      </c>
      <c r="Q98" s="4">
        <v>0</v>
      </c>
      <c r="R98" s="4">
        <v>0</v>
      </c>
      <c r="S98" s="4">
        <v>0</v>
      </c>
      <c r="T98" s="118">
        <f t="shared" si="76"/>
        <v>450</v>
      </c>
      <c r="U98" s="118">
        <v>450</v>
      </c>
      <c r="V98" s="4">
        <v>0</v>
      </c>
      <c r="W98" s="4">
        <v>0</v>
      </c>
      <c r="X98" s="4">
        <v>0</v>
      </c>
      <c r="Y98" s="4">
        <f t="shared" si="77"/>
        <v>0</v>
      </c>
      <c r="Z98" s="4">
        <v>0</v>
      </c>
      <c r="AA98" s="4">
        <v>0</v>
      </c>
      <c r="AB98" s="4">
        <v>0</v>
      </c>
      <c r="AC98" s="4">
        <v>0</v>
      </c>
      <c r="AD98" s="5">
        <f t="shared" si="78"/>
        <v>16329.1</v>
      </c>
    </row>
    <row r="99" spans="1:30" s="8" customFormat="1" ht="34.5" customHeight="1">
      <c r="A99" s="145"/>
      <c r="B99" s="87" t="s">
        <v>89</v>
      </c>
      <c r="C99" s="164"/>
      <c r="D99" s="162"/>
      <c r="E99" s="4">
        <f>SUM(F99:I99)</f>
        <v>0</v>
      </c>
      <c r="F99" s="5">
        <v>0</v>
      </c>
      <c r="G99" s="4">
        <v>0</v>
      </c>
      <c r="H99" s="4">
        <v>0</v>
      </c>
      <c r="I99" s="4">
        <v>0</v>
      </c>
      <c r="J99" s="4">
        <f t="shared" si="74"/>
        <v>0</v>
      </c>
      <c r="K99" s="4">
        <v>0</v>
      </c>
      <c r="L99" s="4">
        <v>0</v>
      </c>
      <c r="M99" s="4">
        <v>0</v>
      </c>
      <c r="N99" s="4">
        <v>0</v>
      </c>
      <c r="O99" s="4">
        <f t="shared" si="75"/>
        <v>0</v>
      </c>
      <c r="P99" s="4">
        <v>0</v>
      </c>
      <c r="Q99" s="4">
        <v>0</v>
      </c>
      <c r="R99" s="4">
        <v>0</v>
      </c>
      <c r="S99" s="4">
        <v>0</v>
      </c>
      <c r="T99" s="4">
        <f t="shared" si="76"/>
        <v>0</v>
      </c>
      <c r="U99" s="4">
        <v>0</v>
      </c>
      <c r="V99" s="5">
        <v>0</v>
      </c>
      <c r="W99" s="4">
        <v>0</v>
      </c>
      <c r="X99" s="4">
        <v>0</v>
      </c>
      <c r="Y99" s="4">
        <f t="shared" si="77"/>
        <v>0</v>
      </c>
      <c r="Z99" s="4">
        <v>0</v>
      </c>
      <c r="AA99" s="4">
        <v>0</v>
      </c>
      <c r="AB99" s="4">
        <v>0</v>
      </c>
      <c r="AC99" s="4">
        <v>0</v>
      </c>
      <c r="AD99" s="5">
        <f t="shared" si="78"/>
        <v>0</v>
      </c>
    </row>
    <row r="100" spans="1:30" s="8" customFormat="1" ht="28.15" customHeight="1">
      <c r="A100" s="146"/>
      <c r="B100" s="87" t="s">
        <v>106</v>
      </c>
      <c r="C100" s="165"/>
      <c r="D100" s="163"/>
      <c r="E100" s="4">
        <f>SUM(F100:I100)</f>
        <v>0</v>
      </c>
      <c r="F100" s="5">
        <v>0</v>
      </c>
      <c r="G100" s="4">
        <v>0</v>
      </c>
      <c r="H100" s="4">
        <v>0</v>
      </c>
      <c r="I100" s="4">
        <v>0</v>
      </c>
      <c r="J100" s="4">
        <f t="shared" si="74"/>
        <v>0</v>
      </c>
      <c r="K100" s="4">
        <v>0</v>
      </c>
      <c r="L100" s="4">
        <v>0</v>
      </c>
      <c r="M100" s="4">
        <v>0</v>
      </c>
      <c r="N100" s="4">
        <v>0</v>
      </c>
      <c r="O100" s="4">
        <f t="shared" si="75"/>
        <v>0</v>
      </c>
      <c r="P100" s="4">
        <v>0</v>
      </c>
      <c r="Q100" s="4">
        <v>0</v>
      </c>
      <c r="R100" s="4">
        <v>0</v>
      </c>
      <c r="S100" s="4">
        <v>0</v>
      </c>
      <c r="T100" s="4">
        <f t="shared" si="76"/>
        <v>0</v>
      </c>
      <c r="U100" s="5">
        <v>0</v>
      </c>
      <c r="V100" s="4">
        <v>0</v>
      </c>
      <c r="W100" s="4">
        <v>0</v>
      </c>
      <c r="X100" s="4">
        <v>0</v>
      </c>
      <c r="Y100" s="4">
        <f t="shared" si="77"/>
        <v>0</v>
      </c>
      <c r="Z100" s="4">
        <v>0</v>
      </c>
      <c r="AA100" s="4">
        <v>0</v>
      </c>
      <c r="AB100" s="4">
        <v>0</v>
      </c>
      <c r="AC100" s="4">
        <v>0</v>
      </c>
      <c r="AD100" s="5">
        <f t="shared" si="78"/>
        <v>0</v>
      </c>
    </row>
    <row r="101" spans="1:30" s="8" customFormat="1" ht="98.25" customHeight="1">
      <c r="A101" s="86" t="s">
        <v>15</v>
      </c>
      <c r="B101" s="115" t="s">
        <v>154</v>
      </c>
      <c r="C101" s="85" t="s">
        <v>155</v>
      </c>
      <c r="D101" s="71">
        <v>2019</v>
      </c>
      <c r="E101" s="4">
        <f>SUM(F101:I101)</f>
        <v>58567.900000000009</v>
      </c>
      <c r="F101" s="4">
        <v>2928.8</v>
      </c>
      <c r="G101" s="4">
        <f>56973.48-1334.38</f>
        <v>55639.100000000006</v>
      </c>
      <c r="H101" s="4">
        <v>0</v>
      </c>
      <c r="I101" s="4">
        <v>0</v>
      </c>
      <c r="J101" s="4">
        <v>0</v>
      </c>
      <c r="K101" s="4">
        <v>0</v>
      </c>
      <c r="L101" s="4">
        <v>0</v>
      </c>
      <c r="M101" s="4">
        <v>0</v>
      </c>
      <c r="N101" s="4">
        <v>0</v>
      </c>
      <c r="O101" s="4">
        <v>0</v>
      </c>
      <c r="P101" s="4">
        <v>0</v>
      </c>
      <c r="Q101" s="4">
        <v>0</v>
      </c>
      <c r="R101" s="4">
        <v>0</v>
      </c>
      <c r="S101" s="4">
        <v>0</v>
      </c>
      <c r="T101" s="118">
        <f t="shared" si="76"/>
        <v>929</v>
      </c>
      <c r="U101" s="118">
        <v>929</v>
      </c>
      <c r="V101" s="4">
        <v>0</v>
      </c>
      <c r="W101" s="4">
        <v>0</v>
      </c>
      <c r="X101" s="4">
        <v>0</v>
      </c>
      <c r="Y101" s="4">
        <f t="shared" si="77"/>
        <v>0</v>
      </c>
      <c r="Z101" s="4">
        <v>0</v>
      </c>
      <c r="AA101" s="4">
        <v>0</v>
      </c>
      <c r="AB101" s="4">
        <v>0</v>
      </c>
      <c r="AC101" s="4">
        <v>0</v>
      </c>
      <c r="AD101" s="5">
        <f t="shared" si="78"/>
        <v>59496.900000000009</v>
      </c>
    </row>
    <row r="102" spans="1:30" s="8" customFormat="1" ht="112.9" customHeight="1">
      <c r="A102" s="181" t="s">
        <v>69</v>
      </c>
      <c r="B102" s="87" t="s">
        <v>175</v>
      </c>
      <c r="C102" s="158" t="s">
        <v>108</v>
      </c>
      <c r="D102" s="161" t="s">
        <v>273</v>
      </c>
      <c r="E102" s="4"/>
      <c r="F102" s="4"/>
      <c r="G102" s="4"/>
      <c r="H102" s="4"/>
      <c r="I102" s="4"/>
      <c r="J102" s="4"/>
      <c r="K102" s="5"/>
      <c r="L102" s="5"/>
      <c r="M102" s="5"/>
      <c r="N102" s="5"/>
      <c r="O102" s="4"/>
      <c r="P102" s="4"/>
      <c r="Q102" s="5"/>
      <c r="R102" s="4"/>
      <c r="S102" s="4"/>
      <c r="T102" s="4"/>
      <c r="U102" s="4"/>
      <c r="V102" s="4"/>
      <c r="W102" s="4"/>
      <c r="X102" s="5"/>
      <c r="Y102" s="4"/>
      <c r="Z102" s="5"/>
      <c r="AA102" s="5"/>
      <c r="AB102" s="5"/>
      <c r="AC102" s="5"/>
      <c r="AD102" s="5">
        <f t="shared" si="78"/>
        <v>0</v>
      </c>
    </row>
    <row r="103" spans="1:30" s="8" customFormat="1" ht="25.15" customHeight="1">
      <c r="A103" s="182"/>
      <c r="B103" s="87" t="s">
        <v>90</v>
      </c>
      <c r="C103" s="164"/>
      <c r="D103" s="162"/>
      <c r="E103" s="4">
        <f t="shared" ref="E103:E119" si="79">SUM(F103:I103)</f>
        <v>0</v>
      </c>
      <c r="F103" s="4">
        <v>0</v>
      </c>
      <c r="G103" s="4">
        <v>0</v>
      </c>
      <c r="H103" s="4">
        <v>0</v>
      </c>
      <c r="I103" s="4">
        <v>0</v>
      </c>
      <c r="J103" s="29">
        <f t="shared" si="74"/>
        <v>1461</v>
      </c>
      <c r="K103" s="30">
        <f>158+1685-382</f>
        <v>1461</v>
      </c>
      <c r="L103" s="5">
        <v>0</v>
      </c>
      <c r="M103" s="5">
        <v>0</v>
      </c>
      <c r="N103" s="5">
        <v>0</v>
      </c>
      <c r="O103" s="4">
        <f t="shared" si="75"/>
        <v>0</v>
      </c>
      <c r="P103" s="28">
        <v>0</v>
      </c>
      <c r="Q103" s="28">
        <v>0</v>
      </c>
      <c r="R103" s="28">
        <v>0</v>
      </c>
      <c r="S103" s="28">
        <v>0</v>
      </c>
      <c r="T103" s="4">
        <f t="shared" si="76"/>
        <v>0</v>
      </c>
      <c r="U103" s="28">
        <v>0</v>
      </c>
      <c r="V103" s="28">
        <v>0</v>
      </c>
      <c r="W103" s="28">
        <v>0</v>
      </c>
      <c r="X103" s="28">
        <v>0</v>
      </c>
      <c r="Y103" s="4">
        <f t="shared" si="77"/>
        <v>0</v>
      </c>
      <c r="Z103" s="28">
        <v>0</v>
      </c>
      <c r="AA103" s="28">
        <v>0</v>
      </c>
      <c r="AB103" s="28">
        <v>0</v>
      </c>
      <c r="AC103" s="28">
        <v>0</v>
      </c>
      <c r="AD103" s="5">
        <f t="shared" si="78"/>
        <v>1461</v>
      </c>
    </row>
    <row r="104" spans="1:30" s="8" customFormat="1" ht="21.6" customHeight="1">
      <c r="A104" s="182"/>
      <c r="B104" s="87" t="s">
        <v>121</v>
      </c>
      <c r="C104" s="164"/>
      <c r="D104" s="162"/>
      <c r="E104" s="4">
        <f t="shared" si="79"/>
        <v>0</v>
      </c>
      <c r="F104" s="4">
        <v>0</v>
      </c>
      <c r="G104" s="4">
        <v>0</v>
      </c>
      <c r="H104" s="4">
        <v>0</v>
      </c>
      <c r="I104" s="4">
        <v>0</v>
      </c>
      <c r="J104" s="29">
        <f t="shared" si="74"/>
        <v>597</v>
      </c>
      <c r="K104" s="30">
        <f>920-323</f>
        <v>597</v>
      </c>
      <c r="L104" s="5">
        <v>0</v>
      </c>
      <c r="M104" s="5">
        <v>0</v>
      </c>
      <c r="N104" s="5">
        <v>0</v>
      </c>
      <c r="O104" s="4">
        <f t="shared" si="75"/>
        <v>0</v>
      </c>
      <c r="P104" s="28">
        <v>0</v>
      </c>
      <c r="Q104" s="28">
        <v>0</v>
      </c>
      <c r="R104" s="28">
        <v>0</v>
      </c>
      <c r="S104" s="28">
        <v>0</v>
      </c>
      <c r="T104" s="118">
        <f t="shared" si="76"/>
        <v>437</v>
      </c>
      <c r="U104" s="136">
        <v>437</v>
      </c>
      <c r="V104" s="28">
        <v>0</v>
      </c>
      <c r="W104" s="28">
        <v>0</v>
      </c>
      <c r="X104" s="28">
        <v>0</v>
      </c>
      <c r="Y104" s="118">
        <f t="shared" si="77"/>
        <v>3589</v>
      </c>
      <c r="Z104" s="136">
        <f>369+3220</f>
        <v>3589</v>
      </c>
      <c r="AA104" s="28">
        <v>0</v>
      </c>
      <c r="AB104" s="28">
        <v>0</v>
      </c>
      <c r="AC104" s="28">
        <v>0</v>
      </c>
      <c r="AD104" s="137">
        <f t="shared" si="78"/>
        <v>4623</v>
      </c>
    </row>
    <row r="105" spans="1:30" s="8" customFormat="1" ht="22.9" customHeight="1">
      <c r="A105" s="182"/>
      <c r="B105" s="87" t="s">
        <v>91</v>
      </c>
      <c r="C105" s="164"/>
      <c r="D105" s="162"/>
      <c r="E105" s="4">
        <f t="shared" si="79"/>
        <v>0</v>
      </c>
      <c r="F105" s="5">
        <v>0</v>
      </c>
      <c r="G105" s="4">
        <v>0</v>
      </c>
      <c r="H105" s="4">
        <v>0</v>
      </c>
      <c r="I105" s="4">
        <v>0</v>
      </c>
      <c r="J105" s="4">
        <f t="shared" si="74"/>
        <v>0</v>
      </c>
      <c r="K105" s="5">
        <v>0</v>
      </c>
      <c r="L105" s="5">
        <v>0</v>
      </c>
      <c r="M105" s="5">
        <v>0</v>
      </c>
      <c r="N105" s="5">
        <v>0</v>
      </c>
      <c r="O105" s="4">
        <f t="shared" si="75"/>
        <v>0</v>
      </c>
      <c r="P105" s="28">
        <v>0</v>
      </c>
      <c r="Q105" s="28">
        <v>0</v>
      </c>
      <c r="R105" s="28">
        <v>0</v>
      </c>
      <c r="S105" s="28">
        <v>0</v>
      </c>
      <c r="T105" s="4">
        <f t="shared" si="76"/>
        <v>0</v>
      </c>
      <c r="U105" s="28">
        <v>0</v>
      </c>
      <c r="V105" s="28">
        <v>0</v>
      </c>
      <c r="W105" s="28">
        <v>0</v>
      </c>
      <c r="X105" s="28">
        <v>0</v>
      </c>
      <c r="Y105" s="4">
        <f t="shared" si="77"/>
        <v>0</v>
      </c>
      <c r="Z105" s="28">
        <v>0</v>
      </c>
      <c r="AA105" s="28">
        <v>0</v>
      </c>
      <c r="AB105" s="28">
        <v>0</v>
      </c>
      <c r="AC105" s="28">
        <v>0</v>
      </c>
      <c r="AD105" s="5">
        <f t="shared" si="78"/>
        <v>0</v>
      </c>
    </row>
    <row r="106" spans="1:30" s="8" customFormat="1" ht="20.45" customHeight="1">
      <c r="A106" s="182"/>
      <c r="B106" s="87" t="s">
        <v>92</v>
      </c>
      <c r="C106" s="164"/>
      <c r="D106" s="162"/>
      <c r="E106" s="4">
        <f t="shared" si="79"/>
        <v>532.70000000000005</v>
      </c>
      <c r="F106" s="5">
        <v>532.70000000000005</v>
      </c>
      <c r="G106" s="4">
        <v>0</v>
      </c>
      <c r="H106" s="4">
        <v>0</v>
      </c>
      <c r="I106" s="4">
        <v>0</v>
      </c>
      <c r="J106" s="4">
        <f t="shared" si="74"/>
        <v>0</v>
      </c>
      <c r="K106" s="5">
        <v>0</v>
      </c>
      <c r="L106" s="5">
        <v>0</v>
      </c>
      <c r="M106" s="5">
        <v>0</v>
      </c>
      <c r="N106" s="5">
        <v>0</v>
      </c>
      <c r="O106" s="4">
        <f t="shared" si="75"/>
        <v>0</v>
      </c>
      <c r="P106" s="28">
        <v>0</v>
      </c>
      <c r="Q106" s="28">
        <v>0</v>
      </c>
      <c r="R106" s="28">
        <v>0</v>
      </c>
      <c r="S106" s="28">
        <v>0</v>
      </c>
      <c r="T106" s="4">
        <f t="shared" si="76"/>
        <v>0</v>
      </c>
      <c r="U106" s="28">
        <v>0</v>
      </c>
      <c r="V106" s="28">
        <v>0</v>
      </c>
      <c r="W106" s="28">
        <v>0</v>
      </c>
      <c r="X106" s="28">
        <v>0</v>
      </c>
      <c r="Y106" s="4">
        <f t="shared" si="77"/>
        <v>0</v>
      </c>
      <c r="Z106" s="28">
        <v>0</v>
      </c>
      <c r="AA106" s="28">
        <v>0</v>
      </c>
      <c r="AB106" s="28">
        <v>0</v>
      </c>
      <c r="AC106" s="28">
        <v>0</v>
      </c>
      <c r="AD106" s="5">
        <f t="shared" si="78"/>
        <v>532.70000000000005</v>
      </c>
    </row>
    <row r="107" spans="1:30" s="8" customFormat="1" ht="22.9" customHeight="1">
      <c r="A107" s="182"/>
      <c r="B107" s="87" t="s">
        <v>122</v>
      </c>
      <c r="C107" s="164"/>
      <c r="D107" s="162"/>
      <c r="E107" s="4">
        <f t="shared" si="79"/>
        <v>0</v>
      </c>
      <c r="F107" s="4">
        <v>0</v>
      </c>
      <c r="G107" s="4">
        <v>0</v>
      </c>
      <c r="H107" s="4">
        <v>0</v>
      </c>
      <c r="I107" s="4">
        <v>0</v>
      </c>
      <c r="J107" s="4">
        <f t="shared" si="74"/>
        <v>0</v>
      </c>
      <c r="K107" s="5">
        <v>0</v>
      </c>
      <c r="L107" s="5">
        <v>0</v>
      </c>
      <c r="M107" s="5">
        <v>0</v>
      </c>
      <c r="N107" s="5">
        <v>0</v>
      </c>
      <c r="O107" s="4">
        <f t="shared" si="75"/>
        <v>0</v>
      </c>
      <c r="P107" s="28">
        <v>0</v>
      </c>
      <c r="Q107" s="28">
        <v>0</v>
      </c>
      <c r="R107" s="28">
        <v>0</v>
      </c>
      <c r="S107" s="28">
        <v>0</v>
      </c>
      <c r="T107" s="4">
        <f t="shared" si="76"/>
        <v>0</v>
      </c>
      <c r="U107" s="28">
        <v>0</v>
      </c>
      <c r="V107" s="28">
        <v>0</v>
      </c>
      <c r="W107" s="28">
        <v>0</v>
      </c>
      <c r="X107" s="28">
        <v>0</v>
      </c>
      <c r="Y107" s="4">
        <f t="shared" si="77"/>
        <v>0</v>
      </c>
      <c r="Z107" s="28">
        <v>0</v>
      </c>
      <c r="AA107" s="28">
        <v>0</v>
      </c>
      <c r="AB107" s="28">
        <v>0</v>
      </c>
      <c r="AC107" s="28">
        <v>0</v>
      </c>
      <c r="AD107" s="5">
        <f t="shared" si="78"/>
        <v>0</v>
      </c>
    </row>
    <row r="108" spans="1:30" s="8" customFormat="1" ht="24" customHeight="1">
      <c r="A108" s="182"/>
      <c r="B108" s="87" t="s">
        <v>123</v>
      </c>
      <c r="C108" s="164"/>
      <c r="D108" s="162"/>
      <c r="E108" s="4">
        <f t="shared" si="79"/>
        <v>0</v>
      </c>
      <c r="F108" s="4">
        <v>0</v>
      </c>
      <c r="G108" s="4">
        <v>0</v>
      </c>
      <c r="H108" s="4">
        <v>0</v>
      </c>
      <c r="I108" s="4">
        <v>0</v>
      </c>
      <c r="J108" s="4">
        <f t="shared" si="74"/>
        <v>0</v>
      </c>
      <c r="K108" s="5">
        <v>0</v>
      </c>
      <c r="L108" s="5">
        <v>0</v>
      </c>
      <c r="M108" s="5">
        <v>0</v>
      </c>
      <c r="N108" s="5">
        <v>0</v>
      </c>
      <c r="O108" s="29">
        <f t="shared" si="75"/>
        <v>378.69</v>
      </c>
      <c r="P108" s="88">
        <f>50.12+328.57</f>
        <v>378.69</v>
      </c>
      <c r="Q108" s="28">
        <v>0</v>
      </c>
      <c r="R108" s="28">
        <v>0</v>
      </c>
      <c r="S108" s="28">
        <v>0</v>
      </c>
      <c r="T108" s="118">
        <f t="shared" si="76"/>
        <v>500</v>
      </c>
      <c r="U108" s="136">
        <v>500</v>
      </c>
      <c r="V108" s="28">
        <v>0</v>
      </c>
      <c r="W108" s="28">
        <v>0</v>
      </c>
      <c r="X108" s="28">
        <v>0</v>
      </c>
      <c r="Y108" s="4">
        <f t="shared" si="77"/>
        <v>0</v>
      </c>
      <c r="Z108" s="28">
        <v>0</v>
      </c>
      <c r="AA108" s="28">
        <v>0</v>
      </c>
      <c r="AB108" s="28">
        <v>0</v>
      </c>
      <c r="AC108" s="28">
        <v>0</v>
      </c>
      <c r="AD108" s="30">
        <f t="shared" si="78"/>
        <v>878.69</v>
      </c>
    </row>
    <row r="109" spans="1:30" s="8" customFormat="1" ht="17.45" customHeight="1">
      <c r="A109" s="182"/>
      <c r="B109" s="87" t="s">
        <v>124</v>
      </c>
      <c r="C109" s="164"/>
      <c r="D109" s="162"/>
      <c r="E109" s="4">
        <f t="shared" si="79"/>
        <v>1256.5</v>
      </c>
      <c r="F109" s="4">
        <v>1256.5</v>
      </c>
      <c r="G109" s="4">
        <v>0</v>
      </c>
      <c r="H109" s="4">
        <v>0</v>
      </c>
      <c r="I109" s="4">
        <v>0</v>
      </c>
      <c r="J109" s="29">
        <f t="shared" si="74"/>
        <v>393</v>
      </c>
      <c r="K109" s="30">
        <f>874-481</f>
        <v>393</v>
      </c>
      <c r="L109" s="5">
        <v>0</v>
      </c>
      <c r="M109" s="5">
        <v>0</v>
      </c>
      <c r="N109" s="5">
        <v>0</v>
      </c>
      <c r="O109" s="4">
        <f t="shared" si="75"/>
        <v>0</v>
      </c>
      <c r="P109" s="4">
        <v>0</v>
      </c>
      <c r="Q109" s="28">
        <v>0</v>
      </c>
      <c r="R109" s="28">
        <v>0</v>
      </c>
      <c r="S109" s="28">
        <v>0</v>
      </c>
      <c r="T109" s="4">
        <f t="shared" si="76"/>
        <v>0</v>
      </c>
      <c r="U109" s="4">
        <v>0</v>
      </c>
      <c r="V109" s="28">
        <v>0</v>
      </c>
      <c r="W109" s="28">
        <v>0</v>
      </c>
      <c r="X109" s="28">
        <v>0</v>
      </c>
      <c r="Y109" s="4">
        <f t="shared" si="77"/>
        <v>0</v>
      </c>
      <c r="Z109" s="5">
        <v>0</v>
      </c>
      <c r="AA109" s="28">
        <v>0</v>
      </c>
      <c r="AB109" s="28">
        <v>0</v>
      </c>
      <c r="AC109" s="28">
        <v>0</v>
      </c>
      <c r="AD109" s="5">
        <f t="shared" si="78"/>
        <v>1649.5</v>
      </c>
    </row>
    <row r="110" spans="1:30" s="8" customFormat="1" ht="26.45" customHeight="1">
      <c r="A110" s="182"/>
      <c r="B110" s="87" t="s">
        <v>93</v>
      </c>
      <c r="C110" s="164"/>
      <c r="D110" s="162"/>
      <c r="E110" s="4">
        <f t="shared" si="79"/>
        <v>0</v>
      </c>
      <c r="F110" s="5">
        <v>0</v>
      </c>
      <c r="G110" s="4">
        <v>0</v>
      </c>
      <c r="H110" s="4">
        <v>0</v>
      </c>
      <c r="I110" s="4">
        <v>0</v>
      </c>
      <c r="J110" s="4">
        <f t="shared" si="74"/>
        <v>0</v>
      </c>
      <c r="K110" s="5">
        <v>0</v>
      </c>
      <c r="L110" s="5">
        <v>0</v>
      </c>
      <c r="M110" s="5">
        <v>0</v>
      </c>
      <c r="N110" s="5">
        <v>0</v>
      </c>
      <c r="O110" s="4">
        <f t="shared" si="75"/>
        <v>1000.0000000000002</v>
      </c>
      <c r="P110" s="5">
        <f>1668-5.6-328.57-333.83</f>
        <v>1000.0000000000002</v>
      </c>
      <c r="Q110" s="5">
        <v>0</v>
      </c>
      <c r="R110" s="5">
        <v>0</v>
      </c>
      <c r="S110" s="5">
        <v>0</v>
      </c>
      <c r="T110" s="4">
        <f t="shared" si="76"/>
        <v>0</v>
      </c>
      <c r="U110" s="5">
        <v>0</v>
      </c>
      <c r="V110" s="5">
        <v>0</v>
      </c>
      <c r="W110" s="5">
        <v>0</v>
      </c>
      <c r="X110" s="5">
        <v>0</v>
      </c>
      <c r="Y110" s="4">
        <f t="shared" si="77"/>
        <v>0</v>
      </c>
      <c r="Z110" s="5">
        <v>0</v>
      </c>
      <c r="AA110" s="5">
        <v>0</v>
      </c>
      <c r="AB110" s="5">
        <v>0</v>
      </c>
      <c r="AC110" s="5">
        <v>0</v>
      </c>
      <c r="AD110" s="5">
        <f t="shared" si="78"/>
        <v>1000.0000000000002</v>
      </c>
    </row>
    <row r="111" spans="1:30" s="8" customFormat="1" ht="21.6" customHeight="1">
      <c r="A111" s="182"/>
      <c r="B111" s="87" t="s">
        <v>94</v>
      </c>
      <c r="C111" s="164"/>
      <c r="D111" s="162"/>
      <c r="E111" s="4">
        <f t="shared" si="79"/>
        <v>0</v>
      </c>
      <c r="F111" s="5">
        <v>0</v>
      </c>
      <c r="G111" s="4">
        <v>0</v>
      </c>
      <c r="H111" s="4">
        <v>0</v>
      </c>
      <c r="I111" s="4">
        <v>0</v>
      </c>
      <c r="J111" s="4">
        <f t="shared" si="74"/>
        <v>0</v>
      </c>
      <c r="K111" s="5">
        <v>0</v>
      </c>
      <c r="L111" s="5">
        <v>0</v>
      </c>
      <c r="M111" s="5">
        <v>0</v>
      </c>
      <c r="N111" s="5">
        <v>0</v>
      </c>
      <c r="O111" s="4">
        <f t="shared" si="75"/>
        <v>0</v>
      </c>
      <c r="P111" s="5">
        <v>0</v>
      </c>
      <c r="Q111" s="5">
        <v>0</v>
      </c>
      <c r="R111" s="5">
        <v>0</v>
      </c>
      <c r="S111" s="5">
        <v>0</v>
      </c>
      <c r="T111" s="4">
        <f t="shared" si="76"/>
        <v>0</v>
      </c>
      <c r="U111" s="5">
        <v>0</v>
      </c>
      <c r="V111" s="5">
        <v>0</v>
      </c>
      <c r="W111" s="5">
        <v>0</v>
      </c>
      <c r="X111" s="5">
        <v>0</v>
      </c>
      <c r="Y111" s="4">
        <f t="shared" si="77"/>
        <v>0</v>
      </c>
      <c r="Z111" s="5">
        <v>0</v>
      </c>
      <c r="AA111" s="5">
        <v>0</v>
      </c>
      <c r="AB111" s="5">
        <v>0</v>
      </c>
      <c r="AC111" s="5">
        <v>0</v>
      </c>
      <c r="AD111" s="5">
        <f t="shared" si="78"/>
        <v>0</v>
      </c>
    </row>
    <row r="112" spans="1:30" s="8" customFormat="1" ht="22.9" customHeight="1">
      <c r="A112" s="182"/>
      <c r="B112" s="87" t="s">
        <v>95</v>
      </c>
      <c r="C112" s="164"/>
      <c r="D112" s="162"/>
      <c r="E112" s="4">
        <f t="shared" si="79"/>
        <v>394</v>
      </c>
      <c r="F112" s="4">
        <v>394</v>
      </c>
      <c r="G112" s="4">
        <v>0</v>
      </c>
      <c r="H112" s="4">
        <v>0</v>
      </c>
      <c r="I112" s="4">
        <v>0</v>
      </c>
      <c r="J112" s="29">
        <f t="shared" si="74"/>
        <v>140</v>
      </c>
      <c r="K112" s="29">
        <v>140</v>
      </c>
      <c r="L112" s="5">
        <v>0</v>
      </c>
      <c r="M112" s="5">
        <v>0</v>
      </c>
      <c r="N112" s="5">
        <v>0</v>
      </c>
      <c r="O112" s="4">
        <f t="shared" si="75"/>
        <v>0</v>
      </c>
      <c r="P112" s="4">
        <v>0</v>
      </c>
      <c r="Q112" s="5">
        <v>0</v>
      </c>
      <c r="R112" s="5">
        <v>0</v>
      </c>
      <c r="S112" s="5">
        <v>0</v>
      </c>
      <c r="T112" s="4">
        <f t="shared" si="76"/>
        <v>0</v>
      </c>
      <c r="U112" s="33">
        <v>0</v>
      </c>
      <c r="V112" s="5">
        <v>0</v>
      </c>
      <c r="W112" s="5">
        <v>0</v>
      </c>
      <c r="X112" s="5">
        <v>0</v>
      </c>
      <c r="Y112" s="117">
        <f t="shared" si="77"/>
        <v>1953</v>
      </c>
      <c r="Z112" s="119">
        <f>1499-1045+1499</f>
        <v>1953</v>
      </c>
      <c r="AA112" s="5">
        <v>0</v>
      </c>
      <c r="AB112" s="5">
        <v>0</v>
      </c>
      <c r="AC112" s="5">
        <v>0</v>
      </c>
      <c r="AD112" s="137">
        <f t="shared" si="78"/>
        <v>2487</v>
      </c>
    </row>
    <row r="113" spans="1:30" s="8" customFormat="1" ht="22.9" customHeight="1">
      <c r="A113" s="182"/>
      <c r="B113" s="87" t="s">
        <v>96</v>
      </c>
      <c r="C113" s="164"/>
      <c r="D113" s="162"/>
      <c r="E113" s="4">
        <f t="shared" si="79"/>
        <v>0</v>
      </c>
      <c r="F113" s="5">
        <v>0</v>
      </c>
      <c r="G113" s="4">
        <v>0</v>
      </c>
      <c r="H113" s="4">
        <v>0</v>
      </c>
      <c r="I113" s="4">
        <v>0</v>
      </c>
      <c r="J113" s="4">
        <f t="shared" si="74"/>
        <v>0</v>
      </c>
      <c r="K113" s="5">
        <v>0</v>
      </c>
      <c r="L113" s="5">
        <v>0</v>
      </c>
      <c r="M113" s="5">
        <v>0</v>
      </c>
      <c r="N113" s="5">
        <v>0</v>
      </c>
      <c r="O113" s="4">
        <f t="shared" si="75"/>
        <v>0</v>
      </c>
      <c r="P113" s="4">
        <v>0</v>
      </c>
      <c r="Q113" s="5">
        <v>0</v>
      </c>
      <c r="R113" s="5">
        <v>0</v>
      </c>
      <c r="S113" s="5">
        <v>0</v>
      </c>
      <c r="T113" s="4">
        <f t="shared" si="76"/>
        <v>0</v>
      </c>
      <c r="U113" s="4">
        <v>0</v>
      </c>
      <c r="V113" s="5">
        <v>0</v>
      </c>
      <c r="W113" s="5">
        <v>0</v>
      </c>
      <c r="X113" s="5">
        <v>0</v>
      </c>
      <c r="Y113" s="4">
        <f t="shared" si="77"/>
        <v>0</v>
      </c>
      <c r="Z113" s="5">
        <v>0</v>
      </c>
      <c r="AA113" s="5">
        <v>0</v>
      </c>
      <c r="AB113" s="5">
        <v>0</v>
      </c>
      <c r="AC113" s="5">
        <v>0</v>
      </c>
      <c r="AD113" s="5">
        <f t="shared" si="78"/>
        <v>0</v>
      </c>
    </row>
    <row r="114" spans="1:30" s="8" customFormat="1" ht="21.6" customHeight="1">
      <c r="A114" s="182"/>
      <c r="B114" s="87" t="s">
        <v>97</v>
      </c>
      <c r="C114" s="164"/>
      <c r="D114" s="162"/>
      <c r="E114" s="4">
        <f t="shared" si="79"/>
        <v>0</v>
      </c>
      <c r="F114" s="5">
        <v>0</v>
      </c>
      <c r="G114" s="4">
        <v>0</v>
      </c>
      <c r="H114" s="4">
        <v>0</v>
      </c>
      <c r="I114" s="4">
        <v>0</v>
      </c>
      <c r="J114" s="4">
        <f t="shared" si="74"/>
        <v>0</v>
      </c>
      <c r="K114" s="5">
        <v>0</v>
      </c>
      <c r="L114" s="5">
        <v>0</v>
      </c>
      <c r="M114" s="5">
        <v>0</v>
      </c>
      <c r="N114" s="5">
        <v>0</v>
      </c>
      <c r="O114" s="4">
        <f t="shared" si="75"/>
        <v>0</v>
      </c>
      <c r="P114" s="4">
        <v>0</v>
      </c>
      <c r="Q114" s="5">
        <v>0</v>
      </c>
      <c r="R114" s="5">
        <v>0</v>
      </c>
      <c r="S114" s="5">
        <v>0</v>
      </c>
      <c r="T114" s="4">
        <f t="shared" si="76"/>
        <v>0</v>
      </c>
      <c r="U114" s="4">
        <v>0</v>
      </c>
      <c r="V114" s="5">
        <v>0</v>
      </c>
      <c r="W114" s="5">
        <v>0</v>
      </c>
      <c r="X114" s="5">
        <v>0</v>
      </c>
      <c r="Y114" s="4">
        <f t="shared" si="77"/>
        <v>0</v>
      </c>
      <c r="Z114" s="5">
        <v>0</v>
      </c>
      <c r="AA114" s="5">
        <v>0</v>
      </c>
      <c r="AB114" s="5">
        <v>0</v>
      </c>
      <c r="AC114" s="5">
        <v>0</v>
      </c>
      <c r="AD114" s="5">
        <f t="shared" si="78"/>
        <v>0</v>
      </c>
    </row>
    <row r="115" spans="1:30" s="8" customFormat="1" ht="20.45" customHeight="1">
      <c r="A115" s="182"/>
      <c r="B115" s="87" t="s">
        <v>98</v>
      </c>
      <c r="C115" s="164"/>
      <c r="D115" s="162"/>
      <c r="E115" s="4">
        <f t="shared" si="79"/>
        <v>0</v>
      </c>
      <c r="F115" s="5">
        <v>0</v>
      </c>
      <c r="G115" s="4">
        <v>0</v>
      </c>
      <c r="H115" s="4">
        <v>0</v>
      </c>
      <c r="I115" s="4">
        <v>0</v>
      </c>
      <c r="J115" s="4">
        <f t="shared" si="74"/>
        <v>0</v>
      </c>
      <c r="K115" s="5">
        <v>0</v>
      </c>
      <c r="L115" s="5">
        <v>0</v>
      </c>
      <c r="M115" s="5">
        <v>0</v>
      </c>
      <c r="N115" s="5">
        <v>0</v>
      </c>
      <c r="O115" s="4">
        <f t="shared" si="75"/>
        <v>0</v>
      </c>
      <c r="P115" s="5">
        <v>0</v>
      </c>
      <c r="Q115" s="5">
        <v>0</v>
      </c>
      <c r="R115" s="5">
        <v>0</v>
      </c>
      <c r="S115" s="5">
        <v>0</v>
      </c>
      <c r="T115" s="4">
        <f t="shared" si="76"/>
        <v>0</v>
      </c>
      <c r="U115" s="5">
        <v>0</v>
      </c>
      <c r="V115" s="5">
        <v>0</v>
      </c>
      <c r="W115" s="5">
        <v>0</v>
      </c>
      <c r="X115" s="5">
        <v>0</v>
      </c>
      <c r="Y115" s="4">
        <f t="shared" si="77"/>
        <v>0</v>
      </c>
      <c r="Z115" s="5">
        <v>0</v>
      </c>
      <c r="AA115" s="5">
        <v>0</v>
      </c>
      <c r="AB115" s="5">
        <v>0</v>
      </c>
      <c r="AC115" s="5">
        <v>0</v>
      </c>
      <c r="AD115" s="5">
        <f t="shared" si="78"/>
        <v>0</v>
      </c>
    </row>
    <row r="116" spans="1:30" s="8" customFormat="1" ht="22.15" customHeight="1">
      <c r="A116" s="182"/>
      <c r="B116" s="87" t="s">
        <v>99</v>
      </c>
      <c r="C116" s="164"/>
      <c r="D116" s="162"/>
      <c r="E116" s="4">
        <f t="shared" si="79"/>
        <v>681</v>
      </c>
      <c r="F116" s="5">
        <v>681</v>
      </c>
      <c r="G116" s="4">
        <v>0</v>
      </c>
      <c r="H116" s="4">
        <v>0</v>
      </c>
      <c r="I116" s="4">
        <v>0</v>
      </c>
      <c r="J116" s="4">
        <f t="shared" si="74"/>
        <v>0</v>
      </c>
      <c r="K116" s="5">
        <v>0</v>
      </c>
      <c r="L116" s="5">
        <v>0</v>
      </c>
      <c r="M116" s="5">
        <v>0</v>
      </c>
      <c r="N116" s="5">
        <v>0</v>
      </c>
      <c r="O116" s="4">
        <f t="shared" si="75"/>
        <v>0</v>
      </c>
      <c r="P116" s="4">
        <v>0</v>
      </c>
      <c r="Q116" s="5">
        <v>0</v>
      </c>
      <c r="R116" s="5">
        <v>0</v>
      </c>
      <c r="S116" s="5">
        <v>0</v>
      </c>
      <c r="T116" s="4">
        <f t="shared" si="76"/>
        <v>0</v>
      </c>
      <c r="U116" s="4">
        <v>0</v>
      </c>
      <c r="V116" s="5">
        <v>0</v>
      </c>
      <c r="W116" s="5">
        <v>0</v>
      </c>
      <c r="X116" s="5">
        <v>0</v>
      </c>
      <c r="Y116" s="4">
        <f t="shared" si="77"/>
        <v>0</v>
      </c>
      <c r="Z116" s="5">
        <v>0</v>
      </c>
      <c r="AA116" s="5">
        <v>0</v>
      </c>
      <c r="AB116" s="5">
        <v>0</v>
      </c>
      <c r="AC116" s="5">
        <v>0</v>
      </c>
      <c r="AD116" s="5">
        <f t="shared" si="78"/>
        <v>681</v>
      </c>
    </row>
    <row r="117" spans="1:30" s="8" customFormat="1" ht="21" customHeight="1">
      <c r="A117" s="182"/>
      <c r="B117" s="87" t="s">
        <v>101</v>
      </c>
      <c r="C117" s="164"/>
      <c r="D117" s="162"/>
      <c r="E117" s="4">
        <f t="shared" si="79"/>
        <v>0</v>
      </c>
      <c r="F117" s="5">
        <v>0</v>
      </c>
      <c r="G117" s="4">
        <v>0</v>
      </c>
      <c r="H117" s="4">
        <v>0</v>
      </c>
      <c r="I117" s="4">
        <v>0</v>
      </c>
      <c r="J117" s="4">
        <f t="shared" si="74"/>
        <v>0</v>
      </c>
      <c r="K117" s="5">
        <v>0</v>
      </c>
      <c r="L117" s="5">
        <v>0</v>
      </c>
      <c r="M117" s="5">
        <v>0</v>
      </c>
      <c r="N117" s="5">
        <v>0</v>
      </c>
      <c r="O117" s="4">
        <f t="shared" si="75"/>
        <v>0</v>
      </c>
      <c r="P117" s="4">
        <v>0</v>
      </c>
      <c r="Q117" s="5">
        <v>0</v>
      </c>
      <c r="R117" s="5">
        <v>0</v>
      </c>
      <c r="S117" s="5">
        <v>0</v>
      </c>
      <c r="T117" s="4">
        <f t="shared" si="76"/>
        <v>0</v>
      </c>
      <c r="U117" s="4">
        <v>0</v>
      </c>
      <c r="V117" s="5">
        <v>0</v>
      </c>
      <c r="W117" s="5">
        <v>0</v>
      </c>
      <c r="X117" s="5">
        <v>0</v>
      </c>
      <c r="Y117" s="117">
        <f t="shared" si="77"/>
        <v>1111</v>
      </c>
      <c r="Z117" s="119">
        <f>342+217+301+251</f>
        <v>1111</v>
      </c>
      <c r="AA117" s="5">
        <v>0</v>
      </c>
      <c r="AB117" s="5">
        <v>0</v>
      </c>
      <c r="AC117" s="5">
        <v>0</v>
      </c>
      <c r="AD117" s="137">
        <f t="shared" si="78"/>
        <v>1111</v>
      </c>
    </row>
    <row r="118" spans="1:30" s="8" customFormat="1" ht="23.45" customHeight="1">
      <c r="A118" s="182"/>
      <c r="B118" s="87" t="s">
        <v>100</v>
      </c>
      <c r="C118" s="164"/>
      <c r="D118" s="162"/>
      <c r="E118" s="4">
        <f t="shared" si="79"/>
        <v>2427.5</v>
      </c>
      <c r="F118" s="4">
        <v>121.3</v>
      </c>
      <c r="G118" s="4">
        <v>2306.1999999999998</v>
      </c>
      <c r="H118" s="4">
        <v>0</v>
      </c>
      <c r="I118" s="4">
        <v>0</v>
      </c>
      <c r="J118" s="29">
        <f t="shared" si="74"/>
        <v>485</v>
      </c>
      <c r="K118" s="30">
        <f>904-419</f>
        <v>485</v>
      </c>
      <c r="L118" s="5">
        <v>0</v>
      </c>
      <c r="M118" s="5">
        <v>0</v>
      </c>
      <c r="N118" s="5">
        <v>0</v>
      </c>
      <c r="O118" s="29">
        <f t="shared" si="75"/>
        <v>1732</v>
      </c>
      <c r="P118" s="32">
        <f>2236-504</f>
        <v>1732</v>
      </c>
      <c r="Q118" s="5">
        <v>0</v>
      </c>
      <c r="R118" s="5">
        <v>0</v>
      </c>
      <c r="S118" s="5">
        <v>0</v>
      </c>
      <c r="T118" s="117">
        <f t="shared" si="76"/>
        <v>533</v>
      </c>
      <c r="U118" s="117">
        <f>473+60</f>
        <v>533</v>
      </c>
      <c r="V118" s="5">
        <v>0</v>
      </c>
      <c r="W118" s="5">
        <v>0</v>
      </c>
      <c r="X118" s="5">
        <v>0</v>
      </c>
      <c r="Y118" s="4">
        <f t="shared" si="77"/>
        <v>0</v>
      </c>
      <c r="Z118" s="5">
        <v>0</v>
      </c>
      <c r="AA118" s="5">
        <v>0</v>
      </c>
      <c r="AB118" s="5">
        <v>0</v>
      </c>
      <c r="AC118" s="5">
        <v>0</v>
      </c>
      <c r="AD118" s="5">
        <f t="shared" si="78"/>
        <v>5177.5</v>
      </c>
    </row>
    <row r="119" spans="1:30" s="8" customFormat="1" ht="20.45" customHeight="1">
      <c r="A119" s="182"/>
      <c r="B119" s="87" t="s">
        <v>176</v>
      </c>
      <c r="C119" s="164"/>
      <c r="D119" s="162"/>
      <c r="E119" s="4">
        <f t="shared" si="79"/>
        <v>0</v>
      </c>
      <c r="F119" s="5">
        <v>0</v>
      </c>
      <c r="G119" s="4">
        <v>0</v>
      </c>
      <c r="H119" s="4">
        <v>0</v>
      </c>
      <c r="I119" s="4">
        <v>0</v>
      </c>
      <c r="J119" s="4">
        <f t="shared" si="74"/>
        <v>0</v>
      </c>
      <c r="K119" s="5">
        <v>0</v>
      </c>
      <c r="L119" s="5">
        <v>0</v>
      </c>
      <c r="M119" s="5">
        <v>0</v>
      </c>
      <c r="N119" s="5">
        <v>0</v>
      </c>
      <c r="O119" s="4">
        <f t="shared" si="75"/>
        <v>0</v>
      </c>
      <c r="P119" s="5">
        <v>0</v>
      </c>
      <c r="Q119" s="5">
        <v>0</v>
      </c>
      <c r="R119" s="5">
        <v>0</v>
      </c>
      <c r="S119" s="5">
        <v>0</v>
      </c>
      <c r="T119" s="4">
        <f t="shared" si="76"/>
        <v>0</v>
      </c>
      <c r="U119" s="5">
        <v>0</v>
      </c>
      <c r="V119" s="5">
        <v>0</v>
      </c>
      <c r="W119" s="5">
        <v>0</v>
      </c>
      <c r="X119" s="5">
        <v>0</v>
      </c>
      <c r="Y119" s="4">
        <f t="shared" si="77"/>
        <v>0</v>
      </c>
      <c r="Z119" s="5">
        <v>0</v>
      </c>
      <c r="AA119" s="5">
        <v>0</v>
      </c>
      <c r="AB119" s="5">
        <v>0</v>
      </c>
      <c r="AC119" s="5">
        <v>0</v>
      </c>
      <c r="AD119" s="5">
        <f t="shared" si="78"/>
        <v>0</v>
      </c>
    </row>
    <row r="120" spans="1:30" s="8" customFormat="1" ht="18.600000000000001" customHeight="1">
      <c r="A120" s="183"/>
      <c r="B120" s="87" t="s">
        <v>127</v>
      </c>
      <c r="C120" s="165"/>
      <c r="D120" s="162"/>
      <c r="E120" s="4">
        <f>SUM(F120:I120)</f>
        <v>0</v>
      </c>
      <c r="F120" s="4">
        <v>0</v>
      </c>
      <c r="G120" s="4">
        <v>0</v>
      </c>
      <c r="H120" s="4">
        <v>0</v>
      </c>
      <c r="I120" s="4">
        <v>0</v>
      </c>
      <c r="J120" s="29">
        <f>SUM(K120:N120)</f>
        <v>1192</v>
      </c>
      <c r="K120" s="30">
        <f>1341-149</f>
        <v>1192</v>
      </c>
      <c r="L120" s="5">
        <v>0</v>
      </c>
      <c r="M120" s="5">
        <v>0</v>
      </c>
      <c r="N120" s="5">
        <v>0</v>
      </c>
      <c r="O120" s="4">
        <f>SUM(P120:S120)</f>
        <v>0</v>
      </c>
      <c r="P120" s="28">
        <v>0</v>
      </c>
      <c r="Q120" s="28">
        <v>0</v>
      </c>
      <c r="R120" s="28">
        <v>0</v>
      </c>
      <c r="S120" s="28">
        <v>0</v>
      </c>
      <c r="T120" s="4">
        <f>SUM(U120:X120)</f>
        <v>0</v>
      </c>
      <c r="U120" s="28">
        <v>0</v>
      </c>
      <c r="V120" s="28">
        <v>0</v>
      </c>
      <c r="W120" s="28">
        <v>0</v>
      </c>
      <c r="X120" s="28">
        <v>0</v>
      </c>
      <c r="Y120" s="4">
        <f>SUM(Z120:AC120)</f>
        <v>0</v>
      </c>
      <c r="Z120" s="28">
        <v>0</v>
      </c>
      <c r="AA120" s="28">
        <v>0</v>
      </c>
      <c r="AB120" s="28">
        <v>0</v>
      </c>
      <c r="AC120" s="28">
        <v>0</v>
      </c>
      <c r="AD120" s="5">
        <f t="shared" si="78"/>
        <v>1192</v>
      </c>
    </row>
    <row r="121" spans="1:30" s="8" customFormat="1" ht="76.5" customHeight="1">
      <c r="A121" s="81" t="s">
        <v>70</v>
      </c>
      <c r="B121" s="87" t="s">
        <v>140</v>
      </c>
      <c r="C121" s="77" t="s">
        <v>263</v>
      </c>
      <c r="D121" s="97" t="s">
        <v>270</v>
      </c>
      <c r="E121" s="4">
        <f>SUM(F121:I121)</f>
        <v>388</v>
      </c>
      <c r="F121" s="4">
        <v>388</v>
      </c>
      <c r="G121" s="4">
        <v>0</v>
      </c>
      <c r="H121" s="4">
        <v>0</v>
      </c>
      <c r="I121" s="4">
        <v>0</v>
      </c>
      <c r="J121" s="4">
        <v>0</v>
      </c>
      <c r="K121" s="4">
        <v>0</v>
      </c>
      <c r="L121" s="4">
        <v>0</v>
      </c>
      <c r="M121" s="4">
        <v>0</v>
      </c>
      <c r="N121" s="4">
        <v>0</v>
      </c>
      <c r="O121" s="29">
        <v>77.010000000000005</v>
      </c>
      <c r="P121" s="29">
        <v>77.010000000000005</v>
      </c>
      <c r="Q121" s="4">
        <v>0</v>
      </c>
      <c r="R121" s="4">
        <v>0</v>
      </c>
      <c r="S121" s="4">
        <v>0</v>
      </c>
      <c r="T121" s="4">
        <v>0</v>
      </c>
      <c r="U121" s="4">
        <v>0</v>
      </c>
      <c r="V121" s="4">
        <v>0</v>
      </c>
      <c r="W121" s="4">
        <v>0</v>
      </c>
      <c r="X121" s="4">
        <v>0</v>
      </c>
      <c r="Y121" s="4">
        <v>0</v>
      </c>
      <c r="Z121" s="4">
        <v>0</v>
      </c>
      <c r="AA121" s="4">
        <v>0</v>
      </c>
      <c r="AB121" s="4">
        <v>0</v>
      </c>
      <c r="AC121" s="4">
        <v>0</v>
      </c>
      <c r="AD121" s="5">
        <f t="shared" si="78"/>
        <v>465.01</v>
      </c>
    </row>
    <row r="122" spans="1:30" s="8" customFormat="1" ht="85.9" customHeight="1">
      <c r="A122" s="144" t="s">
        <v>71</v>
      </c>
      <c r="B122" s="87" t="s">
        <v>75</v>
      </c>
      <c r="C122" s="158" t="s">
        <v>109</v>
      </c>
      <c r="D122" s="161" t="s">
        <v>292</v>
      </c>
      <c r="E122" s="4"/>
      <c r="F122" s="12"/>
      <c r="G122" s="4"/>
      <c r="H122" s="4"/>
      <c r="I122" s="4"/>
      <c r="J122" s="4"/>
      <c r="K122" s="4"/>
      <c r="L122" s="5"/>
      <c r="M122" s="5"/>
      <c r="N122" s="5"/>
      <c r="O122" s="4"/>
      <c r="P122" s="5"/>
      <c r="Q122" s="5"/>
      <c r="R122" s="5"/>
      <c r="S122" s="5"/>
      <c r="T122" s="4"/>
      <c r="U122" s="5"/>
      <c r="V122" s="5"/>
      <c r="W122" s="5"/>
      <c r="X122" s="5"/>
      <c r="Y122" s="4"/>
      <c r="Z122" s="5"/>
      <c r="AA122" s="5"/>
      <c r="AB122" s="5"/>
      <c r="AC122" s="5"/>
      <c r="AD122" s="5">
        <f t="shared" si="78"/>
        <v>0</v>
      </c>
    </row>
    <row r="123" spans="1:30" s="8" customFormat="1" ht="22.15" customHeight="1">
      <c r="A123" s="145"/>
      <c r="B123" s="87" t="s">
        <v>102</v>
      </c>
      <c r="C123" s="164"/>
      <c r="D123" s="162"/>
      <c r="E123" s="4">
        <f>SUM(F123:I123)</f>
        <v>0</v>
      </c>
      <c r="F123" s="4">
        <v>0</v>
      </c>
      <c r="G123" s="4">
        <v>0</v>
      </c>
      <c r="H123" s="4">
        <v>0</v>
      </c>
      <c r="I123" s="4">
        <v>0</v>
      </c>
      <c r="J123" s="4">
        <f t="shared" si="74"/>
        <v>0</v>
      </c>
      <c r="K123" s="5">
        <v>0</v>
      </c>
      <c r="L123" s="5">
        <v>0</v>
      </c>
      <c r="M123" s="5">
        <v>0</v>
      </c>
      <c r="N123" s="5">
        <v>0</v>
      </c>
      <c r="O123" s="4">
        <f t="shared" si="75"/>
        <v>0</v>
      </c>
      <c r="P123" s="5">
        <v>0</v>
      </c>
      <c r="Q123" s="5">
        <v>0</v>
      </c>
      <c r="R123" s="5">
        <v>0</v>
      </c>
      <c r="S123" s="5">
        <v>0</v>
      </c>
      <c r="T123" s="117">
        <f t="shared" si="76"/>
        <v>351</v>
      </c>
      <c r="U123" s="119">
        <v>351</v>
      </c>
      <c r="V123" s="5">
        <v>0</v>
      </c>
      <c r="W123" s="5">
        <v>0</v>
      </c>
      <c r="X123" s="5">
        <v>0</v>
      </c>
      <c r="Y123" s="117">
        <f t="shared" si="77"/>
        <v>843</v>
      </c>
      <c r="Z123" s="119">
        <f>210+633</f>
        <v>843</v>
      </c>
      <c r="AA123" s="5">
        <v>0</v>
      </c>
      <c r="AB123" s="5">
        <v>0</v>
      </c>
      <c r="AC123" s="5">
        <v>0</v>
      </c>
      <c r="AD123" s="137">
        <f t="shared" si="78"/>
        <v>1194</v>
      </c>
    </row>
    <row r="124" spans="1:30" s="8" customFormat="1" ht="18" customHeight="1">
      <c r="A124" s="146"/>
      <c r="B124" s="87" t="s">
        <v>107</v>
      </c>
      <c r="C124" s="165"/>
      <c r="D124" s="163"/>
      <c r="E124" s="4">
        <f>SUM(F124:I124)</f>
        <v>0</v>
      </c>
      <c r="F124" s="4">
        <v>0</v>
      </c>
      <c r="G124" s="4">
        <v>0</v>
      </c>
      <c r="H124" s="4">
        <v>0</v>
      </c>
      <c r="I124" s="4">
        <v>0</v>
      </c>
      <c r="J124" s="4">
        <f t="shared" si="74"/>
        <v>0</v>
      </c>
      <c r="K124" s="4">
        <v>0</v>
      </c>
      <c r="L124" s="5">
        <v>0</v>
      </c>
      <c r="M124" s="5">
        <v>0</v>
      </c>
      <c r="N124" s="5">
        <v>0</v>
      </c>
      <c r="O124" s="4">
        <f t="shared" si="75"/>
        <v>0</v>
      </c>
      <c r="P124" s="5">
        <v>0</v>
      </c>
      <c r="Q124" s="5">
        <v>0</v>
      </c>
      <c r="R124" s="5">
        <v>0</v>
      </c>
      <c r="S124" s="5">
        <v>0</v>
      </c>
      <c r="T124" s="117">
        <f t="shared" si="76"/>
        <v>399</v>
      </c>
      <c r="U124" s="119">
        <v>399</v>
      </c>
      <c r="V124" s="5">
        <v>0</v>
      </c>
      <c r="W124" s="5">
        <v>0</v>
      </c>
      <c r="X124" s="5">
        <v>0</v>
      </c>
      <c r="Y124" s="4">
        <f t="shared" si="77"/>
        <v>0</v>
      </c>
      <c r="Z124" s="5">
        <v>0</v>
      </c>
      <c r="AA124" s="5">
        <v>0</v>
      </c>
      <c r="AB124" s="5">
        <v>0</v>
      </c>
      <c r="AC124" s="5">
        <v>0</v>
      </c>
      <c r="AD124" s="5">
        <f t="shared" si="78"/>
        <v>399</v>
      </c>
    </row>
    <row r="125" spans="1:30" s="8" customFormat="1" ht="67.150000000000006" customHeight="1">
      <c r="A125" s="86" t="s">
        <v>141</v>
      </c>
      <c r="B125" s="87" t="s">
        <v>72</v>
      </c>
      <c r="C125" s="85" t="s">
        <v>110</v>
      </c>
      <c r="D125" s="71">
        <v>2020</v>
      </c>
      <c r="E125" s="4">
        <f>SUM(F125:I125)</f>
        <v>0</v>
      </c>
      <c r="F125" s="4">
        <v>0</v>
      </c>
      <c r="G125" s="4">
        <v>0</v>
      </c>
      <c r="H125" s="4">
        <v>0</v>
      </c>
      <c r="I125" s="4">
        <v>0</v>
      </c>
      <c r="J125" s="29">
        <f t="shared" si="74"/>
        <v>959</v>
      </c>
      <c r="K125" s="29">
        <f>971-12</f>
        <v>959</v>
      </c>
      <c r="L125" s="5">
        <v>0</v>
      </c>
      <c r="M125" s="5">
        <v>0</v>
      </c>
      <c r="N125" s="5">
        <v>0</v>
      </c>
      <c r="O125" s="4">
        <f>SUM(P125:S125)</f>
        <v>0</v>
      </c>
      <c r="P125" s="5">
        <v>0</v>
      </c>
      <c r="Q125" s="5">
        <v>0</v>
      </c>
      <c r="R125" s="5">
        <v>0</v>
      </c>
      <c r="S125" s="5">
        <v>0</v>
      </c>
      <c r="T125" s="4">
        <f t="shared" si="76"/>
        <v>0</v>
      </c>
      <c r="U125" s="5">
        <v>0</v>
      </c>
      <c r="V125" s="5">
        <v>0</v>
      </c>
      <c r="W125" s="5">
        <v>0</v>
      </c>
      <c r="X125" s="5">
        <v>0</v>
      </c>
      <c r="Y125" s="4">
        <f t="shared" si="77"/>
        <v>0</v>
      </c>
      <c r="Z125" s="5">
        <v>0</v>
      </c>
      <c r="AA125" s="5">
        <v>0</v>
      </c>
      <c r="AB125" s="5">
        <v>0</v>
      </c>
      <c r="AC125" s="5">
        <v>0</v>
      </c>
      <c r="AD125" s="5">
        <f t="shared" si="78"/>
        <v>959</v>
      </c>
    </row>
    <row r="126" spans="1:30" s="8" customFormat="1" ht="65.25" customHeight="1">
      <c r="A126" s="86" t="s">
        <v>166</v>
      </c>
      <c r="B126" s="87" t="s">
        <v>167</v>
      </c>
      <c r="C126" s="85" t="s">
        <v>168</v>
      </c>
      <c r="D126" s="72" t="s">
        <v>161</v>
      </c>
      <c r="E126" s="4">
        <f>SUM(F126:I126)</f>
        <v>10370.6</v>
      </c>
      <c r="F126" s="4">
        <v>0</v>
      </c>
      <c r="G126" s="4">
        <v>10370.6</v>
      </c>
      <c r="H126" s="4">
        <v>0</v>
      </c>
      <c r="I126" s="4">
        <v>0</v>
      </c>
      <c r="J126" s="4">
        <v>0</v>
      </c>
      <c r="K126" s="4">
        <v>0</v>
      </c>
      <c r="L126" s="5">
        <v>0</v>
      </c>
      <c r="M126" s="5">
        <v>0</v>
      </c>
      <c r="N126" s="5">
        <v>0</v>
      </c>
      <c r="O126" s="4">
        <v>0</v>
      </c>
      <c r="P126" s="5">
        <v>0</v>
      </c>
      <c r="Q126" s="5">
        <v>0</v>
      </c>
      <c r="R126" s="5">
        <v>0</v>
      </c>
      <c r="S126" s="5">
        <v>0</v>
      </c>
      <c r="T126" s="4">
        <f t="shared" si="76"/>
        <v>0</v>
      </c>
      <c r="U126" s="5">
        <v>0</v>
      </c>
      <c r="V126" s="5">
        <v>0</v>
      </c>
      <c r="W126" s="5">
        <v>0</v>
      </c>
      <c r="X126" s="5">
        <v>0</v>
      </c>
      <c r="Y126" s="4">
        <v>0</v>
      </c>
      <c r="Z126" s="5">
        <v>0</v>
      </c>
      <c r="AA126" s="5">
        <v>0</v>
      </c>
      <c r="AB126" s="5">
        <v>0</v>
      </c>
      <c r="AC126" s="5">
        <v>0</v>
      </c>
      <c r="AD126" s="5">
        <f>SUM(E126,J126,O126,T126,Y126)</f>
        <v>10370.6</v>
      </c>
    </row>
    <row r="127" spans="1:30" s="8" customFormat="1" ht="65.25" customHeight="1">
      <c r="A127" s="114" t="s">
        <v>289</v>
      </c>
      <c r="B127" s="138" t="s">
        <v>290</v>
      </c>
      <c r="C127" s="140" t="s">
        <v>169</v>
      </c>
      <c r="D127" s="113"/>
      <c r="E127" s="4"/>
      <c r="F127" s="4"/>
      <c r="G127" s="4"/>
      <c r="H127" s="4"/>
      <c r="I127" s="4"/>
      <c r="J127" s="4"/>
      <c r="K127" s="4"/>
      <c r="L127" s="5"/>
      <c r="M127" s="5"/>
      <c r="N127" s="5"/>
      <c r="O127" s="4"/>
      <c r="P127" s="5"/>
      <c r="Q127" s="5"/>
      <c r="R127" s="5"/>
      <c r="S127" s="5"/>
      <c r="T127" s="118">
        <f t="shared" si="76"/>
        <v>3645</v>
      </c>
      <c r="U127" s="137">
        <v>3645</v>
      </c>
      <c r="V127" s="5"/>
      <c r="W127" s="5"/>
      <c r="X127" s="5"/>
      <c r="Y127" s="4"/>
      <c r="Z127" s="5"/>
      <c r="AA127" s="5"/>
      <c r="AB127" s="5"/>
      <c r="AC127" s="5"/>
      <c r="AD127" s="137">
        <f>SUM(E127,J127,O127,T127,Y127)</f>
        <v>3645</v>
      </c>
    </row>
    <row r="128" spans="1:30" s="18" customFormat="1" ht="33" customHeight="1">
      <c r="A128" s="17"/>
      <c r="B128" s="80" t="s">
        <v>162</v>
      </c>
      <c r="C128" s="80"/>
      <c r="D128" s="51"/>
      <c r="E128" s="12">
        <f>F128+G128</f>
        <v>105554.8</v>
      </c>
      <c r="F128" s="12">
        <f>SUM(F91:F125)-F94</f>
        <v>8491.2999999999993</v>
      </c>
      <c r="G128" s="12">
        <f t="shared" ref="G128:I128" si="80">SUM(G91:G125)-G94</f>
        <v>97063.5</v>
      </c>
      <c r="H128" s="12">
        <f t="shared" si="80"/>
        <v>0</v>
      </c>
      <c r="I128" s="12">
        <f t="shared" si="80"/>
        <v>0</v>
      </c>
      <c r="J128" s="12">
        <f>SUM(J91:J125)</f>
        <v>6795</v>
      </c>
      <c r="K128" s="12">
        <f>SUM(K91:K126)</f>
        <v>6795</v>
      </c>
      <c r="L128" s="12">
        <f>SUM(L91:L126)</f>
        <v>0</v>
      </c>
      <c r="M128" s="12">
        <f>SUM(M91:M126)</f>
        <v>0</v>
      </c>
      <c r="N128" s="12">
        <f>SUM(N91:N126)</f>
        <v>0</v>
      </c>
      <c r="O128" s="42">
        <f>SUM(O91:O125)</f>
        <v>3187.7000000000007</v>
      </c>
      <c r="P128" s="42">
        <f>SUM(P91:P126)</f>
        <v>3187.7000000000007</v>
      </c>
      <c r="Q128" s="12">
        <f>SUM(Q91:Q126)</f>
        <v>0</v>
      </c>
      <c r="R128" s="12">
        <f>SUM(R91:R126)</f>
        <v>0</v>
      </c>
      <c r="S128" s="12">
        <f>SUM(S91:S126)</f>
        <v>0</v>
      </c>
      <c r="T128" s="139">
        <f>SUM(T91:T127)</f>
        <v>10065</v>
      </c>
      <c r="U128" s="139">
        <f t="shared" ref="U128:X128" si="81">SUM(U91:U127)</f>
        <v>10065</v>
      </c>
      <c r="V128" s="12">
        <f t="shared" si="81"/>
        <v>0</v>
      </c>
      <c r="W128" s="12">
        <f t="shared" si="81"/>
        <v>0</v>
      </c>
      <c r="X128" s="12">
        <f t="shared" si="81"/>
        <v>0</v>
      </c>
      <c r="Y128" s="12">
        <f>SUM(Y91:Y125)</f>
        <v>7496</v>
      </c>
      <c r="Z128" s="12">
        <f>SUM(Z91:Z126)</f>
        <v>7496</v>
      </c>
      <c r="AA128" s="12">
        <f>SUM(AA91:AA126)</f>
        <v>0</v>
      </c>
      <c r="AB128" s="12">
        <f>SUM(AB91:AB126)</f>
        <v>0</v>
      </c>
      <c r="AC128" s="12">
        <f>SUM(AC91:AC126)</f>
        <v>0</v>
      </c>
      <c r="AD128" s="5">
        <f>SUM(Y128,T128,O128,J128,E128)</f>
        <v>133098.5</v>
      </c>
    </row>
    <row r="129" spans="1:31" s="35" customFormat="1" ht="40.5" customHeight="1">
      <c r="A129" s="34"/>
      <c r="B129" s="55" t="s">
        <v>163</v>
      </c>
      <c r="C129" s="55"/>
      <c r="D129" s="56"/>
      <c r="E129" s="4">
        <f>SUM(E94,E126)</f>
        <v>12012.9</v>
      </c>
      <c r="F129" s="4">
        <f t="shared" ref="F129:AD129" si="82">SUM(F94,F126)</f>
        <v>0</v>
      </c>
      <c r="G129" s="4">
        <f>SUM(G94,G126)</f>
        <v>12012.9</v>
      </c>
      <c r="H129" s="4">
        <f t="shared" si="82"/>
        <v>0</v>
      </c>
      <c r="I129" s="4">
        <f t="shared" si="82"/>
        <v>0</v>
      </c>
      <c r="J129" s="29">
        <f t="shared" si="82"/>
        <v>0</v>
      </c>
      <c r="K129" s="29">
        <f t="shared" si="82"/>
        <v>0</v>
      </c>
      <c r="L129" s="29">
        <f t="shared" si="82"/>
        <v>0</v>
      </c>
      <c r="M129" s="29">
        <f t="shared" si="82"/>
        <v>0</v>
      </c>
      <c r="N129" s="29">
        <f t="shared" si="82"/>
        <v>0</v>
      </c>
      <c r="O129" s="29">
        <f t="shared" si="82"/>
        <v>0</v>
      </c>
      <c r="P129" s="29">
        <f t="shared" si="82"/>
        <v>0</v>
      </c>
      <c r="Q129" s="29">
        <f t="shared" si="82"/>
        <v>0</v>
      </c>
      <c r="R129" s="29">
        <f t="shared" si="82"/>
        <v>0</v>
      </c>
      <c r="S129" s="29">
        <f t="shared" si="82"/>
        <v>0</v>
      </c>
      <c r="T129" s="29">
        <f t="shared" si="82"/>
        <v>0</v>
      </c>
      <c r="U129" s="29">
        <f t="shared" si="82"/>
        <v>0</v>
      </c>
      <c r="V129" s="29">
        <f t="shared" si="82"/>
        <v>0</v>
      </c>
      <c r="W129" s="29">
        <f t="shared" si="82"/>
        <v>0</v>
      </c>
      <c r="X129" s="29">
        <f t="shared" si="82"/>
        <v>0</v>
      </c>
      <c r="Y129" s="29">
        <f t="shared" si="82"/>
        <v>0</v>
      </c>
      <c r="Z129" s="29">
        <f t="shared" si="82"/>
        <v>0</v>
      </c>
      <c r="AA129" s="29">
        <f t="shared" si="82"/>
        <v>0</v>
      </c>
      <c r="AB129" s="29">
        <f t="shared" si="82"/>
        <v>0</v>
      </c>
      <c r="AC129" s="29">
        <f t="shared" si="82"/>
        <v>0</v>
      </c>
      <c r="AD129" s="29">
        <f t="shared" si="82"/>
        <v>12012.9</v>
      </c>
    </row>
    <row r="130" spans="1:31" s="63" customFormat="1" ht="34.9" customHeight="1">
      <c r="A130" s="17"/>
      <c r="B130" s="83" t="s">
        <v>244</v>
      </c>
      <c r="C130" s="80"/>
      <c r="D130" s="51"/>
      <c r="E130" s="12">
        <f>SUM(E128,E88,E69,E56,E31,E25)</f>
        <v>1144110.3</v>
      </c>
      <c r="F130" s="12">
        <f>SUM(F128,F88,F69,F56,F31,F25)</f>
        <v>597336.29999999993</v>
      </c>
      <c r="G130" s="12">
        <f t="shared" ref="G130:AC130" si="83">SUM(G128,G88,G69,G56,G31,G25)</f>
        <v>359671.6</v>
      </c>
      <c r="H130" s="12">
        <f t="shared" si="83"/>
        <v>19118.199999999997</v>
      </c>
      <c r="I130" s="12">
        <f t="shared" si="83"/>
        <v>167984.2</v>
      </c>
      <c r="J130" s="62">
        <f>SUM(J128,J88,J69,J56,J31,J25)</f>
        <v>1173063.7</v>
      </c>
      <c r="K130" s="62">
        <f>SUM(K128,K88,K69,K56,K31,K25)</f>
        <v>940289</v>
      </c>
      <c r="L130" s="12">
        <f>SUM(L128,L88,L69,L56,L31,L25)</f>
        <v>77053</v>
      </c>
      <c r="M130" s="12">
        <f t="shared" si="83"/>
        <v>11434</v>
      </c>
      <c r="N130" s="12">
        <f t="shared" si="83"/>
        <v>144287.70000000001</v>
      </c>
      <c r="O130" s="42">
        <f>SUM(O128,O88,O69,O56,O31,O25)</f>
        <v>1199906.17</v>
      </c>
      <c r="P130" s="42">
        <f>SUM(P128,P88,P69,P56,P31,P25)</f>
        <v>983803.16999999993</v>
      </c>
      <c r="Q130" s="42">
        <f t="shared" si="83"/>
        <v>23943.45</v>
      </c>
      <c r="R130" s="100">
        <f t="shared" si="83"/>
        <v>18016.55</v>
      </c>
      <c r="S130" s="100">
        <f t="shared" si="83"/>
        <v>174143</v>
      </c>
      <c r="T130" s="139">
        <f t="shared" ref="T130" si="84">SUM(T128,T88,T69,T56,T31,T25)</f>
        <v>1159188</v>
      </c>
      <c r="U130" s="139">
        <f t="shared" si="83"/>
        <v>992567</v>
      </c>
      <c r="V130" s="12">
        <f t="shared" si="83"/>
        <v>0</v>
      </c>
      <c r="W130" s="12">
        <f t="shared" si="83"/>
        <v>0</v>
      </c>
      <c r="X130" s="12">
        <f t="shared" si="83"/>
        <v>166621</v>
      </c>
      <c r="Y130" s="139">
        <f t="shared" si="83"/>
        <v>1079858</v>
      </c>
      <c r="Z130" s="139">
        <f t="shared" si="83"/>
        <v>919280</v>
      </c>
      <c r="AA130" s="12">
        <f t="shared" si="83"/>
        <v>0</v>
      </c>
      <c r="AB130" s="12">
        <f t="shared" si="83"/>
        <v>0</v>
      </c>
      <c r="AC130" s="12">
        <f t="shared" si="83"/>
        <v>160578</v>
      </c>
      <c r="AD130" s="93">
        <f>SUM(AD128,AD88,AD69,AD56,AD31,AD25)</f>
        <v>5756126.1699999999</v>
      </c>
    </row>
    <row r="131" spans="1:31" s="18" customFormat="1" ht="34.9" customHeight="1">
      <c r="A131" s="17"/>
      <c r="B131" s="47" t="s">
        <v>245</v>
      </c>
      <c r="C131" s="80"/>
      <c r="D131" s="51"/>
      <c r="E131" s="12">
        <f>E130-E39-E49-E50-E38</f>
        <v>1128421.3</v>
      </c>
      <c r="F131" s="12">
        <f t="shared" ref="F131:AC131" si="85">F130-F39-F49-F50-F38</f>
        <v>594900.6</v>
      </c>
      <c r="G131" s="12">
        <f t="shared" si="85"/>
        <v>346418.3</v>
      </c>
      <c r="H131" s="12">
        <f t="shared" si="85"/>
        <v>19118.199999999997</v>
      </c>
      <c r="I131" s="12">
        <f t="shared" si="85"/>
        <v>167984.2</v>
      </c>
      <c r="J131" s="12">
        <f t="shared" si="85"/>
        <v>1156831.7</v>
      </c>
      <c r="K131" s="12">
        <f t="shared" si="85"/>
        <v>924057</v>
      </c>
      <c r="L131" s="12">
        <f t="shared" si="85"/>
        <v>77053</v>
      </c>
      <c r="M131" s="12">
        <f t="shared" si="85"/>
        <v>11434</v>
      </c>
      <c r="N131" s="12">
        <f t="shared" si="85"/>
        <v>144287.70000000001</v>
      </c>
      <c r="O131" s="42">
        <f>O130-O39-O49-O50</f>
        <v>1199906.17</v>
      </c>
      <c r="P131" s="42">
        <f>P130-P39-P49-P50</f>
        <v>983803.16999999993</v>
      </c>
      <c r="Q131" s="42">
        <f>Q130-Q39-Q49-Q50</f>
        <v>23943.45</v>
      </c>
      <c r="R131" s="100">
        <f t="shared" ref="R131" si="86">R130-R39-R49-R50</f>
        <v>18016.55</v>
      </c>
      <c r="S131" s="100">
        <f t="shared" si="85"/>
        <v>174143</v>
      </c>
      <c r="T131" s="139">
        <f>T25+T31+T56+T69+T88+T128-T127</f>
        <v>1155543</v>
      </c>
      <c r="U131" s="139">
        <f>U25+U31+U56+U69+U88+U128-U127</f>
        <v>988922</v>
      </c>
      <c r="V131" s="12">
        <f t="shared" si="85"/>
        <v>0</v>
      </c>
      <c r="W131" s="12">
        <f t="shared" si="85"/>
        <v>0</v>
      </c>
      <c r="X131" s="12">
        <f t="shared" si="85"/>
        <v>166621</v>
      </c>
      <c r="Y131" s="139">
        <f t="shared" si="85"/>
        <v>1079858</v>
      </c>
      <c r="Z131" s="139">
        <f t="shared" si="85"/>
        <v>919280</v>
      </c>
      <c r="AA131" s="12">
        <f t="shared" si="85"/>
        <v>0</v>
      </c>
      <c r="AB131" s="12">
        <f t="shared" si="85"/>
        <v>0</v>
      </c>
      <c r="AC131" s="12">
        <f t="shared" si="85"/>
        <v>160578</v>
      </c>
      <c r="AD131" s="42">
        <f>AD130-AD132-AD133</f>
        <v>5711933.1699999999</v>
      </c>
      <c r="AE131" s="75">
        <f>E131+J131+O131+T131+Y131</f>
        <v>5720560.1699999999</v>
      </c>
    </row>
    <row r="132" spans="1:31" s="18" customFormat="1" ht="34.9" customHeight="1">
      <c r="A132" s="17"/>
      <c r="B132" s="47" t="s">
        <v>246</v>
      </c>
      <c r="C132" s="80"/>
      <c r="D132" s="51"/>
      <c r="E132" s="12">
        <f>E39+E49+E50</f>
        <v>15689</v>
      </c>
      <c r="F132" s="12">
        <f t="shared" ref="F132:AC132" si="87">F39+F49+F50</f>
        <v>2435.6999999999998</v>
      </c>
      <c r="G132" s="12">
        <f t="shared" si="87"/>
        <v>13253.3</v>
      </c>
      <c r="H132" s="12">
        <f t="shared" si="87"/>
        <v>0</v>
      </c>
      <c r="I132" s="12">
        <f t="shared" si="87"/>
        <v>0</v>
      </c>
      <c r="J132" s="12">
        <f t="shared" si="87"/>
        <v>2685</v>
      </c>
      <c r="K132" s="12">
        <f t="shared" si="87"/>
        <v>2685</v>
      </c>
      <c r="L132" s="12">
        <f t="shared" si="87"/>
        <v>0</v>
      </c>
      <c r="M132" s="12">
        <f t="shared" si="87"/>
        <v>0</v>
      </c>
      <c r="N132" s="12">
        <f t="shared" si="87"/>
        <v>0</v>
      </c>
      <c r="O132" s="42">
        <f>O39+O49+O50</f>
        <v>0</v>
      </c>
      <c r="P132" s="42">
        <f>P39+P49+P50</f>
        <v>0</v>
      </c>
      <c r="Q132" s="12">
        <f>Q39+Q49+Q50</f>
        <v>0</v>
      </c>
      <c r="R132" s="12">
        <f t="shared" si="87"/>
        <v>0</v>
      </c>
      <c r="S132" s="12">
        <f t="shared" si="87"/>
        <v>0</v>
      </c>
      <c r="T132" s="139">
        <f>U132+V132+V132+W132</f>
        <v>3645</v>
      </c>
      <c r="U132" s="139">
        <f>U127</f>
        <v>3645</v>
      </c>
      <c r="V132" s="12">
        <f t="shared" si="87"/>
        <v>0</v>
      </c>
      <c r="W132" s="12">
        <f t="shared" si="87"/>
        <v>0</v>
      </c>
      <c r="X132" s="12">
        <f t="shared" si="87"/>
        <v>0</v>
      </c>
      <c r="Y132" s="12">
        <f t="shared" si="87"/>
        <v>0</v>
      </c>
      <c r="Z132" s="12">
        <f t="shared" si="87"/>
        <v>0</v>
      </c>
      <c r="AA132" s="12">
        <f t="shared" si="87"/>
        <v>0</v>
      </c>
      <c r="AB132" s="12">
        <f t="shared" si="87"/>
        <v>0</v>
      </c>
      <c r="AC132" s="12">
        <f t="shared" si="87"/>
        <v>0</v>
      </c>
      <c r="AD132" s="42">
        <f>AD39+AD49+AD50</f>
        <v>30646</v>
      </c>
      <c r="AE132" s="75">
        <f>E132+J132+O132+T132+Y132</f>
        <v>22019</v>
      </c>
    </row>
    <row r="133" spans="1:31" s="18" customFormat="1" ht="34.9" customHeight="1">
      <c r="A133" s="17"/>
      <c r="B133" s="47" t="s">
        <v>247</v>
      </c>
      <c r="C133" s="80"/>
      <c r="D133" s="51"/>
      <c r="E133" s="12">
        <f>E38</f>
        <v>0</v>
      </c>
      <c r="F133" s="12">
        <f t="shared" ref="F133:AC133" si="88">F38</f>
        <v>0</v>
      </c>
      <c r="G133" s="12">
        <f t="shared" si="88"/>
        <v>0</v>
      </c>
      <c r="H133" s="12">
        <f t="shared" si="88"/>
        <v>0</v>
      </c>
      <c r="I133" s="12">
        <f t="shared" si="88"/>
        <v>0</v>
      </c>
      <c r="J133" s="12">
        <f t="shared" si="88"/>
        <v>13547</v>
      </c>
      <c r="K133" s="12">
        <f t="shared" si="88"/>
        <v>13547</v>
      </c>
      <c r="L133" s="12">
        <f t="shared" si="88"/>
        <v>0</v>
      </c>
      <c r="M133" s="12">
        <f t="shared" si="88"/>
        <v>0</v>
      </c>
      <c r="N133" s="12">
        <f t="shared" si="88"/>
        <v>0</v>
      </c>
      <c r="O133" s="12">
        <f>O38-O38</f>
        <v>0</v>
      </c>
      <c r="P133" s="12">
        <f>P38-P38</f>
        <v>0</v>
      </c>
      <c r="Q133" s="12">
        <f t="shared" si="88"/>
        <v>0</v>
      </c>
      <c r="R133" s="12">
        <f t="shared" si="88"/>
        <v>0</v>
      </c>
      <c r="S133" s="12">
        <f t="shared" si="88"/>
        <v>0</v>
      </c>
      <c r="T133" s="12">
        <f t="shared" si="88"/>
        <v>0</v>
      </c>
      <c r="U133" s="12">
        <f t="shared" si="88"/>
        <v>0</v>
      </c>
      <c r="V133" s="12">
        <f t="shared" si="88"/>
        <v>0</v>
      </c>
      <c r="W133" s="12">
        <f t="shared" si="88"/>
        <v>0</v>
      </c>
      <c r="X133" s="12">
        <f t="shared" si="88"/>
        <v>0</v>
      </c>
      <c r="Y133" s="12">
        <f t="shared" si="88"/>
        <v>0</v>
      </c>
      <c r="Z133" s="12">
        <f t="shared" si="88"/>
        <v>0</v>
      </c>
      <c r="AA133" s="12">
        <f t="shared" si="88"/>
        <v>0</v>
      </c>
      <c r="AB133" s="12">
        <f t="shared" si="88"/>
        <v>0</v>
      </c>
      <c r="AC133" s="12">
        <f t="shared" si="88"/>
        <v>0</v>
      </c>
      <c r="AD133" s="12">
        <f>AD38-O137</f>
        <v>13547</v>
      </c>
      <c r="AE133" s="75">
        <f>E133+J133+O133+T133+Y133</f>
        <v>13547</v>
      </c>
    </row>
    <row r="134" spans="1:31" s="31" customFormat="1" ht="32.450000000000003" customHeight="1">
      <c r="A134" s="36"/>
      <c r="B134" s="57" t="s">
        <v>164</v>
      </c>
      <c r="C134" s="36"/>
      <c r="D134" s="36"/>
      <c r="E134" s="32">
        <f>SUM(E94,E126)</f>
        <v>12012.9</v>
      </c>
      <c r="F134" s="32">
        <f t="shared" ref="F134:AC134" si="89">SUM(F94,F126)</f>
        <v>0</v>
      </c>
      <c r="G134" s="32">
        <f t="shared" si="89"/>
        <v>12012.9</v>
      </c>
      <c r="H134" s="32">
        <f t="shared" si="89"/>
        <v>0</v>
      </c>
      <c r="I134" s="32">
        <f t="shared" si="89"/>
        <v>0</v>
      </c>
      <c r="J134" s="61">
        <f t="shared" si="89"/>
        <v>0</v>
      </c>
      <c r="K134" s="61">
        <f t="shared" si="89"/>
        <v>0</v>
      </c>
      <c r="L134" s="32">
        <f t="shared" si="89"/>
        <v>0</v>
      </c>
      <c r="M134" s="32">
        <f t="shared" si="89"/>
        <v>0</v>
      </c>
      <c r="N134" s="32">
        <f t="shared" si="89"/>
        <v>0</v>
      </c>
      <c r="O134" s="32">
        <f>O38+O52</f>
        <v>13947</v>
      </c>
      <c r="P134" s="32">
        <f>P38+P52</f>
        <v>898</v>
      </c>
      <c r="Q134" s="32">
        <f t="shared" ref="Q134:S134" si="90">Q38+Q52</f>
        <v>13049</v>
      </c>
      <c r="R134" s="32">
        <f t="shared" si="90"/>
        <v>0</v>
      </c>
      <c r="S134" s="32">
        <f t="shared" si="90"/>
        <v>0</v>
      </c>
      <c r="T134" s="32">
        <f>SUM(T135:T137)</f>
        <v>12272</v>
      </c>
      <c r="U134" s="32">
        <f>U135+U136+U137</f>
        <v>12272</v>
      </c>
      <c r="V134" s="32">
        <f t="shared" si="89"/>
        <v>0</v>
      </c>
      <c r="W134" s="32">
        <f t="shared" si="89"/>
        <v>0</v>
      </c>
      <c r="X134" s="32">
        <f t="shared" si="89"/>
        <v>0</v>
      </c>
      <c r="Y134" s="32">
        <f t="shared" si="89"/>
        <v>0</v>
      </c>
      <c r="Z134" s="32">
        <f t="shared" si="89"/>
        <v>0</v>
      </c>
      <c r="AA134" s="32">
        <f t="shared" si="89"/>
        <v>0</v>
      </c>
      <c r="AB134" s="32">
        <f t="shared" si="89"/>
        <v>0</v>
      </c>
      <c r="AC134" s="32">
        <f t="shared" si="89"/>
        <v>0</v>
      </c>
      <c r="AD134" s="30">
        <f>SUM(Y134,T134,O134,J134,E134)</f>
        <v>38231.9</v>
      </c>
    </row>
    <row r="135" spans="1:31" s="31" customFormat="1" ht="32.450000000000003" customHeight="1">
      <c r="A135" s="36"/>
      <c r="B135" s="47" t="s">
        <v>245</v>
      </c>
      <c r="C135" s="36"/>
      <c r="D135" s="36"/>
      <c r="E135" s="16">
        <f>F135+G135+H135+I135</f>
        <v>0</v>
      </c>
      <c r="F135" s="16">
        <v>0</v>
      </c>
      <c r="G135" s="16">
        <v>0</v>
      </c>
      <c r="H135" s="16">
        <v>0</v>
      </c>
      <c r="I135" s="16">
        <v>0</v>
      </c>
      <c r="J135" s="65">
        <v>0</v>
      </c>
      <c r="K135" s="65">
        <v>0</v>
      </c>
      <c r="L135" s="16">
        <v>0</v>
      </c>
      <c r="M135" s="16">
        <v>0</v>
      </c>
      <c r="N135" s="16">
        <v>0</v>
      </c>
      <c r="O135" s="16">
        <f>P135+Q135+R135+S135</f>
        <v>13736</v>
      </c>
      <c r="P135" s="16">
        <v>687</v>
      </c>
      <c r="Q135" s="16">
        <v>13049</v>
      </c>
      <c r="R135" s="16">
        <v>0</v>
      </c>
      <c r="S135" s="16">
        <v>0</v>
      </c>
      <c r="T135" s="16">
        <v>0</v>
      </c>
      <c r="U135" s="16">
        <v>0</v>
      </c>
      <c r="V135" s="16">
        <v>0</v>
      </c>
      <c r="W135" s="16">
        <v>0</v>
      </c>
      <c r="X135" s="16">
        <v>0</v>
      </c>
      <c r="Y135" s="16">
        <v>0</v>
      </c>
      <c r="Z135" s="16">
        <v>0</v>
      </c>
      <c r="AA135" s="16">
        <v>0</v>
      </c>
      <c r="AB135" s="16">
        <v>0</v>
      </c>
      <c r="AC135" s="16">
        <v>0</v>
      </c>
      <c r="AD135" s="5">
        <f>SUM(Y135,T135,O135,J135,E135)</f>
        <v>13736</v>
      </c>
    </row>
    <row r="136" spans="1:31" s="31" customFormat="1" ht="32.450000000000003" customHeight="1">
      <c r="A136" s="36"/>
      <c r="B136" s="47" t="s">
        <v>246</v>
      </c>
      <c r="C136" s="36"/>
      <c r="D136" s="36"/>
      <c r="E136" s="16">
        <f t="shared" ref="E136:E137" si="91">F136+G136+H136+I136</f>
        <v>12012.9</v>
      </c>
      <c r="F136" s="16">
        <v>0</v>
      </c>
      <c r="G136" s="16">
        <v>12012.9</v>
      </c>
      <c r="H136" s="16">
        <v>0</v>
      </c>
      <c r="I136" s="16">
        <v>0</v>
      </c>
      <c r="J136" s="65">
        <v>0</v>
      </c>
      <c r="K136" s="65">
        <v>0</v>
      </c>
      <c r="L136" s="16">
        <v>0</v>
      </c>
      <c r="M136" s="16">
        <v>0</v>
      </c>
      <c r="N136" s="16">
        <v>0</v>
      </c>
      <c r="O136" s="16">
        <f t="shared" ref="O136:O137" si="92">P136+Q136+R136+S136</f>
        <v>0</v>
      </c>
      <c r="P136" s="16">
        <v>0</v>
      </c>
      <c r="Q136" s="16">
        <v>0</v>
      </c>
      <c r="R136" s="16">
        <v>0</v>
      </c>
      <c r="S136" s="16">
        <v>0</v>
      </c>
      <c r="T136" s="141">
        <f>U136+V136+W136</f>
        <v>12272</v>
      </c>
      <c r="U136" s="141">
        <f>U50</f>
        <v>12272</v>
      </c>
      <c r="V136" s="16">
        <v>0</v>
      </c>
      <c r="W136" s="16">
        <v>0</v>
      </c>
      <c r="X136" s="16">
        <v>0</v>
      </c>
      <c r="Y136" s="16">
        <v>0</v>
      </c>
      <c r="Z136" s="16">
        <v>0</v>
      </c>
      <c r="AA136" s="16">
        <v>0</v>
      </c>
      <c r="AB136" s="16">
        <v>0</v>
      </c>
      <c r="AC136" s="16">
        <v>0</v>
      </c>
      <c r="AD136" s="5">
        <f t="shared" ref="AD136:AD137" si="93">SUM(Y136,T136,O136,J136,E136)</f>
        <v>24284.9</v>
      </c>
    </row>
    <row r="137" spans="1:31" s="31" customFormat="1" ht="32.450000000000003" customHeight="1">
      <c r="A137" s="36"/>
      <c r="B137" s="47" t="s">
        <v>247</v>
      </c>
      <c r="C137" s="36"/>
      <c r="D137" s="36"/>
      <c r="E137" s="16">
        <f t="shared" si="91"/>
        <v>0</v>
      </c>
      <c r="F137" s="16">
        <v>0</v>
      </c>
      <c r="G137" s="16">
        <v>0</v>
      </c>
      <c r="H137" s="16">
        <v>0</v>
      </c>
      <c r="I137" s="16">
        <v>0</v>
      </c>
      <c r="J137" s="65">
        <v>0</v>
      </c>
      <c r="K137" s="65">
        <v>0</v>
      </c>
      <c r="L137" s="16">
        <v>0</v>
      </c>
      <c r="M137" s="16">
        <v>0</v>
      </c>
      <c r="N137" s="16">
        <v>0</v>
      </c>
      <c r="O137" s="16">
        <f t="shared" si="92"/>
        <v>211</v>
      </c>
      <c r="P137" s="16">
        <v>211</v>
      </c>
      <c r="Q137" s="16">
        <v>0</v>
      </c>
      <c r="R137" s="16">
        <v>0</v>
      </c>
      <c r="S137" s="16">
        <v>0</v>
      </c>
      <c r="T137" s="16">
        <v>0</v>
      </c>
      <c r="U137" s="16">
        <v>0</v>
      </c>
      <c r="V137" s="16">
        <v>0</v>
      </c>
      <c r="W137" s="16">
        <v>0</v>
      </c>
      <c r="X137" s="16">
        <v>0</v>
      </c>
      <c r="Y137" s="16">
        <v>0</v>
      </c>
      <c r="Z137" s="16">
        <v>0</v>
      </c>
      <c r="AA137" s="16">
        <v>0</v>
      </c>
      <c r="AB137" s="16">
        <v>0</v>
      </c>
      <c r="AC137" s="16">
        <v>0</v>
      </c>
      <c r="AD137" s="5">
        <f t="shared" si="93"/>
        <v>211</v>
      </c>
    </row>
    <row r="138" spans="1:31" s="60" customFormat="1" ht="36" customHeight="1">
      <c r="A138" s="58"/>
      <c r="B138" s="83" t="s">
        <v>165</v>
      </c>
      <c r="C138" s="59"/>
      <c r="D138" s="58"/>
      <c r="E138" s="66">
        <f t="shared" ref="E138:AC138" si="94">E130+E134</f>
        <v>1156123.2</v>
      </c>
      <c r="F138" s="66">
        <f t="shared" si="94"/>
        <v>597336.29999999993</v>
      </c>
      <c r="G138" s="66">
        <f t="shared" si="94"/>
        <v>371684.5</v>
      </c>
      <c r="H138" s="66">
        <f t="shared" si="94"/>
        <v>19118.199999999997</v>
      </c>
      <c r="I138" s="66">
        <f t="shared" si="94"/>
        <v>167984.2</v>
      </c>
      <c r="J138" s="66">
        <f t="shared" si="94"/>
        <v>1173063.7</v>
      </c>
      <c r="K138" s="66">
        <f t="shared" si="94"/>
        <v>940289</v>
      </c>
      <c r="L138" s="66">
        <f t="shared" si="94"/>
        <v>77053</v>
      </c>
      <c r="M138" s="66">
        <f t="shared" si="94"/>
        <v>11434</v>
      </c>
      <c r="N138" s="66">
        <f t="shared" si="94"/>
        <v>144287.70000000001</v>
      </c>
      <c r="O138" s="89">
        <f t="shared" si="94"/>
        <v>1213853.17</v>
      </c>
      <c r="P138" s="89">
        <f t="shared" si="94"/>
        <v>984701.16999999993</v>
      </c>
      <c r="Q138" s="89">
        <f t="shared" si="94"/>
        <v>36992.449999999997</v>
      </c>
      <c r="R138" s="98">
        <f t="shared" si="94"/>
        <v>18016.55</v>
      </c>
      <c r="S138" s="98">
        <f t="shared" si="94"/>
        <v>174143</v>
      </c>
      <c r="T138" s="98">
        <f t="shared" si="94"/>
        <v>1171460</v>
      </c>
      <c r="U138" s="98">
        <f t="shared" si="94"/>
        <v>1004839</v>
      </c>
      <c r="V138" s="98">
        <f t="shared" si="94"/>
        <v>0</v>
      </c>
      <c r="W138" s="98">
        <f t="shared" si="94"/>
        <v>0</v>
      </c>
      <c r="X138" s="66">
        <f t="shared" si="94"/>
        <v>166621</v>
      </c>
      <c r="Y138" s="66">
        <f>Y130+Y134</f>
        <v>1079858</v>
      </c>
      <c r="Z138" s="66">
        <f t="shared" si="94"/>
        <v>919280</v>
      </c>
      <c r="AA138" s="66">
        <f t="shared" si="94"/>
        <v>0</v>
      </c>
      <c r="AB138" s="66">
        <f t="shared" si="94"/>
        <v>0</v>
      </c>
      <c r="AC138" s="66">
        <f t="shared" si="94"/>
        <v>160578</v>
      </c>
      <c r="AD138" s="89">
        <f>AD139+AD140+AD141</f>
        <v>5794358.0700000003</v>
      </c>
    </row>
    <row r="139" spans="1:31" s="60" customFormat="1" ht="36" customHeight="1">
      <c r="A139" s="58"/>
      <c r="B139" s="47" t="s">
        <v>245</v>
      </c>
      <c r="C139" s="59"/>
      <c r="D139" s="58"/>
      <c r="E139" s="16">
        <f>E131+E135</f>
        <v>1128421.3</v>
      </c>
      <c r="F139" s="16">
        <f t="shared" ref="F139:AC139" si="95">F131+F135</f>
        <v>594900.6</v>
      </c>
      <c r="G139" s="16">
        <f t="shared" si="95"/>
        <v>346418.3</v>
      </c>
      <c r="H139" s="16">
        <f t="shared" si="95"/>
        <v>19118.199999999997</v>
      </c>
      <c r="I139" s="16">
        <f t="shared" si="95"/>
        <v>167984.2</v>
      </c>
      <c r="J139" s="16">
        <f t="shared" si="95"/>
        <v>1156831.7</v>
      </c>
      <c r="K139" s="16">
        <f t="shared" si="95"/>
        <v>924057</v>
      </c>
      <c r="L139" s="16">
        <f t="shared" si="95"/>
        <v>77053</v>
      </c>
      <c r="M139" s="16">
        <f t="shared" si="95"/>
        <v>11434</v>
      </c>
      <c r="N139" s="16">
        <f t="shared" si="95"/>
        <v>144287.70000000001</v>
      </c>
      <c r="O139" s="32">
        <f t="shared" si="95"/>
        <v>1213642.17</v>
      </c>
      <c r="P139" s="32">
        <f t="shared" si="95"/>
        <v>984490.16999999993</v>
      </c>
      <c r="Q139" s="32">
        <f t="shared" si="95"/>
        <v>36992.449999999997</v>
      </c>
      <c r="R139" s="99">
        <f t="shared" si="95"/>
        <v>18016.55</v>
      </c>
      <c r="S139" s="99">
        <f t="shared" si="95"/>
        <v>174143</v>
      </c>
      <c r="T139" s="16">
        <f t="shared" si="95"/>
        <v>1155543</v>
      </c>
      <c r="U139" s="16">
        <f t="shared" si="95"/>
        <v>988922</v>
      </c>
      <c r="V139" s="16">
        <f t="shared" si="95"/>
        <v>0</v>
      </c>
      <c r="W139" s="16">
        <f t="shared" si="95"/>
        <v>0</v>
      </c>
      <c r="X139" s="16">
        <f t="shared" si="95"/>
        <v>166621</v>
      </c>
      <c r="Y139" s="16">
        <f t="shared" si="95"/>
        <v>1079858</v>
      </c>
      <c r="Z139" s="16">
        <f t="shared" si="95"/>
        <v>919280</v>
      </c>
      <c r="AA139" s="16">
        <f t="shared" si="95"/>
        <v>0</v>
      </c>
      <c r="AB139" s="16">
        <f t="shared" si="95"/>
        <v>0</v>
      </c>
      <c r="AC139" s="16">
        <f t="shared" si="95"/>
        <v>160578</v>
      </c>
      <c r="AD139" s="32">
        <f>AD131+AD135</f>
        <v>5725669.1699999999</v>
      </c>
      <c r="AE139" s="76">
        <f>E139+J139+O139+T139+Y139</f>
        <v>5734296.1699999999</v>
      </c>
    </row>
    <row r="140" spans="1:31" ht="30.75" customHeight="1">
      <c r="A140" s="67"/>
      <c r="B140" s="47" t="s">
        <v>246</v>
      </c>
      <c r="C140" s="52"/>
      <c r="D140" s="67"/>
      <c r="E140" s="16">
        <f>E132+E136</f>
        <v>27701.9</v>
      </c>
      <c r="F140" s="16">
        <f t="shared" ref="F140:AD140" si="96">F132+F136</f>
        <v>2435.6999999999998</v>
      </c>
      <c r="G140" s="16">
        <f t="shared" si="96"/>
        <v>25266.199999999997</v>
      </c>
      <c r="H140" s="16">
        <f t="shared" si="96"/>
        <v>0</v>
      </c>
      <c r="I140" s="16">
        <f t="shared" si="96"/>
        <v>0</v>
      </c>
      <c r="J140" s="16">
        <f t="shared" si="96"/>
        <v>2685</v>
      </c>
      <c r="K140" s="16">
        <f t="shared" si="96"/>
        <v>2685</v>
      </c>
      <c r="L140" s="16">
        <f t="shared" si="96"/>
        <v>0</v>
      </c>
      <c r="M140" s="16">
        <f t="shared" si="96"/>
        <v>0</v>
      </c>
      <c r="N140" s="16">
        <f t="shared" si="96"/>
        <v>0</v>
      </c>
      <c r="O140" s="32">
        <f t="shared" si="96"/>
        <v>0</v>
      </c>
      <c r="P140" s="32">
        <f t="shared" si="96"/>
        <v>0</v>
      </c>
      <c r="Q140" s="16">
        <f t="shared" si="96"/>
        <v>0</v>
      </c>
      <c r="R140" s="16">
        <f t="shared" si="96"/>
        <v>0</v>
      </c>
      <c r="S140" s="16">
        <f t="shared" si="96"/>
        <v>0</v>
      </c>
      <c r="T140" s="141">
        <f t="shared" si="96"/>
        <v>15917</v>
      </c>
      <c r="U140" s="141">
        <f t="shared" si="96"/>
        <v>15917</v>
      </c>
      <c r="V140" s="16">
        <f t="shared" si="96"/>
        <v>0</v>
      </c>
      <c r="W140" s="16">
        <f t="shared" si="96"/>
        <v>0</v>
      </c>
      <c r="X140" s="16">
        <f t="shared" si="96"/>
        <v>0</v>
      </c>
      <c r="Y140" s="16">
        <f t="shared" si="96"/>
        <v>0</v>
      </c>
      <c r="Z140" s="16">
        <f t="shared" si="96"/>
        <v>0</v>
      </c>
      <c r="AA140" s="16">
        <f t="shared" si="96"/>
        <v>0</v>
      </c>
      <c r="AB140" s="16">
        <f t="shared" si="96"/>
        <v>0</v>
      </c>
      <c r="AC140" s="16">
        <f t="shared" si="96"/>
        <v>0</v>
      </c>
      <c r="AD140" s="32">
        <f t="shared" si="96"/>
        <v>54930.9</v>
      </c>
      <c r="AE140" s="23">
        <f>E140+J140+O140+T140+Y140</f>
        <v>46303.9</v>
      </c>
    </row>
    <row r="141" spans="1:31" ht="41.25" customHeight="1">
      <c r="A141" s="67"/>
      <c r="B141" s="47" t="s">
        <v>247</v>
      </c>
      <c r="C141" s="67"/>
      <c r="D141" s="67"/>
      <c r="E141" s="16">
        <f>E133+E137</f>
        <v>0</v>
      </c>
      <c r="F141" s="16">
        <f t="shared" ref="F141:AC141" si="97">F133+F137</f>
        <v>0</v>
      </c>
      <c r="G141" s="16">
        <f t="shared" si="97"/>
        <v>0</v>
      </c>
      <c r="H141" s="16">
        <f t="shared" si="97"/>
        <v>0</v>
      </c>
      <c r="I141" s="16">
        <f t="shared" si="97"/>
        <v>0</v>
      </c>
      <c r="J141" s="16">
        <f t="shared" si="97"/>
        <v>13547</v>
      </c>
      <c r="K141" s="16">
        <f t="shared" si="97"/>
        <v>13547</v>
      </c>
      <c r="L141" s="16">
        <f t="shared" si="97"/>
        <v>0</v>
      </c>
      <c r="M141" s="16">
        <f t="shared" si="97"/>
        <v>0</v>
      </c>
      <c r="N141" s="16">
        <f t="shared" si="97"/>
        <v>0</v>
      </c>
      <c r="O141" s="16">
        <f t="shared" si="97"/>
        <v>211</v>
      </c>
      <c r="P141" s="16">
        <f t="shared" si="97"/>
        <v>211</v>
      </c>
      <c r="Q141" s="16">
        <f t="shared" si="97"/>
        <v>0</v>
      </c>
      <c r="R141" s="16">
        <f t="shared" si="97"/>
        <v>0</v>
      </c>
      <c r="S141" s="16">
        <f t="shared" si="97"/>
        <v>0</v>
      </c>
      <c r="T141" s="16">
        <f t="shared" si="97"/>
        <v>0</v>
      </c>
      <c r="U141" s="16">
        <f t="shared" si="97"/>
        <v>0</v>
      </c>
      <c r="V141" s="16">
        <f t="shared" si="97"/>
        <v>0</v>
      </c>
      <c r="W141" s="16">
        <f t="shared" si="97"/>
        <v>0</v>
      </c>
      <c r="X141" s="16">
        <f t="shared" si="97"/>
        <v>0</v>
      </c>
      <c r="Y141" s="16">
        <f t="shared" si="97"/>
        <v>0</v>
      </c>
      <c r="Z141" s="16">
        <f t="shared" si="97"/>
        <v>0</v>
      </c>
      <c r="AA141" s="16">
        <f t="shared" si="97"/>
        <v>0</v>
      </c>
      <c r="AB141" s="16">
        <f t="shared" si="97"/>
        <v>0</v>
      </c>
      <c r="AC141" s="16">
        <f t="shared" si="97"/>
        <v>0</v>
      </c>
      <c r="AD141" s="16">
        <f>AD133+AD137</f>
        <v>13758</v>
      </c>
      <c r="AE141" s="23">
        <f>E141+J141+O141+T141+Y141</f>
        <v>13758</v>
      </c>
    </row>
    <row r="142" spans="1:31">
      <c r="E142" s="43"/>
      <c r="F142" s="44"/>
      <c r="G142" s="45"/>
      <c r="H142" s="45"/>
      <c r="I142" s="44"/>
      <c r="J142" s="24"/>
      <c r="K142" s="23"/>
      <c r="L142" s="23"/>
      <c r="M142" s="23"/>
      <c r="N142" s="23"/>
      <c r="O142" s="76"/>
      <c r="P142" s="76"/>
      <c r="Q142" s="76"/>
      <c r="R142" s="76"/>
      <c r="S142" s="76"/>
      <c r="T142" s="76"/>
      <c r="U142" s="76"/>
      <c r="V142" s="76"/>
      <c r="W142" s="76"/>
      <c r="X142" s="76"/>
      <c r="Y142" s="76"/>
      <c r="Z142" s="76"/>
      <c r="AA142" s="76"/>
      <c r="AB142" s="76"/>
      <c r="AC142" s="76"/>
      <c r="AD142" s="76"/>
    </row>
    <row r="143" spans="1:31">
      <c r="E143" s="43"/>
      <c r="F143" s="44"/>
      <c r="G143" s="45"/>
      <c r="H143" s="45"/>
      <c r="I143" s="44"/>
      <c r="J143" s="24"/>
      <c r="K143" s="23"/>
      <c r="L143" s="23"/>
      <c r="M143" s="23"/>
      <c r="N143" s="23"/>
      <c r="O143" s="76"/>
      <c r="P143" s="90" t="s">
        <v>258</v>
      </c>
      <c r="Q143" s="76"/>
      <c r="R143" s="76"/>
      <c r="S143" s="76"/>
      <c r="T143" s="76"/>
      <c r="U143" s="76"/>
      <c r="V143" s="76"/>
      <c r="W143" s="76"/>
      <c r="X143" s="76"/>
      <c r="Y143" s="76"/>
      <c r="Z143" s="76"/>
      <c r="AA143" s="76"/>
      <c r="AB143" s="76"/>
      <c r="AC143" s="76"/>
      <c r="AD143" s="76"/>
    </row>
    <row r="144" spans="1:31">
      <c r="E144" s="43"/>
      <c r="F144" s="44"/>
      <c r="G144" s="45"/>
      <c r="H144" s="45"/>
      <c r="I144" s="44"/>
      <c r="J144" s="24"/>
      <c r="K144" s="23"/>
      <c r="L144" s="23"/>
      <c r="M144" s="23"/>
      <c r="N144" s="23"/>
      <c r="O144" s="76"/>
      <c r="P144" s="76"/>
      <c r="Q144" s="76"/>
      <c r="R144" s="76"/>
      <c r="S144" s="76"/>
      <c r="T144" s="76"/>
      <c r="U144" s="76"/>
      <c r="V144" s="76"/>
      <c r="W144" s="76" t="s">
        <v>114</v>
      </c>
      <c r="X144" s="94">
        <f>SUM(F130,K130,P130,U130,Z130)</f>
        <v>4433275.47</v>
      </c>
      <c r="Y144" s="76"/>
      <c r="Z144" s="76"/>
      <c r="AA144" s="76"/>
      <c r="AB144" s="76"/>
      <c r="AC144" s="76"/>
      <c r="AD144" s="76"/>
    </row>
    <row r="145" spans="5:30" ht="15.75">
      <c r="E145" s="43"/>
      <c r="F145" s="44"/>
      <c r="G145" s="45"/>
      <c r="H145" s="45"/>
      <c r="I145" s="44"/>
      <c r="J145" s="24">
        <f>J130-J148-J149</f>
        <v>1156831.7</v>
      </c>
      <c r="K145" s="24">
        <f>K130-K148-K149</f>
        <v>924057</v>
      </c>
      <c r="L145" s="24">
        <f>L130-L148-L149</f>
        <v>77053</v>
      </c>
      <c r="M145" s="24">
        <f>M130-M148-M149</f>
        <v>11434</v>
      </c>
      <c r="N145" s="23"/>
      <c r="O145" s="12">
        <f>O46-O46</f>
        <v>0</v>
      </c>
      <c r="P145" s="76"/>
      <c r="Q145" s="76"/>
      <c r="R145" s="76"/>
      <c r="S145" s="76"/>
      <c r="T145" s="76"/>
      <c r="U145" s="76"/>
      <c r="V145" s="76"/>
      <c r="W145" s="76" t="s">
        <v>115</v>
      </c>
      <c r="X145" s="76">
        <f>SUM(G130,L130,Q130,V130,AA130)</f>
        <v>460668.05</v>
      </c>
      <c r="Y145" s="76"/>
      <c r="Z145" s="76"/>
      <c r="AA145" s="76"/>
      <c r="AB145" s="76"/>
      <c r="AC145" s="76"/>
      <c r="AD145" s="76"/>
    </row>
    <row r="146" spans="5:30">
      <c r="E146" s="43"/>
      <c r="F146" s="44"/>
      <c r="G146" s="45"/>
      <c r="H146" s="45"/>
      <c r="I146" s="44"/>
      <c r="J146" s="24"/>
      <c r="K146" s="23"/>
      <c r="L146" s="23"/>
      <c r="M146" s="23"/>
      <c r="N146" s="23"/>
      <c r="O146" s="76"/>
      <c r="P146" s="76"/>
      <c r="Q146" s="76"/>
      <c r="R146" s="76"/>
      <c r="S146" s="76"/>
      <c r="T146" s="76"/>
      <c r="U146" s="76"/>
      <c r="V146" s="76"/>
      <c r="W146" s="76" t="s">
        <v>116</v>
      </c>
      <c r="X146" s="76">
        <f>SUM(H130,M130,R130,W130,AB130)</f>
        <v>48568.75</v>
      </c>
      <c r="Y146" s="76"/>
      <c r="Z146" s="76"/>
      <c r="AA146" s="76"/>
      <c r="AB146" s="76"/>
      <c r="AC146" s="76"/>
      <c r="AD146" s="76"/>
    </row>
    <row r="147" spans="5:30">
      <c r="E147" s="43"/>
      <c r="F147" s="44"/>
      <c r="G147" s="45"/>
      <c r="H147" s="45"/>
      <c r="I147" s="44"/>
      <c r="J147" s="24"/>
      <c r="K147" s="23"/>
      <c r="L147" s="23"/>
      <c r="M147" s="23"/>
      <c r="N147" s="23"/>
      <c r="O147" s="76"/>
      <c r="P147" s="76"/>
      <c r="Q147" s="76"/>
      <c r="R147" s="76"/>
      <c r="S147" s="76"/>
      <c r="T147" s="76"/>
      <c r="U147" s="76"/>
      <c r="V147" s="76"/>
      <c r="W147" s="76" t="s">
        <v>117</v>
      </c>
      <c r="X147" s="76">
        <f>SUM(I130,N130,S130,X130,AC130)</f>
        <v>813613.9</v>
      </c>
      <c r="Y147" s="76"/>
      <c r="Z147" s="76"/>
      <c r="AA147" s="76"/>
      <c r="AB147" s="76"/>
      <c r="AC147" s="76"/>
      <c r="AD147" s="76"/>
    </row>
    <row r="148" spans="5:30">
      <c r="E148" s="43"/>
      <c r="F148" s="44"/>
      <c r="G148" s="45"/>
      <c r="H148" s="45"/>
      <c r="I148" s="44" t="s">
        <v>230</v>
      </c>
      <c r="J148" s="24">
        <f>J50+J49</f>
        <v>2685</v>
      </c>
      <c r="K148" s="24">
        <f>K50+K49</f>
        <v>2685</v>
      </c>
      <c r="L148" s="24">
        <f t="shared" ref="L148:N148" si="98">L50+L49</f>
        <v>0</v>
      </c>
      <c r="M148" s="24">
        <f t="shared" si="98"/>
        <v>0</v>
      </c>
      <c r="N148" s="24">
        <f t="shared" si="98"/>
        <v>0</v>
      </c>
      <c r="O148" s="76"/>
      <c r="P148" s="76"/>
      <c r="Q148" s="76"/>
      <c r="R148" s="76"/>
      <c r="S148" s="76"/>
      <c r="T148" s="76"/>
      <c r="U148" s="76"/>
      <c r="V148" s="95" t="s">
        <v>114</v>
      </c>
      <c r="W148" s="76" t="s">
        <v>182</v>
      </c>
      <c r="X148" s="94">
        <f>X144-X149-X152</f>
        <v>4402335.7699999996</v>
      </c>
      <c r="Y148" s="76"/>
      <c r="Z148" s="76"/>
      <c r="AA148" s="76"/>
      <c r="AB148" s="76"/>
      <c r="AC148" s="76"/>
      <c r="AD148" s="76"/>
    </row>
    <row r="149" spans="5:30">
      <c r="E149" s="43"/>
      <c r="F149" s="44"/>
      <c r="G149" s="45"/>
      <c r="H149" s="45"/>
      <c r="I149" s="44" t="s">
        <v>231</v>
      </c>
      <c r="J149" s="24">
        <f>J38</f>
        <v>13547</v>
      </c>
      <c r="K149" s="24">
        <f t="shared" ref="K149:M149" si="99">K38</f>
        <v>13547</v>
      </c>
      <c r="L149" s="24">
        <f t="shared" si="99"/>
        <v>0</v>
      </c>
      <c r="M149" s="24">
        <f t="shared" si="99"/>
        <v>0</v>
      </c>
      <c r="N149" s="23"/>
      <c r="O149" s="76"/>
      <c r="P149" s="76"/>
      <c r="Q149" s="76"/>
      <c r="R149" s="76"/>
      <c r="S149" s="76"/>
      <c r="T149" s="76"/>
      <c r="U149" s="76"/>
      <c r="V149" s="95" t="s">
        <v>114</v>
      </c>
      <c r="W149" s="76" t="s">
        <v>184</v>
      </c>
      <c r="X149" s="76">
        <f>F39+P39+U39+Z39+F49+K49+P49+U49+Z49+F50+K50+P50+U50+Z50</f>
        <v>17392.7</v>
      </c>
      <c r="Y149" s="76"/>
      <c r="Z149" s="76"/>
      <c r="AA149" s="76"/>
      <c r="AB149" s="76"/>
      <c r="AC149" s="76"/>
      <c r="AD149" s="76"/>
    </row>
    <row r="150" spans="5:30">
      <c r="E150" s="43"/>
      <c r="F150" s="44"/>
      <c r="G150" s="45"/>
      <c r="H150" s="45"/>
      <c r="I150" s="44"/>
      <c r="J150" s="24"/>
      <c r="K150" s="23"/>
      <c r="L150" s="23"/>
      <c r="M150" s="23"/>
      <c r="N150" s="23"/>
      <c r="O150" s="76"/>
      <c r="P150" s="76"/>
      <c r="Q150" s="76"/>
      <c r="R150" s="76"/>
      <c r="S150" s="76"/>
      <c r="T150" s="76"/>
      <c r="U150" s="76"/>
      <c r="V150" s="95" t="s">
        <v>185</v>
      </c>
      <c r="W150" s="76" t="s">
        <v>186</v>
      </c>
      <c r="X150" s="76">
        <f>X145-G50-L50-Q50</f>
        <v>447414.75</v>
      </c>
      <c r="Y150" s="76"/>
      <c r="Z150" s="76"/>
      <c r="AA150" s="76"/>
      <c r="AB150" s="76"/>
      <c r="AC150" s="76"/>
      <c r="AD150" s="76"/>
    </row>
    <row r="151" spans="5:30">
      <c r="E151" s="43"/>
      <c r="F151" s="44"/>
      <c r="G151" s="45"/>
      <c r="H151" s="45"/>
      <c r="I151" s="44"/>
      <c r="J151" s="24">
        <f>K130-P130+2631.02</f>
        <v>-40883.149999999929</v>
      </c>
      <c r="K151" s="23"/>
      <c r="L151" s="23"/>
      <c r="M151" s="23"/>
      <c r="N151" s="23"/>
      <c r="O151" s="76"/>
      <c r="P151" s="76"/>
      <c r="Q151" s="76"/>
      <c r="R151" s="76"/>
      <c r="S151" s="76"/>
      <c r="T151" s="76"/>
      <c r="U151" s="76"/>
      <c r="V151" s="95" t="s">
        <v>185</v>
      </c>
      <c r="W151" s="76" t="s">
        <v>184</v>
      </c>
      <c r="X151" s="90">
        <f>G50+L50+Q50</f>
        <v>13253.3</v>
      </c>
      <c r="Y151" s="76"/>
      <c r="Z151" s="76"/>
      <c r="AA151" s="76"/>
      <c r="AB151" s="76"/>
      <c r="AC151" s="76"/>
      <c r="AD151" s="76"/>
    </row>
    <row r="152" spans="5:30">
      <c r="E152" s="43"/>
      <c r="F152" s="44"/>
      <c r="G152" s="45"/>
      <c r="H152" s="45"/>
      <c r="I152" s="44"/>
      <c r="J152" s="24"/>
      <c r="K152" s="23"/>
      <c r="L152" s="23"/>
      <c r="M152" s="23"/>
      <c r="N152" s="23"/>
      <c r="O152" s="76"/>
      <c r="P152" s="76"/>
      <c r="Q152" s="76"/>
      <c r="R152" s="76"/>
      <c r="S152" s="76"/>
      <c r="T152" s="76"/>
      <c r="U152" s="76"/>
      <c r="V152" s="95" t="s">
        <v>217</v>
      </c>
      <c r="W152" s="76" t="s">
        <v>216</v>
      </c>
      <c r="X152" s="76">
        <f>K38</f>
        <v>13547</v>
      </c>
      <c r="Y152" s="76"/>
      <c r="Z152" s="76"/>
      <c r="AA152" s="76"/>
      <c r="AB152" s="76"/>
      <c r="AC152" s="76"/>
      <c r="AD152" s="76"/>
    </row>
    <row r="153" spans="5:30">
      <c r="E153" s="43"/>
      <c r="F153" s="44"/>
      <c r="G153" s="45"/>
      <c r="H153" s="45"/>
      <c r="I153" s="44"/>
      <c r="J153" s="24"/>
      <c r="K153" s="23"/>
      <c r="L153" s="23"/>
      <c r="M153" s="23"/>
      <c r="N153" s="23"/>
      <c r="O153" s="76"/>
      <c r="P153" s="76"/>
      <c r="Q153" s="76"/>
      <c r="R153" s="76"/>
      <c r="S153" s="76"/>
      <c r="T153" s="76"/>
      <c r="U153" s="76"/>
      <c r="V153" s="76"/>
      <c r="W153" s="76"/>
      <c r="X153" s="76"/>
      <c r="Y153" s="76"/>
      <c r="Z153" s="76"/>
      <c r="AA153" s="76"/>
      <c r="AB153" s="76"/>
      <c r="AC153" s="76"/>
      <c r="AD153" s="76"/>
    </row>
    <row r="154" spans="5:30">
      <c r="E154" s="43"/>
      <c r="F154" s="44"/>
      <c r="G154" s="45"/>
      <c r="H154" s="45"/>
      <c r="I154" s="44"/>
      <c r="J154" s="24"/>
      <c r="K154" s="23"/>
      <c r="L154" s="23"/>
      <c r="M154" s="23"/>
      <c r="N154" s="23"/>
      <c r="O154" s="76"/>
      <c r="P154" s="76"/>
      <c r="Q154" s="76"/>
      <c r="R154" s="76"/>
      <c r="S154" s="76"/>
      <c r="T154" s="76"/>
      <c r="U154" s="76"/>
      <c r="V154" s="76"/>
      <c r="W154" s="76"/>
      <c r="X154" s="76"/>
      <c r="Y154" s="76"/>
      <c r="Z154" s="76"/>
      <c r="AA154" s="76"/>
      <c r="AB154" s="76"/>
      <c r="AC154" s="76"/>
      <c r="AD154" s="76"/>
    </row>
  </sheetData>
  <mergeCells count="46">
    <mergeCell ref="A122:A124"/>
    <mergeCell ref="Y6:AD6"/>
    <mergeCell ref="D76:D82"/>
    <mergeCell ref="D102:D120"/>
    <mergeCell ref="C122:C124"/>
    <mergeCell ref="D122:D124"/>
    <mergeCell ref="C102:C120"/>
    <mergeCell ref="C97:C100"/>
    <mergeCell ref="D98:D100"/>
    <mergeCell ref="B26:C26"/>
    <mergeCell ref="B32:C32"/>
    <mergeCell ref="C76:C82"/>
    <mergeCell ref="B70:C70"/>
    <mergeCell ref="A102:A120"/>
    <mergeCell ref="AD7:AD8"/>
    <mergeCell ref="Y7:AC7"/>
    <mergeCell ref="A41:A45"/>
    <mergeCell ref="D12:D15"/>
    <mergeCell ref="A90:A96"/>
    <mergeCell ref="B93:B94"/>
    <mergeCell ref="A35:A39"/>
    <mergeCell ref="C35:C37"/>
    <mergeCell ref="D35:D37"/>
    <mergeCell ref="T7:X7"/>
    <mergeCell ref="B10:C10"/>
    <mergeCell ref="A6:A8"/>
    <mergeCell ref="C6:C8"/>
    <mergeCell ref="B6:B8"/>
    <mergeCell ref="O7:S7"/>
    <mergeCell ref="O6:X6"/>
    <mergeCell ref="A97:A100"/>
    <mergeCell ref="F1:M1"/>
    <mergeCell ref="D6:D8"/>
    <mergeCell ref="J7:N7"/>
    <mergeCell ref="F2:L2"/>
    <mergeCell ref="E7:I7"/>
    <mergeCell ref="E6:N6"/>
    <mergeCell ref="A76:A82"/>
    <mergeCell ref="B89:C89"/>
    <mergeCell ref="B58:C58"/>
    <mergeCell ref="B3:D3"/>
    <mergeCell ref="B11:C11"/>
    <mergeCell ref="B13:B14"/>
    <mergeCell ref="C12:C16"/>
    <mergeCell ref="D42:D44"/>
    <mergeCell ref="C90:C96"/>
  </mergeCells>
  <phoneticPr fontId="3" type="noConversion"/>
  <pageMargins left="0.43307086614173229" right="0.23622047244094491" top="0.74803149606299213" bottom="0.74803149606299213" header="0.31496062992125984" footer="0.31496062992125984"/>
  <pageSetup paperSize="9" scale="50" firstPageNumber="21" fitToWidth="0" fitToHeight="0" orientation="landscape" useFirstPageNumber="1" r:id="rId1"/>
  <headerFooter>
    <oddHeader>&amp;C&amp;P</oddHeader>
  </headerFooter>
  <rowBreaks count="5" manualBreakCount="5">
    <brk id="22" max="29" man="1"/>
    <brk id="35" max="29" man="1"/>
    <brk id="49" max="29" man="1"/>
    <brk id="100" max="29" man="1"/>
    <brk id="125" max="29" man="1"/>
  </rowBreaks>
</worksheet>
</file>

<file path=xl/worksheets/sheet2.xml><?xml version="1.0" encoding="utf-8"?>
<worksheet xmlns="http://schemas.openxmlformats.org/spreadsheetml/2006/main" xmlns:r="http://schemas.openxmlformats.org/officeDocument/2006/relationships">
  <dimension ref="A4:M8"/>
  <sheetViews>
    <sheetView workbookViewId="0">
      <selection activeCell="H13" sqref="H13"/>
    </sheetView>
  </sheetViews>
  <sheetFormatPr defaultRowHeight="1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124" customFormat="1" ht="47.25">
      <c r="A4" s="120"/>
      <c r="B4" s="120"/>
      <c r="C4" s="120"/>
      <c r="D4" s="120"/>
      <c r="E4" s="120"/>
      <c r="F4" s="120"/>
      <c r="G4" s="121" t="s">
        <v>286</v>
      </c>
      <c r="H4" s="122" t="s">
        <v>287</v>
      </c>
      <c r="I4" s="122" t="s">
        <v>285</v>
      </c>
      <c r="J4" s="122"/>
      <c r="K4" s="122" t="s">
        <v>1</v>
      </c>
      <c r="L4" s="120"/>
      <c r="M4" s="123" t="s">
        <v>20</v>
      </c>
    </row>
    <row r="5" spans="1:13" s="124" customFormat="1" ht="16.5" thickBot="1">
      <c r="A5" s="125" t="s">
        <v>282</v>
      </c>
      <c r="B5" s="126">
        <v>1913289</v>
      </c>
      <c r="C5" s="126">
        <v>102</v>
      </c>
      <c r="D5" s="126">
        <v>1.02</v>
      </c>
      <c r="E5" s="127">
        <v>1956792.23</v>
      </c>
      <c r="F5" s="126">
        <v>11.2</v>
      </c>
      <c r="G5" s="128">
        <f>H5+I5</f>
        <v>1913665.08</v>
      </c>
      <c r="H5" s="128">
        <v>1224745.6499999999</v>
      </c>
      <c r="I5" s="129">
        <v>688919.43</v>
      </c>
      <c r="J5" s="130">
        <v>1914</v>
      </c>
      <c r="K5" s="131">
        <f>ROUND(((H5+I5)*100/99),2)</f>
        <v>1932995.03</v>
      </c>
      <c r="L5" s="132">
        <f>I5/G5*100</f>
        <v>36.000000062706903</v>
      </c>
      <c r="M5" s="131">
        <f>K5-G5</f>
        <v>19329.949999999953</v>
      </c>
    </row>
    <row r="6" spans="1:13" s="124" customFormat="1" ht="16.5" thickBot="1">
      <c r="A6" s="125" t="s">
        <v>283</v>
      </c>
      <c r="B6" s="126">
        <v>391677</v>
      </c>
      <c r="C6" s="126">
        <v>102</v>
      </c>
      <c r="D6" s="126">
        <v>1.02</v>
      </c>
      <c r="E6" s="127">
        <v>400582.72</v>
      </c>
      <c r="F6" s="126">
        <v>2.2999999999999998</v>
      </c>
      <c r="G6" s="133">
        <f t="shared" ref="G6:G7" si="0">H6+I6</f>
        <v>391753.98</v>
      </c>
      <c r="H6" s="128">
        <v>250722.55</v>
      </c>
      <c r="I6" s="129">
        <v>141031.43</v>
      </c>
      <c r="J6" s="130">
        <v>392</v>
      </c>
      <c r="K6" s="134">
        <f t="shared" ref="K6:K7" si="1">ROUND(((H6+I6)*100/99),2)</f>
        <v>395711.09</v>
      </c>
      <c r="L6" s="122">
        <f t="shared" ref="L6:L7" si="2">I6/G6*100</f>
        <v>35.999999285265716</v>
      </c>
      <c r="M6" s="134">
        <f t="shared" ref="M6:M7" si="3">K6-G6</f>
        <v>3957.1100000000442</v>
      </c>
    </row>
    <row r="7" spans="1:13" s="124" customFormat="1" ht="16.5" thickBot="1">
      <c r="A7" s="125" t="s">
        <v>284</v>
      </c>
      <c r="B7" s="126">
        <v>905537</v>
      </c>
      <c r="C7" s="126">
        <v>102</v>
      </c>
      <c r="D7" s="126">
        <v>1.02</v>
      </c>
      <c r="E7" s="127">
        <v>926126.56</v>
      </c>
      <c r="F7" s="126">
        <v>5.3</v>
      </c>
      <c r="G7" s="133">
        <f t="shared" si="0"/>
        <v>905714.99</v>
      </c>
      <c r="H7" s="128">
        <v>579657.59</v>
      </c>
      <c r="I7" s="129">
        <v>326057.40000000002</v>
      </c>
      <c r="J7" s="130">
        <v>906</v>
      </c>
      <c r="K7" s="134">
        <f t="shared" si="1"/>
        <v>914863.63</v>
      </c>
      <c r="L7" s="122">
        <f t="shared" si="2"/>
        <v>36.000000397476036</v>
      </c>
      <c r="M7" s="134">
        <f t="shared" si="3"/>
        <v>9148.640000000014</v>
      </c>
    </row>
    <row r="8" spans="1:13" s="124" customFormat="1" ht="15.75">
      <c r="B8" s="124">
        <f>SUM(B5:B7)</f>
        <v>3210503</v>
      </c>
      <c r="C8" s="124">
        <f t="shared" ref="C8:K8" si="4">SUM(C5:C7)</f>
        <v>306</v>
      </c>
      <c r="D8" s="124">
        <f t="shared" si="4"/>
        <v>3.06</v>
      </c>
      <c r="E8" s="124">
        <f t="shared" si="4"/>
        <v>3283501.5100000002</v>
      </c>
      <c r="F8" s="124">
        <f t="shared" si="4"/>
        <v>18.8</v>
      </c>
      <c r="G8" s="135">
        <f t="shared" si="4"/>
        <v>3211134.05</v>
      </c>
      <c r="H8" s="135">
        <f t="shared" si="4"/>
        <v>2055125.79</v>
      </c>
      <c r="I8" s="135">
        <f t="shared" si="4"/>
        <v>1156008.2600000002</v>
      </c>
      <c r="J8" s="135">
        <f t="shared" si="4"/>
        <v>3212</v>
      </c>
      <c r="K8" s="135">
        <f t="shared" si="4"/>
        <v>3243569.75</v>
      </c>
      <c r="L8" s="135">
        <f t="shared" ref="L8" si="5">SUM(L5:L7)</f>
        <v>107.99999974544866</v>
      </c>
      <c r="M8" s="135">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2022-02-14T06:48:03Z</cp:lastPrinted>
  <dcterms:created xsi:type="dcterms:W3CDTF">2013-07-24T10:56:02Z</dcterms:created>
  <dcterms:modified xsi:type="dcterms:W3CDTF">2022-02-16T07:20:35Z</dcterms:modified>
</cp:coreProperties>
</file>