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25" windowWidth="12345" windowHeight="6675" firstSheet="4" activeTab="6"/>
  </bookViews>
  <sheets>
    <sheet name="1-1 раб культ" sheetId="1" r:id="rId1"/>
    <sheet name="2-2 общеотр. культ" sheetId="2" r:id="rId2"/>
    <sheet name="3-3 культура" sheetId="3" r:id="rId3"/>
    <sheet name="4-4 раб обр" sheetId="11" r:id="rId4"/>
    <sheet name="5-5 общеотр. образ" sheetId="12" r:id="rId5"/>
    <sheet name="6-6 образ школ" sheetId="13" r:id="rId6"/>
    <sheet name="7-15 культ в образ" sheetId="14" r:id="rId7"/>
  </sheets>
  <definedNames>
    <definedName name="_xlnm.Print_Titles" localSheetId="1">'2-2 общеотр. культ'!$17:$17</definedName>
    <definedName name="_xlnm.Print_Titles" localSheetId="2">'3-3 культура'!$16:$16</definedName>
    <definedName name="_xlnm.Print_Titles" localSheetId="3">'4-4 раб обр'!$26:$27</definedName>
    <definedName name="_xlnm.Print_Titles" localSheetId="4">'5-5 общеотр. образ'!$17:$17</definedName>
  </definedNames>
  <calcPr calcId="162913"/>
</workbook>
</file>

<file path=xl/calcChain.xml><?xml version="1.0" encoding="utf-8"?>
<calcChain xmlns="http://schemas.openxmlformats.org/spreadsheetml/2006/main">
  <c r="D34" i="14"/>
  <c r="F33"/>
  <c r="E33"/>
  <c r="D31"/>
  <c r="G30"/>
  <c r="F30"/>
  <c r="E30"/>
  <c r="G24"/>
  <c r="F24"/>
  <c r="E24"/>
  <c r="D24"/>
  <c r="F23"/>
  <c r="E23"/>
  <c r="F22"/>
  <c r="E22"/>
  <c r="D22"/>
  <c r="G21"/>
  <c r="F21"/>
  <c r="E21"/>
  <c r="D21"/>
  <c r="D19"/>
  <c r="D17"/>
  <c r="G25" i="13"/>
  <c r="E27"/>
  <c r="F25"/>
  <c r="E25"/>
  <c r="G22"/>
  <c r="F22"/>
  <c r="E22"/>
  <c r="G19"/>
  <c r="F19"/>
  <c r="E19"/>
  <c r="E18"/>
  <c r="E17"/>
  <c r="D78" i="12"/>
  <c r="D77"/>
  <c r="D76"/>
  <c r="G75"/>
  <c r="F75"/>
  <c r="D75"/>
  <c r="G74"/>
  <c r="F74"/>
  <c r="D74"/>
  <c r="D73"/>
  <c r="D72"/>
  <c r="D71"/>
  <c r="G70"/>
  <c r="F70"/>
  <c r="E70"/>
  <c r="D70"/>
  <c r="D69"/>
  <c r="D68"/>
  <c r="D67"/>
  <c r="D57"/>
  <c r="F53"/>
  <c r="D56"/>
  <c r="G53"/>
  <c r="E53"/>
  <c r="D53"/>
  <c r="G47"/>
  <c r="F47"/>
  <c r="D47"/>
  <c r="D40"/>
  <c r="D38"/>
  <c r="D37"/>
  <c r="D36"/>
  <c r="D32"/>
  <c r="D27"/>
  <c r="G25"/>
  <c r="F25"/>
  <c r="D25"/>
  <c r="D24"/>
  <c r="D18"/>
  <c r="C21" i="11"/>
  <c r="C20"/>
  <c r="C19"/>
  <c r="C18"/>
  <c r="C17"/>
  <c r="G64" i="3"/>
  <c r="F64"/>
  <c r="D118"/>
  <c r="G115"/>
  <c r="F115"/>
  <c r="D110"/>
  <c r="F108"/>
  <c r="E108"/>
  <c r="D104"/>
  <c r="D100"/>
  <c r="D99"/>
  <c r="F98"/>
  <c r="E98"/>
  <c r="F97"/>
  <c r="E97"/>
  <c r="H94"/>
  <c r="G94"/>
  <c r="F94"/>
  <c r="E94"/>
  <c r="D90"/>
  <c r="D85"/>
  <c r="D83"/>
  <c r="D81"/>
  <c r="D80"/>
  <c r="D79"/>
  <c r="D78"/>
  <c r="G70"/>
  <c r="F70"/>
  <c r="E70"/>
  <c r="H63"/>
  <c r="G63"/>
  <c r="F63"/>
  <c r="E63"/>
  <c r="F57"/>
  <c r="E57"/>
  <c r="F56"/>
  <c r="E56"/>
  <c r="D56"/>
  <c r="F44"/>
  <c r="E44"/>
  <c r="D44"/>
  <c r="G38"/>
  <c r="F38"/>
  <c r="E38"/>
  <c r="D38"/>
  <c r="G35"/>
  <c r="F35"/>
  <c r="E35"/>
  <c r="F33"/>
  <c r="E33"/>
  <c r="F29"/>
  <c r="E29"/>
  <c r="D29"/>
  <c r="D21"/>
  <c r="D20"/>
  <c r="D17"/>
  <c r="D76" i="2"/>
  <c r="D75"/>
  <c r="D74"/>
  <c r="G73"/>
  <c r="F73"/>
  <c r="D73"/>
  <c r="D72"/>
  <c r="D71"/>
  <c r="D70"/>
  <c r="D69"/>
  <c r="G68"/>
  <c r="F68"/>
  <c r="E68"/>
  <c r="D68"/>
  <c r="D67"/>
  <c r="D66"/>
  <c r="D65"/>
  <c r="D56"/>
  <c r="D55"/>
  <c r="G52"/>
  <c r="F52"/>
  <c r="E52"/>
  <c r="D52"/>
  <c r="G47"/>
  <c r="F47"/>
  <c r="D47"/>
  <c r="D40"/>
  <c r="D39"/>
  <c r="D38"/>
  <c r="D37"/>
  <c r="D33"/>
  <c r="D28"/>
  <c r="G26"/>
  <c r="F26"/>
  <c r="D26"/>
  <c r="D25"/>
  <c r="D18"/>
  <c r="C67" i="1"/>
  <c r="C66"/>
  <c r="C65"/>
  <c r="C21"/>
  <c r="C20"/>
  <c r="C19"/>
  <c r="C18"/>
  <c r="C17"/>
  <c r="E64" i="3" l="1"/>
  <c r="D64"/>
</calcChain>
</file>

<file path=xl/sharedStrings.xml><?xml version="1.0" encoding="utf-8"?>
<sst xmlns="http://schemas.openxmlformats.org/spreadsheetml/2006/main" count="935" uniqueCount="365">
  <si>
    <t>Приложение № 1</t>
  </si>
  <si>
    <t>к постановлению администрации</t>
  </si>
  <si>
    <t>городского округа Тольятти</t>
  </si>
  <si>
    <t>от_______________№ _________</t>
  </si>
  <si>
    <t xml:space="preserve">к Положению об оплате труда работников </t>
  </si>
  <si>
    <t xml:space="preserve">муниципальных учреждений, находящихся в </t>
  </si>
  <si>
    <t xml:space="preserve">ведомственном подчинении департамента культуры </t>
  </si>
  <si>
    <t>администрации городского округа Тольятти</t>
  </si>
  <si>
    <t>Таблица № 1</t>
  </si>
  <si>
    <t>Должностные оклады по  тарифным разрядам профессий рабочих учреждений культуры и искусства</t>
  </si>
  <si>
    <t>Тарифные разряды профессий рабочих</t>
  </si>
  <si>
    <t>Размер должностного оклада, руб.</t>
  </si>
  <si>
    <t>2</t>
  </si>
  <si>
    <t>Профессии рабочих 1, 2, 3 тарифного разряда в соответствии с Единым тарифно-квалификационным справочником работ и профессий рабочих</t>
  </si>
  <si>
    <t xml:space="preserve">Профессии рабочих 1, 2, 3 тарифного разряда при выполнении работ по профессии с производным наименованием "старший" </t>
  </si>
  <si>
    <t>Профессии рабочих 4, 5 тарифного разряда в соответствии с Единым тарифно-квалификационным справочником работ и профессий рабочих</t>
  </si>
  <si>
    <t>Профессии рабочих 6, 7  тарифного разряда в соответствии с Единым тарифно-квалификационным справочником работ и профессий рабочих</t>
  </si>
  <si>
    <t>Профессии рабочих 8 тарифного разряда в соответствии с Единым тарифно-квалификационным справочником работ и профессий рабочих</t>
  </si>
  <si>
    <t>Таблица № 2</t>
  </si>
  <si>
    <t>Перечень наименований профессий рабочих</t>
  </si>
  <si>
    <t xml:space="preserve">Наименование </t>
  </si>
  <si>
    <t>Тарифный разряд по ЕТКС</t>
  </si>
  <si>
    <t>выпуск ЕТКС</t>
  </si>
  <si>
    <t>Бутафор</t>
  </si>
  <si>
    <t>1-6</t>
  </si>
  <si>
    <t>культура</t>
  </si>
  <si>
    <t>Гример-пастижер</t>
  </si>
  <si>
    <t>2-6</t>
  </si>
  <si>
    <t>Закройщик</t>
  </si>
  <si>
    <t>4-7</t>
  </si>
  <si>
    <t>швейное пр-во</t>
  </si>
  <si>
    <t>Кассир билетный</t>
  </si>
  <si>
    <t>2-3</t>
  </si>
  <si>
    <t>общие</t>
  </si>
  <si>
    <t>Киномеханик</t>
  </si>
  <si>
    <t>Кладовщик</t>
  </si>
  <si>
    <t>1-2</t>
  </si>
  <si>
    <t>Костюмер</t>
  </si>
  <si>
    <t>Макетчик театрально-постановочных макетов</t>
  </si>
  <si>
    <t>3-7</t>
  </si>
  <si>
    <t>рекл-оформит и макет.работы</t>
  </si>
  <si>
    <t>Маляр по отделке декораций</t>
  </si>
  <si>
    <t>Машинист сцены</t>
  </si>
  <si>
    <t>3-5</t>
  </si>
  <si>
    <t>Механик по обслуживанию звуковой техники</t>
  </si>
  <si>
    <t>2-7</t>
  </si>
  <si>
    <t>Монтировщик сцены</t>
  </si>
  <si>
    <t>3</t>
  </si>
  <si>
    <t>3-6</t>
  </si>
  <si>
    <t>Осветитель</t>
  </si>
  <si>
    <t>3-8</t>
  </si>
  <si>
    <t>Пастижер</t>
  </si>
  <si>
    <t>Переплетчик</t>
  </si>
  <si>
    <t>полиграф.пр-во</t>
  </si>
  <si>
    <t>Плотник</t>
  </si>
  <si>
    <t>ремонтно-строит.работы</t>
  </si>
  <si>
    <t>Рабочий зеленого строительства</t>
  </si>
  <si>
    <t>Реквизитор</t>
  </si>
  <si>
    <t>Реставратор архивных и библиотечных материалов</t>
  </si>
  <si>
    <t>Рихтовщик кузовов</t>
  </si>
  <si>
    <t>Садовник</t>
  </si>
  <si>
    <t>Слесарь механосборочных работ</t>
  </si>
  <si>
    <t>Столяр</t>
  </si>
  <si>
    <t>деревообработка</t>
  </si>
  <si>
    <t>Столяр по изготовлению декораций</t>
  </si>
  <si>
    <t>Тракторист</t>
  </si>
  <si>
    <t>2-5</t>
  </si>
  <si>
    <t>Установщик декораций</t>
  </si>
  <si>
    <t>Швея</t>
  </si>
  <si>
    <t>Пожарный</t>
  </si>
  <si>
    <t>4-5</t>
  </si>
  <si>
    <t>_________________________</t>
  </si>
  <si>
    <t>Приложение № 2</t>
  </si>
  <si>
    <t>Должностные оклады по профессиональным квалификационным группам общеотраслевых должностей руководителей, специалистов и служащих  учреждений культуры и искусства</t>
  </si>
  <si>
    <t xml:space="preserve">Наименование профессиональной квалификационной группы (ПКГ) </t>
  </si>
  <si>
    <t>Квалификационные уровни</t>
  </si>
  <si>
    <t>Должности, отнесенные к квалификационным уровням</t>
  </si>
  <si>
    <t>Размер должностного оклада, руб и квалификационные категории</t>
  </si>
  <si>
    <t>квалификационная категория отсутствует</t>
  </si>
  <si>
    <t>III категория</t>
  </si>
  <si>
    <t>II категория</t>
  </si>
  <si>
    <t>I категория</t>
  </si>
  <si>
    <t>ПКГ Общеотраслевые должности служащих первого уровня</t>
  </si>
  <si>
    <t>Агент по снабжению</t>
  </si>
  <si>
    <t>Х</t>
  </si>
  <si>
    <t>Архивариус</t>
  </si>
  <si>
    <t>Делопроизводитель</t>
  </si>
  <si>
    <t>Кассир</t>
  </si>
  <si>
    <t>Комендант</t>
  </si>
  <si>
    <t>Секретарь</t>
  </si>
  <si>
    <t>Секретарь-машинистка</t>
  </si>
  <si>
    <t>Старший кассир</t>
  </si>
  <si>
    <t>ПКГ Общеотраслевые должности служащих второго уровня</t>
  </si>
  <si>
    <t>1,2,3</t>
  </si>
  <si>
    <t>Техник</t>
  </si>
  <si>
    <t>Художник</t>
  </si>
  <si>
    <t>Администратор</t>
  </si>
  <si>
    <t>Инспектор по кадрам</t>
  </si>
  <si>
    <t>Диспетчер</t>
  </si>
  <si>
    <t>Лаборант</t>
  </si>
  <si>
    <t>Секретарь руководителя</t>
  </si>
  <si>
    <t>Заведующий хозяйством</t>
  </si>
  <si>
    <t>Заведующий складом</t>
  </si>
  <si>
    <t>Старший администратор</t>
  </si>
  <si>
    <t>Старший лаборант</t>
  </si>
  <si>
    <t>Начальник хозяйственного отдела</t>
  </si>
  <si>
    <t xml:space="preserve">Механик
</t>
  </si>
  <si>
    <t>Начальник (заведующий) мастерской</t>
  </si>
  <si>
    <t>ПКГ Общеотраслевые должности служащих третьего уровня</t>
  </si>
  <si>
    <t>Менеджер</t>
  </si>
  <si>
    <t>Менеджер по персоналу</t>
  </si>
  <si>
    <t>Менеджер по рекламе</t>
  </si>
  <si>
    <t>Менеджер по связям с общественностью</t>
  </si>
  <si>
    <t>Специалист по кадрам</t>
  </si>
  <si>
    <t>Специалист по маркетингу</t>
  </si>
  <si>
    <t>Специалист по связям  с общественностью</t>
  </si>
  <si>
    <t>Бухгалтер</t>
  </si>
  <si>
    <t>Психолог</t>
  </si>
  <si>
    <t>Экономист</t>
  </si>
  <si>
    <t>Инженер</t>
  </si>
  <si>
    <t>Юрисконсульт</t>
  </si>
  <si>
    <t>Инженер-электроник (электроник)</t>
  </si>
  <si>
    <t>Инженер-программист (программист)</t>
  </si>
  <si>
    <t>Инженер-технолог (технолог)</t>
  </si>
  <si>
    <t xml:space="preserve">Заместитель главного бухгалтера
</t>
  </si>
  <si>
    <t>ПКГ Общеотраслевые должности служащих четвертого уровня</t>
  </si>
  <si>
    <t xml:space="preserve">Директор (начальник, заведующий) филиала, другого обособленного структурного подразделения
</t>
  </si>
  <si>
    <t>Должностные оклады по общеотраслевым должностям руководителей, специалистов и служащих учреждений культуры и искусства, не отнесенным к профессиональным квалификационным группам</t>
  </si>
  <si>
    <t>Должности, не отнесенные к квалификационным уровням</t>
  </si>
  <si>
    <t>Заместитель директора (по направлениям деятельности)</t>
  </si>
  <si>
    <t>Главный бухгалтер</t>
  </si>
  <si>
    <t>Главный инженер</t>
  </si>
  <si>
    <t>Начальник (заведующий) группы (цеха, службы, части)</t>
  </si>
  <si>
    <t>Художник-конструктор (дизайнер)</t>
  </si>
  <si>
    <t>Контент-редактор</t>
  </si>
  <si>
    <t>Модератор</t>
  </si>
  <si>
    <t>Специалист по персоналу</t>
  </si>
  <si>
    <t xml:space="preserve">Специалист </t>
  </si>
  <si>
    <t>Специалист по охране труда</t>
  </si>
  <si>
    <t>Системный администратор</t>
  </si>
  <si>
    <t>Специалист по закупкам</t>
  </si>
  <si>
    <t>Начальник (заведующий) отдела (лаборатории, бюро, сектора)</t>
  </si>
  <si>
    <t>Приложение № 3</t>
  </si>
  <si>
    <t>Должностные оклады по  должностям работников культуры, искусства и кинематографии  учреждений культуры и искусства</t>
  </si>
  <si>
    <t>№ п/п</t>
  </si>
  <si>
    <t>Должности работников культуры, искусства и кинематографии</t>
  </si>
  <si>
    <t>Квалификационные категории</t>
  </si>
  <si>
    <t>Размер должностного оклада, руб. и квалификационные категории</t>
  </si>
  <si>
    <t>2 категория</t>
  </si>
  <si>
    <t xml:space="preserve">1 категория </t>
  </si>
  <si>
    <t>высшая/     ведущий</t>
  </si>
  <si>
    <t>ведущий мастер сцены</t>
  </si>
  <si>
    <t>Смотритель выставочного зала</t>
  </si>
  <si>
    <t>Музейный смотритель</t>
  </si>
  <si>
    <t>Контролер билетов</t>
  </si>
  <si>
    <t xml:space="preserve">Артист вспомогательного состава </t>
  </si>
  <si>
    <t>Заведующий билетными кассами</t>
  </si>
  <si>
    <t>Заведующий билетным хозяйством</t>
  </si>
  <si>
    <t>Заведующий костюмерной</t>
  </si>
  <si>
    <t>Организатор экскурсий</t>
  </si>
  <si>
    <t>Суфлер</t>
  </si>
  <si>
    <t>Техник по звукозаписи</t>
  </si>
  <si>
    <t>Художник-оформитель</t>
  </si>
  <si>
    <t>Художник-оформитель игровых кукол</t>
  </si>
  <si>
    <t>Культорганизатор</t>
  </si>
  <si>
    <t>I,  II категория, без категории</t>
  </si>
  <si>
    <t xml:space="preserve">Руководитель кружка </t>
  </si>
  <si>
    <t xml:space="preserve">Руководитель клубного формирования (любительского объединения, студии, коллектива самодеятельного искуства, клуба по интересам) </t>
  </si>
  <si>
    <t xml:space="preserve">Художник-фотограф </t>
  </si>
  <si>
    <t>Ассистенты: балетмейстера, дирижера, режиссера, хормейстера</t>
  </si>
  <si>
    <t>I, II категории</t>
  </si>
  <si>
    <t>Репетитор по технике речи</t>
  </si>
  <si>
    <t xml:space="preserve">Специалист по методике клубной работы </t>
  </si>
  <si>
    <t>Ведущий, I,  II категория</t>
  </si>
  <si>
    <t xml:space="preserve">Специалист по фольклору </t>
  </si>
  <si>
    <t xml:space="preserve">Специалист по жанрам творчества </t>
  </si>
  <si>
    <t>Библиограф</t>
  </si>
  <si>
    <t>Ведущий, I,  II категория, без категории</t>
  </si>
  <si>
    <t>Библиотекарь</t>
  </si>
  <si>
    <t xml:space="preserve">Методист централизованной библиотечной системы, библиотеки,  музея, культурно-досуговой организации </t>
  </si>
  <si>
    <t xml:space="preserve">Менеджер культурно-досуговой организации </t>
  </si>
  <si>
    <t xml:space="preserve">Менеджер по культурно-массовому досугу </t>
  </si>
  <si>
    <t>Специалист по учетно- хранительской документации в библиотеках</t>
  </si>
  <si>
    <t>Библиотекарь-каталогизатор</t>
  </si>
  <si>
    <t>Лектор</t>
  </si>
  <si>
    <t>Методист по музейно-образовательной деятельности музея</t>
  </si>
  <si>
    <t>Методист по научно-просветительской деятельности музея</t>
  </si>
  <si>
    <t xml:space="preserve">Редактор централизованной библиотечной системы, библиотеки,  музея, культурно-досуговой организации </t>
  </si>
  <si>
    <t>Редактор электронных баз данных музея</t>
  </si>
  <si>
    <t>Специалист по учету музейных предметов</t>
  </si>
  <si>
    <t>Специалист по обеспечению сохранности музейных предметов</t>
  </si>
  <si>
    <t>Специалист по обеспечению сохранности объектов культурного наследия</t>
  </si>
  <si>
    <t>Специалист по экспозиционной и выставочной деятельности музея</t>
  </si>
  <si>
    <t>Специалист по библиотечно-выставочной работе</t>
  </si>
  <si>
    <t>Экскурсовод</t>
  </si>
  <si>
    <t>Хранитель музейных предметов</t>
  </si>
  <si>
    <t xml:space="preserve">Аранжировщик </t>
  </si>
  <si>
    <t>I,  II категория</t>
  </si>
  <si>
    <t xml:space="preserve">Звукооператор </t>
  </si>
  <si>
    <t xml:space="preserve">Помощник режиссера </t>
  </si>
  <si>
    <t xml:space="preserve">Редактор музыкальный </t>
  </si>
  <si>
    <t xml:space="preserve">Репетитор по балету </t>
  </si>
  <si>
    <t xml:space="preserve">Репетитор по вокалу  </t>
  </si>
  <si>
    <t>Ведущий мастер сцены, высшая, I,  II категория</t>
  </si>
  <si>
    <t>Балетмейстер хореографического коллектива (студии)</t>
  </si>
  <si>
    <t>Высшая, I,  II категория, без категории</t>
  </si>
  <si>
    <t xml:space="preserve">Дирижер  в культурно-досуговой организации </t>
  </si>
  <si>
    <t xml:space="preserve">Режиссер любительского тетра (студии) </t>
  </si>
  <si>
    <t xml:space="preserve">Режиссер массовых представлений </t>
  </si>
  <si>
    <t>Хормейстер любительского вокального или хорового коллектива (студии)</t>
  </si>
  <si>
    <t xml:space="preserve">Художник-постановщик  в культурно-досуговой организации </t>
  </si>
  <si>
    <t xml:space="preserve">Художник по свету </t>
  </si>
  <si>
    <t>Высшая, I,  II категория</t>
  </si>
  <si>
    <t>Художник-бутафор</t>
  </si>
  <si>
    <t xml:space="preserve">Художник-гример </t>
  </si>
  <si>
    <t xml:space="preserve">Художник-декоратор </t>
  </si>
  <si>
    <t xml:space="preserve">Художник-конструктор </t>
  </si>
  <si>
    <t xml:space="preserve">Художник-модельер театрального костюма </t>
  </si>
  <si>
    <t xml:space="preserve">Художник-скульптор </t>
  </si>
  <si>
    <t xml:space="preserve">Художник-технолог сцены </t>
  </si>
  <si>
    <t>Младший научный сотрудник музея</t>
  </si>
  <si>
    <t>Научный сотрудник музея</t>
  </si>
  <si>
    <t>Старший научный сотрудник музея</t>
  </si>
  <si>
    <t>Аккомпаниатор</t>
  </si>
  <si>
    <t>Ведущий дискотеки</t>
  </si>
  <si>
    <t>Музыкальный служитель</t>
  </si>
  <si>
    <t>Руководитель музыкальной части дискотеки</t>
  </si>
  <si>
    <t>Администратор (старший администратор)</t>
  </si>
  <si>
    <t xml:space="preserve">Помощник директора музея, библиотеки, централизованной библиотечной системы,  организации исполнительских искусств </t>
  </si>
  <si>
    <t>Редактор</t>
  </si>
  <si>
    <t xml:space="preserve">Светооператор </t>
  </si>
  <si>
    <t>Эксперт по комплектованию библиотечных фондов</t>
  </si>
  <si>
    <t>Главный библиограф</t>
  </si>
  <si>
    <t>Главный библиотекарь</t>
  </si>
  <si>
    <t xml:space="preserve">Заведующий труппой </t>
  </si>
  <si>
    <t xml:space="preserve">Помощник главного режиссера (главного дирижера, главного балетмейстера, художественного руководителя) </t>
  </si>
  <si>
    <t>Лектор-искусствовед (музыковед)</t>
  </si>
  <si>
    <t>Артист драмы</t>
  </si>
  <si>
    <t>Артист (кукловод) театра кукол</t>
  </si>
  <si>
    <t>Концермейстер по классу вокала (балета) в организациях исполнительских искусств</t>
  </si>
  <si>
    <t xml:space="preserve">Звукорежиссер </t>
  </si>
  <si>
    <t>Ученый секретарь музея</t>
  </si>
  <si>
    <t xml:space="preserve">Заведующий библиотекой (в централизованной библиотечной системе) </t>
  </si>
  <si>
    <t>Заведующий выставочным залом</t>
  </si>
  <si>
    <t xml:space="preserve">Заведующий отделом (сектором) библиотеки, централизованной библиотечной системы, музея, культурно-досуговой организации </t>
  </si>
  <si>
    <t>Заведующий передвижной выставкой музея</t>
  </si>
  <si>
    <t>Заведующий студией звукозаписи</t>
  </si>
  <si>
    <t xml:space="preserve">Заведующий художественно-оформительской мастерской </t>
  </si>
  <si>
    <t>Заведующий структурным подразделением организации исполнительских искусств</t>
  </si>
  <si>
    <t xml:space="preserve">Художественный руководитель в культурно-досуговой организации </t>
  </si>
  <si>
    <t>Балетмейстер в организациях исполнительских искусств</t>
  </si>
  <si>
    <t>Режиссер в организациях исполнительских искусств</t>
  </si>
  <si>
    <t>Главный администратор</t>
  </si>
  <si>
    <t xml:space="preserve">Заведующий литературной частью </t>
  </si>
  <si>
    <t xml:space="preserve">Заведующий театрально-производственной мастерской </t>
  </si>
  <si>
    <t xml:space="preserve">Заведующий художественно-постановочной частью </t>
  </si>
  <si>
    <t xml:space="preserve">Руководитель литературно-драматургической части </t>
  </si>
  <si>
    <t>Балетмейстер-постановщик в организациях исполнительских искусств</t>
  </si>
  <si>
    <t>Высшая, I категория</t>
  </si>
  <si>
    <t>Режиссер-постановщик в организациях исполнительских искусств</t>
  </si>
  <si>
    <t>Художник-постановщик  в организациях исполнительских искусств</t>
  </si>
  <si>
    <t xml:space="preserve">Главный режиссер  </t>
  </si>
  <si>
    <t xml:space="preserve">Главный художник-модельер театрального костюма </t>
  </si>
  <si>
    <t xml:space="preserve">Главный художник-конструктор </t>
  </si>
  <si>
    <t>Главный художник по свету</t>
  </si>
  <si>
    <t xml:space="preserve">Главный хранитель музейных предметов </t>
  </si>
  <si>
    <t xml:space="preserve">Главный хранитель  </t>
  </si>
  <si>
    <t>Главный хранитель фондов в библиотеках</t>
  </si>
  <si>
    <t xml:space="preserve">Главный художник </t>
  </si>
  <si>
    <t xml:space="preserve">Заведующий музыкальной частью </t>
  </si>
  <si>
    <t>Художественный руководитель в организациях исполнительских искусств</t>
  </si>
  <si>
    <t>________________________________________________________________________</t>
  </si>
  <si>
    <t>от _____________№____________</t>
  </si>
  <si>
    <t>Приложение № 6</t>
  </si>
  <si>
    <t>1 категория</t>
  </si>
  <si>
    <t>ПКГ должностей работников учебно-вспомогательного персонала первого уровня</t>
  </si>
  <si>
    <t>Секретарь учебной части</t>
  </si>
  <si>
    <t>ПКГ должностей работников учебно-вспомогательного персонала второго уровня</t>
  </si>
  <si>
    <t>Диспетчер образовательного учреждения</t>
  </si>
  <si>
    <t>ПКГ должностей педагогических работников</t>
  </si>
  <si>
    <t>Концертмейстер</t>
  </si>
  <si>
    <t>Педагог дополнительного образования</t>
  </si>
  <si>
    <t>Педагог-организатор</t>
  </si>
  <si>
    <t>Методист</t>
  </si>
  <si>
    <t>Педагог-психолог</t>
  </si>
  <si>
    <t>Старший педагог дополнительного образования</t>
  </si>
  <si>
    <t>Преподаватель</t>
  </si>
  <si>
    <t>Старший методист</t>
  </si>
  <si>
    <t>ПКГ должностей руководителей структурных подразделений</t>
  </si>
  <si>
    <t>Заведующий отделом, отделением</t>
  </si>
  <si>
    <t>Заведующий  частью (учебной, воспитательной, учебно-воспитательной и др.)</t>
  </si>
  <si>
    <t>Приложение № 4</t>
  </si>
  <si>
    <t xml:space="preserve">Аккомпаниатор-концертмейстер </t>
  </si>
  <si>
    <t>Наименование ЕТКС</t>
  </si>
  <si>
    <t>Тарифно-квалификационные характеристики по общеотраслевым профессиям рабочих</t>
  </si>
  <si>
    <t>Единый тарифно-квалификационный справочник работ и профессий рабочих, выпуск 58, раздел "Общие профессии"</t>
  </si>
  <si>
    <t>Единый тарифно-квалификационный справочник работ и профессий рабочих, выпуск 58, раздел "Театрально-зрелищные предприятия"</t>
  </si>
  <si>
    <t>Единый тарифно-квалификационный справочник работ и профессий рабочих, выпуск 46, раздел "Швейное производство"</t>
  </si>
  <si>
    <t>Единый тарифно-квалификационный справочник работ и профессий рабочих, выпуск 58, раздел "Киносеть и кинопрокат"</t>
  </si>
  <si>
    <t>Единый тарифно-квалификационный справочник работ и профессий рабочих, выпуск 57, раздел "Рекламно-оформительские и макетные работы"</t>
  </si>
  <si>
    <t>Единый тарифно-квалификационный справочник работ и профессий рабочих, выпуск 55, раздел "Брошюровочно-переплетные и отделочные процессы"</t>
  </si>
  <si>
    <t>Единый тарифно-квалификационный справочник работ и профессий рабочих, выпуск 3, раздел "Строительные, монтажные и ремонтно-строительные работы"</t>
  </si>
  <si>
    <t>Единый тарифно-квалификационный справочник работ и профессий рабочих, выпуск 57, раздел "Реставрационные работы"</t>
  </si>
  <si>
    <t>Единый тарифно-квалификационный справочник работ и профессий рабочих, выпуск 2 часть 1, раздел "Котельные, холодноштамповочные, волочильные и давильные работы"</t>
  </si>
  <si>
    <t>Единый тарифно-квалификационный справочник работ и профессий рабочих, выпуск 2 часть 2, раздел "Слесарные и слесарно-сборочные работы"</t>
  </si>
  <si>
    <t>Единый тарифно-квалификационный справочник работ и профессий рабочих, выпуск 40, раздел "Общие профессии деревообрабатывающих производств"</t>
  </si>
  <si>
    <t>Единый тарифно-квалификационный справочник работ и профессий рабочих народного хозяйства СССР, выпуск 1, раздел "Професссии рабочих, общие для всех отраслей народного хозяйства"</t>
  </si>
  <si>
    <t>Должностные оклады по  тарифным разрядам профессий рабочих  образовательных учреждений</t>
  </si>
  <si>
    <t>Водитель автомобиля</t>
  </si>
  <si>
    <t>Гардеробщик</t>
  </si>
  <si>
    <t>1</t>
  </si>
  <si>
    <t>Дворник</t>
  </si>
  <si>
    <t>Настройщик духовых инструментов</t>
  </si>
  <si>
    <t>Единый тарифно-квалификационный справочник работ и профессий рабочих, выпуск 59, раздел "Производство духовых и ударных инструментов"</t>
  </si>
  <si>
    <t>6</t>
  </si>
  <si>
    <t>Настройщик пианино и роялей</t>
  </si>
  <si>
    <t>Единый тарифно-квалификационный справочник работ и профессий рабочих, выпуск 59, раздел "Производство клавишных инструментов"</t>
  </si>
  <si>
    <t>4-8</t>
  </si>
  <si>
    <t>Настройщик щипковых инструментов</t>
  </si>
  <si>
    <t>Единый тарифно-квалификационный справочник работ и профессий рабочих, выпуск 59, раздел "Производство щипковых инструментов"</t>
  </si>
  <si>
    <t>Настройщик язычковых инструментов</t>
  </si>
  <si>
    <t>Единый тарифно-квалификационный справочник работ и профессий рабочих, выпуск 59, раздел "Производство язычковых инструментов"</t>
  </si>
  <si>
    <t>4-6</t>
  </si>
  <si>
    <t>Настройщик-регулировщик смычковых инструментов</t>
  </si>
  <si>
    <t>Единый тарифно-квалификационный справочник работ и профессий рабочих, выпуск 59, раздел "Производство смычковых инструментов"</t>
  </si>
  <si>
    <t>Подсобный рабочий</t>
  </si>
  <si>
    <t>Рабочий по комплексному обслуживанию и ремонту зданий</t>
  </si>
  <si>
    <t>2-4</t>
  </si>
  <si>
    <t>Слесарь по ремонту оборудования тепловых сетей</t>
  </si>
  <si>
    <t>Тарифно-квалификационный справочник работ и профессий электроэнергетики, раздел "Ремонт оборудования электростанций и сетей"</t>
  </si>
  <si>
    <t>Слесарь-сантехник</t>
  </si>
  <si>
    <t>Сторож (вахтер)</t>
  </si>
  <si>
    <t>Уборщик служебных помещений</t>
  </si>
  <si>
    <t>Электромонтер по ремонту и обслуживанию электрооборудования</t>
  </si>
  <si>
    <t>2-8</t>
  </si>
  <si>
    <t xml:space="preserve">                                                                    __________________________________</t>
  </si>
  <si>
    <t>Приложение № 5</t>
  </si>
  <si>
    <t>Должностные оклады по профессиональным квалификационным группам общеотраслевых должностей руководителей, специалистов и служащих  образовательных учреждений</t>
  </si>
  <si>
    <t xml:space="preserve">Начальник   гаража </t>
  </si>
  <si>
    <t>Переводчик</t>
  </si>
  <si>
    <t>Таблица 2</t>
  </si>
  <si>
    <t>Должностные оклады по общеотраслевым должностям руководителей, специалистов и служащих образовательных учреждений, не отнесенным к профессиональным квалификационным группам</t>
  </si>
  <si>
    <t>Размер должностного оклада, руб и квалификационная категория</t>
  </si>
  <si>
    <t>Заместитель директора (проректор) (по направлениям деятельности)</t>
  </si>
  <si>
    <t>Инженер по организации эксплуатации и ремонту зданий и сооружений</t>
  </si>
  <si>
    <t>высшая категория, педагог-методист, педагог-наставник</t>
  </si>
  <si>
    <t>Приложение № 7</t>
  </si>
  <si>
    <t>Приложение № 15</t>
  </si>
  <si>
    <t>Должностные оклады по  должностям работников культуры, искусства и кинематографии  в образовательных учреждениях</t>
  </si>
  <si>
    <t xml:space="preserve">Дирижер  </t>
  </si>
  <si>
    <t xml:space="preserve">Художник-постановщик  </t>
  </si>
  <si>
    <t xml:space="preserve">Заведующий библиотекой </t>
  </si>
  <si>
    <t xml:space="preserve">Заведующий отделом (сектором) </t>
  </si>
  <si>
    <t xml:space="preserve">Художественный руководитель </t>
  </si>
  <si>
    <t>__________________________________________</t>
  </si>
  <si>
    <t>Таблица № 3</t>
  </si>
  <si>
    <t>Должностные оклады по  тарифным разрядам профессий рабочих учреждений культуры и искусства, не включенных в Единый тарифно-квалификационный справочник работ и профессий рабочих</t>
  </si>
  <si>
    <t>Наименование и тарифные разряды профессий рабочих</t>
  </si>
  <si>
    <t xml:space="preserve">Электрогазосварщик  2, 3 тарифного разряда </t>
  </si>
  <si>
    <t xml:space="preserve">Электрогазосварщик  4, 5 тарифного разряда </t>
  </si>
  <si>
    <t xml:space="preserve">Электрогазосварщик  6 тарифного разряда </t>
  </si>
  <si>
    <t>22980-29544</t>
  </si>
  <si>
    <t xml:space="preserve">Должностные оклады по  профессиональным квалификационным группам должностей работников образования образовательных учреждений </t>
  </si>
  <si>
    <t xml:space="preserve">Режиссер любительского театра (студии) </t>
  </si>
  <si>
    <t>14986-19293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</si>
</sst>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179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wrapText="1"/>
    </xf>
    <xf numFmtId="49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49" fontId="3" fillId="0" borderId="0" xfId="0" applyNumberFormat="1" applyFont="1" applyFill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49" fontId="0" fillId="0" borderId="0" xfId="0" applyNumberFormat="1" applyFill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7" fillId="0" borderId="0" xfId="0" applyFont="1" applyFill="1"/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top" wrapText="1"/>
    </xf>
    <xf numFmtId="0" fontId="3" fillId="0" borderId="4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/>
    </xf>
    <xf numFmtId="0" fontId="7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justify" vertical="top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justify" vertical="center" wrapText="1"/>
    </xf>
    <xf numFmtId="0" fontId="0" fillId="0" borderId="7" xfId="0" applyFill="1" applyBorder="1"/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10" xfId="0" applyFont="1" applyFill="1" applyBorder="1" applyAlignment="1">
      <alignment horizontal="justify" vertical="center" wrapText="1"/>
    </xf>
    <xf numFmtId="0" fontId="0" fillId="0" borderId="0" xfId="0" applyFill="1" applyBorder="1"/>
    <xf numFmtId="0" fontId="5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top" wrapText="1"/>
    </xf>
    <xf numFmtId="49" fontId="0" fillId="0" borderId="0" xfId="0" applyNumberFormat="1" applyFill="1" applyAlignment="1">
      <alignment horizontal="center"/>
    </xf>
    <xf numFmtId="0" fontId="3" fillId="0" borderId="0" xfId="0" applyFont="1" applyFill="1" applyBorder="1" applyAlignment="1">
      <alignment horizontal="justify"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justify" vertical="top" wrapText="1"/>
    </xf>
    <xf numFmtId="49" fontId="3" fillId="0" borderId="0" xfId="0" applyNumberFormat="1" applyFont="1" applyFill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/>
    </xf>
    <xf numFmtId="0" fontId="3" fillId="0" borderId="7" xfId="0" applyFont="1" applyFill="1" applyBorder="1"/>
    <xf numFmtId="0" fontId="7" fillId="0" borderId="7" xfId="0" applyFont="1" applyFill="1" applyBorder="1"/>
    <xf numFmtId="0" fontId="6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/>
    </xf>
    <xf numFmtId="16" fontId="3" fillId="0" borderId="3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16" fontId="3" fillId="0" borderId="4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12" xfId="0" applyFont="1" applyFill="1" applyBorder="1" applyAlignment="1">
      <alignment horizontal="justify" vertical="top" wrapText="1"/>
    </xf>
    <xf numFmtId="0" fontId="3" fillId="0" borderId="2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center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2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8"/>
  <sheetViews>
    <sheetView topLeftCell="A25" zoomScale="70" zoomScaleNormal="70" workbookViewId="0">
      <selection activeCell="A68" sqref="A68:C68"/>
    </sheetView>
  </sheetViews>
  <sheetFormatPr defaultColWidth="9.140625" defaultRowHeight="12.75" outlineLevelCol="1"/>
  <cols>
    <col min="1" max="1" width="42.85546875" style="5" customWidth="1"/>
    <col min="2" max="2" width="76.28515625" style="5" customWidth="1"/>
    <col min="3" max="3" width="21" style="5" customWidth="1"/>
    <col min="4" max="4" width="8.42578125" style="3" hidden="1" customWidth="1" outlineLevel="1"/>
    <col min="5" max="5" width="3.7109375" style="4" hidden="1" customWidth="1" outlineLevel="1"/>
    <col min="6" max="6" width="9.140625" style="5" collapsed="1"/>
    <col min="7" max="16384" width="9.140625" style="5"/>
  </cols>
  <sheetData>
    <row r="1" spans="1:6">
      <c r="A1" s="1"/>
      <c r="B1" s="1"/>
      <c r="C1" s="2" t="s">
        <v>0</v>
      </c>
    </row>
    <row r="2" spans="1:6">
      <c r="A2" s="1"/>
      <c r="B2" s="1"/>
      <c r="C2" s="2" t="s">
        <v>1</v>
      </c>
    </row>
    <row r="3" spans="1:6">
      <c r="A3" s="1"/>
      <c r="B3" s="1"/>
      <c r="C3" s="2" t="s">
        <v>2</v>
      </c>
    </row>
    <row r="4" spans="1:6">
      <c r="A4" s="1"/>
      <c r="B4" s="1"/>
      <c r="C4" s="2" t="s">
        <v>3</v>
      </c>
    </row>
    <row r="5" spans="1:6" ht="19.350000000000001" customHeight="1">
      <c r="A5" s="1"/>
      <c r="B5" s="1"/>
      <c r="C5" s="2"/>
    </row>
    <row r="6" spans="1:6" s="3" customFormat="1">
      <c r="A6" s="5"/>
      <c r="B6" s="5"/>
      <c r="C6" s="2" t="s">
        <v>0</v>
      </c>
      <c r="E6" s="4"/>
      <c r="F6" s="5"/>
    </row>
    <row r="7" spans="1:6" s="3" customFormat="1">
      <c r="A7" s="5"/>
      <c r="B7" s="5"/>
      <c r="C7" s="2" t="s">
        <v>4</v>
      </c>
      <c r="E7" s="4"/>
      <c r="F7" s="5"/>
    </row>
    <row r="8" spans="1:6" s="3" customFormat="1">
      <c r="A8" s="5"/>
      <c r="B8" s="5"/>
      <c r="C8" s="2" t="s">
        <v>5</v>
      </c>
      <c r="E8" s="4"/>
      <c r="F8" s="5"/>
    </row>
    <row r="9" spans="1:6" s="3" customFormat="1">
      <c r="A9" s="5"/>
      <c r="B9" s="5"/>
      <c r="C9" s="2" t="s">
        <v>6</v>
      </c>
      <c r="E9" s="4"/>
      <c r="F9" s="5"/>
    </row>
    <row r="10" spans="1:6" s="3" customFormat="1">
      <c r="A10" s="5"/>
      <c r="B10" s="5"/>
      <c r="C10" s="2" t="s">
        <v>7</v>
      </c>
      <c r="E10" s="4"/>
      <c r="F10" s="5"/>
    </row>
    <row r="11" spans="1:6" s="3" customFormat="1" ht="9" customHeight="1">
      <c r="A11" s="5"/>
      <c r="B11" s="5"/>
      <c r="C11" s="6"/>
      <c r="E11" s="4"/>
      <c r="F11" s="5"/>
    </row>
    <row r="12" spans="1:6" s="3" customFormat="1" ht="19.350000000000001" customHeight="1">
      <c r="A12" s="5"/>
      <c r="B12" s="5"/>
      <c r="C12" s="2" t="s">
        <v>8</v>
      </c>
      <c r="E12" s="4"/>
      <c r="F12" s="5"/>
    </row>
    <row r="13" spans="1:6" s="3" customFormat="1" ht="18" customHeight="1">
      <c r="A13" s="122" t="s">
        <v>9</v>
      </c>
      <c r="B13" s="122"/>
      <c r="C13" s="122"/>
      <c r="E13" s="4"/>
      <c r="F13" s="5"/>
    </row>
    <row r="14" spans="1:6" s="3" customFormat="1" ht="17.45" customHeight="1">
      <c r="A14" s="7"/>
      <c r="B14" s="7"/>
      <c r="C14" s="5"/>
      <c r="E14" s="4"/>
      <c r="F14" s="5"/>
    </row>
    <row r="15" spans="1:6" s="3" customFormat="1" ht="30" customHeight="1">
      <c r="A15" s="125" t="s">
        <v>10</v>
      </c>
      <c r="B15" s="126"/>
      <c r="C15" s="9" t="s">
        <v>11</v>
      </c>
      <c r="E15" s="4"/>
      <c r="F15" s="5"/>
    </row>
    <row r="16" spans="1:6" s="3" customFormat="1" ht="14.45" customHeight="1">
      <c r="A16" s="125">
        <v>1</v>
      </c>
      <c r="B16" s="126"/>
      <c r="C16" s="9" t="s">
        <v>12</v>
      </c>
      <c r="E16" s="4"/>
      <c r="F16" s="5"/>
    </row>
    <row r="17" spans="1:6" s="3" customFormat="1" ht="24.6" customHeight="1">
      <c r="A17" s="127" t="s">
        <v>13</v>
      </c>
      <c r="B17" s="128"/>
      <c r="C17" s="10">
        <f>ROUNDUP(10450*1.2,0)</f>
        <v>12540</v>
      </c>
      <c r="E17" s="4"/>
      <c r="F17" s="5"/>
    </row>
    <row r="18" spans="1:6" s="3" customFormat="1" ht="25.9" customHeight="1">
      <c r="A18" s="127" t="s">
        <v>14</v>
      </c>
      <c r="B18" s="128"/>
      <c r="C18" s="10">
        <f>ROUNDUP(10795*1.2,0)</f>
        <v>12954</v>
      </c>
      <c r="E18" s="4"/>
      <c r="F18" s="5"/>
    </row>
    <row r="19" spans="1:6" s="3" customFormat="1" ht="24" customHeight="1">
      <c r="A19" s="127" t="s">
        <v>15</v>
      </c>
      <c r="B19" s="128"/>
      <c r="C19" s="10">
        <f>ROUNDUP(11322*1.2,0)</f>
        <v>13587</v>
      </c>
      <c r="E19" s="4"/>
      <c r="F19" s="5"/>
    </row>
    <row r="20" spans="1:6" ht="26.45" customHeight="1">
      <c r="A20" s="127" t="s">
        <v>16</v>
      </c>
      <c r="B20" s="128"/>
      <c r="C20" s="10">
        <f>ROUNDUP(11952*1.2,0)</f>
        <v>14343</v>
      </c>
    </row>
    <row r="21" spans="1:6" ht="25.9" customHeight="1">
      <c r="A21" s="127" t="s">
        <v>17</v>
      </c>
      <c r="B21" s="128"/>
      <c r="C21" s="10">
        <f>ROUNDUP(12552*1.2,0)</f>
        <v>15063</v>
      </c>
    </row>
    <row r="22" spans="1:6" ht="18.600000000000001" customHeight="1">
      <c r="A22" s="12"/>
      <c r="B22" s="12"/>
      <c r="C22" s="13"/>
    </row>
    <row r="23" spans="1:6" ht="19.899999999999999" customHeight="1">
      <c r="C23" s="14" t="s">
        <v>18</v>
      </c>
    </row>
    <row r="24" spans="1:6" ht="14.25" customHeight="1">
      <c r="A24" s="123" t="s">
        <v>19</v>
      </c>
      <c r="B24" s="123"/>
      <c r="C24" s="123"/>
      <c r="D24" s="15"/>
      <c r="E24" s="16"/>
    </row>
    <row r="25" spans="1:6" ht="11.45" customHeight="1">
      <c r="A25" s="17"/>
      <c r="B25" s="90"/>
      <c r="D25" s="15"/>
      <c r="E25" s="16"/>
    </row>
    <row r="26" spans="1:6" ht="24" customHeight="1">
      <c r="A26" s="8" t="s">
        <v>20</v>
      </c>
      <c r="B26" s="91" t="s">
        <v>293</v>
      </c>
      <c r="C26" s="8" t="s">
        <v>21</v>
      </c>
      <c r="D26" s="18" t="s">
        <v>22</v>
      </c>
      <c r="E26" s="19"/>
    </row>
    <row r="27" spans="1:6">
      <c r="A27" s="8">
        <v>1</v>
      </c>
      <c r="B27" s="91">
        <v>2</v>
      </c>
      <c r="C27" s="8">
        <v>3</v>
      </c>
      <c r="D27" s="18"/>
      <c r="E27" s="19"/>
    </row>
    <row r="28" spans="1:6" ht="16.149999999999999" customHeight="1">
      <c r="A28" s="11" t="s">
        <v>23</v>
      </c>
      <c r="B28" s="92" t="s">
        <v>295</v>
      </c>
      <c r="C28" s="20" t="s">
        <v>24</v>
      </c>
      <c r="D28" s="21">
        <v>62</v>
      </c>
      <c r="E28" s="22" t="s">
        <v>25</v>
      </c>
    </row>
    <row r="29" spans="1:6" ht="15.6" customHeight="1">
      <c r="A29" s="11" t="s">
        <v>26</v>
      </c>
      <c r="B29" s="92" t="s">
        <v>295</v>
      </c>
      <c r="C29" s="20" t="s">
        <v>27</v>
      </c>
      <c r="D29" s="3">
        <v>62</v>
      </c>
      <c r="E29" s="4" t="s">
        <v>25</v>
      </c>
    </row>
    <row r="30" spans="1:6" ht="22.5">
      <c r="A30" s="11" t="s">
        <v>28</v>
      </c>
      <c r="B30" s="92" t="s">
        <v>297</v>
      </c>
      <c r="C30" s="20" t="s">
        <v>29</v>
      </c>
      <c r="D30" s="3">
        <v>49</v>
      </c>
      <c r="E30" s="4" t="s">
        <v>30</v>
      </c>
    </row>
    <row r="31" spans="1:6" ht="25.5">
      <c r="A31" s="103" t="s">
        <v>20</v>
      </c>
      <c r="B31" s="103" t="s">
        <v>293</v>
      </c>
      <c r="C31" s="103" t="s">
        <v>21</v>
      </c>
    </row>
    <row r="32" spans="1:6">
      <c r="A32" s="103">
        <v>1</v>
      </c>
      <c r="B32" s="103">
        <v>2</v>
      </c>
      <c r="C32" s="103">
        <v>3</v>
      </c>
    </row>
    <row r="33" spans="1:5" ht="21" customHeight="1">
      <c r="A33" s="11" t="s">
        <v>31</v>
      </c>
      <c r="B33" s="92" t="s">
        <v>294</v>
      </c>
      <c r="C33" s="20" t="s">
        <v>32</v>
      </c>
      <c r="D33" s="3">
        <v>1</v>
      </c>
      <c r="E33" s="4" t="s">
        <v>33</v>
      </c>
    </row>
    <row r="34" spans="1:5" ht="22.5">
      <c r="A34" s="11" t="s">
        <v>34</v>
      </c>
      <c r="B34" s="92" t="s">
        <v>298</v>
      </c>
      <c r="C34" s="20" t="s">
        <v>27</v>
      </c>
      <c r="D34" s="3">
        <v>62</v>
      </c>
      <c r="E34" s="4" t="s">
        <v>25</v>
      </c>
    </row>
    <row r="35" spans="1:5" ht="15.6" customHeight="1">
      <c r="A35" s="11" t="s">
        <v>35</v>
      </c>
      <c r="B35" s="92" t="s">
        <v>294</v>
      </c>
      <c r="C35" s="20" t="s">
        <v>36</v>
      </c>
      <c r="D35" s="3">
        <v>1</v>
      </c>
      <c r="E35" s="4" t="s">
        <v>33</v>
      </c>
    </row>
    <row r="36" spans="1:5" ht="19.899999999999999" customHeight="1">
      <c r="A36" s="11" t="s">
        <v>37</v>
      </c>
      <c r="B36" s="92" t="s">
        <v>295</v>
      </c>
      <c r="C36" s="20" t="s">
        <v>27</v>
      </c>
      <c r="D36" s="3">
        <v>62</v>
      </c>
      <c r="E36" s="4" t="s">
        <v>25</v>
      </c>
    </row>
    <row r="37" spans="1:5" ht="22.5">
      <c r="A37" s="104" t="s">
        <v>38</v>
      </c>
      <c r="B37" s="92" t="s">
        <v>299</v>
      </c>
      <c r="C37" s="20" t="s">
        <v>39</v>
      </c>
      <c r="D37" s="3">
        <v>61</v>
      </c>
      <c r="E37" s="4" t="s">
        <v>40</v>
      </c>
    </row>
    <row r="38" spans="1:5" ht="17.45" customHeight="1">
      <c r="A38" s="104" t="s">
        <v>41</v>
      </c>
      <c r="B38" s="92" t="s">
        <v>295</v>
      </c>
      <c r="C38" s="20" t="s">
        <v>24</v>
      </c>
      <c r="D38" s="3">
        <v>62</v>
      </c>
      <c r="E38" s="4" t="s">
        <v>25</v>
      </c>
    </row>
    <row r="39" spans="1:5" ht="22.5">
      <c r="A39" s="104" t="s">
        <v>42</v>
      </c>
      <c r="B39" s="92" t="s">
        <v>296</v>
      </c>
      <c r="C39" s="20" t="s">
        <v>43</v>
      </c>
      <c r="D39" s="3">
        <v>62</v>
      </c>
      <c r="E39" s="4" t="s">
        <v>25</v>
      </c>
    </row>
    <row r="40" spans="1:5" ht="19.899999999999999" customHeight="1">
      <c r="A40" s="104" t="s">
        <v>44</v>
      </c>
      <c r="B40" s="92" t="s">
        <v>295</v>
      </c>
      <c r="C40" s="20" t="s">
        <v>45</v>
      </c>
      <c r="D40" s="3">
        <v>62</v>
      </c>
      <c r="E40" s="4" t="s">
        <v>25</v>
      </c>
    </row>
    <row r="41" spans="1:5" ht="22.5">
      <c r="A41" s="104" t="s">
        <v>46</v>
      </c>
      <c r="B41" s="92" t="s">
        <v>296</v>
      </c>
      <c r="C41" s="20" t="s">
        <v>47</v>
      </c>
      <c r="D41" s="3">
        <v>62</v>
      </c>
      <c r="E41" s="4" t="s">
        <v>25</v>
      </c>
    </row>
    <row r="42" spans="1:5" ht="17.45" customHeight="1">
      <c r="A42" s="11" t="s">
        <v>49</v>
      </c>
      <c r="B42" s="92" t="s">
        <v>295</v>
      </c>
      <c r="C42" s="23" t="s">
        <v>50</v>
      </c>
      <c r="D42" s="3">
        <v>62</v>
      </c>
      <c r="E42" s="4" t="s">
        <v>25</v>
      </c>
    </row>
    <row r="43" spans="1:5" ht="16.7" customHeight="1">
      <c r="A43" s="11" t="s">
        <v>51</v>
      </c>
      <c r="B43" s="92" t="s">
        <v>295</v>
      </c>
      <c r="C43" s="20" t="s">
        <v>48</v>
      </c>
      <c r="D43" s="3">
        <v>62</v>
      </c>
      <c r="E43" s="4" t="s">
        <v>25</v>
      </c>
    </row>
    <row r="44" spans="1:5" ht="22.5">
      <c r="A44" s="11" t="s">
        <v>52</v>
      </c>
      <c r="B44" s="92" t="s">
        <v>300</v>
      </c>
      <c r="C44" s="20" t="s">
        <v>24</v>
      </c>
      <c r="D44" s="3">
        <v>59</v>
      </c>
      <c r="E44" s="4" t="s">
        <v>53</v>
      </c>
    </row>
    <row r="45" spans="1:5" ht="22.5">
      <c r="A45" s="11" t="s">
        <v>54</v>
      </c>
      <c r="B45" s="92" t="s">
        <v>301</v>
      </c>
      <c r="C45" s="20" t="s">
        <v>45</v>
      </c>
      <c r="D45" s="3">
        <v>3</v>
      </c>
      <c r="E45" s="4" t="s">
        <v>55</v>
      </c>
    </row>
    <row r="46" spans="1:5" ht="22.5">
      <c r="A46" s="11" t="s">
        <v>56</v>
      </c>
      <c r="B46" s="92" t="s">
        <v>301</v>
      </c>
      <c r="C46" s="20" t="s">
        <v>24</v>
      </c>
    </row>
    <row r="47" spans="1:5" ht="17.45" customHeight="1">
      <c r="A47" s="11" t="s">
        <v>57</v>
      </c>
      <c r="B47" s="92" t="s">
        <v>295</v>
      </c>
      <c r="C47" s="20" t="s">
        <v>27</v>
      </c>
      <c r="D47" s="3">
        <v>62</v>
      </c>
      <c r="E47" s="4" t="s">
        <v>25</v>
      </c>
    </row>
    <row r="48" spans="1:5" ht="22.5">
      <c r="A48" s="11" t="s">
        <v>58</v>
      </c>
      <c r="B48" s="92" t="s">
        <v>302</v>
      </c>
      <c r="C48" s="20" t="s">
        <v>48</v>
      </c>
      <c r="D48" s="3">
        <v>61</v>
      </c>
      <c r="E48" s="4" t="s">
        <v>40</v>
      </c>
    </row>
    <row r="49" spans="1:5" ht="22.5">
      <c r="A49" s="11" t="s">
        <v>59</v>
      </c>
      <c r="B49" s="92" t="s">
        <v>303</v>
      </c>
      <c r="C49" s="20" t="s">
        <v>43</v>
      </c>
    </row>
    <row r="50" spans="1:5" ht="19.350000000000001" customHeight="1">
      <c r="A50" s="11" t="s">
        <v>60</v>
      </c>
      <c r="B50" s="92" t="s">
        <v>294</v>
      </c>
      <c r="C50" s="20" t="s">
        <v>36</v>
      </c>
      <c r="D50" s="3">
        <v>1</v>
      </c>
      <c r="E50" s="4" t="s">
        <v>33</v>
      </c>
    </row>
    <row r="51" spans="1:5" ht="22.5">
      <c r="A51" s="11" t="s">
        <v>61</v>
      </c>
      <c r="B51" s="92" t="s">
        <v>304</v>
      </c>
      <c r="C51" s="20" t="s">
        <v>27</v>
      </c>
    </row>
    <row r="52" spans="1:5" ht="22.5">
      <c r="A52" s="11" t="s">
        <v>62</v>
      </c>
      <c r="B52" s="92" t="s">
        <v>305</v>
      </c>
      <c r="C52" s="23" t="s">
        <v>27</v>
      </c>
      <c r="D52" s="3">
        <v>40</v>
      </c>
      <c r="E52" s="4" t="s">
        <v>63</v>
      </c>
    </row>
    <row r="53" spans="1:5" ht="22.5">
      <c r="A53" s="11" t="s">
        <v>64</v>
      </c>
      <c r="B53" s="92" t="s">
        <v>295</v>
      </c>
      <c r="C53" s="23" t="s">
        <v>24</v>
      </c>
      <c r="D53" s="3">
        <v>62</v>
      </c>
      <c r="E53" s="4" t="s">
        <v>25</v>
      </c>
    </row>
    <row r="54" spans="1:5" ht="22.5">
      <c r="A54" s="11" t="s">
        <v>65</v>
      </c>
      <c r="B54" s="92" t="s">
        <v>306</v>
      </c>
      <c r="C54" s="23" t="s">
        <v>66</v>
      </c>
    </row>
    <row r="55" spans="1:5" ht="12.6" customHeight="1">
      <c r="A55" s="11" t="s">
        <v>67</v>
      </c>
      <c r="B55" s="92" t="s">
        <v>295</v>
      </c>
      <c r="C55" s="20" t="s">
        <v>24</v>
      </c>
      <c r="D55" s="3">
        <v>62</v>
      </c>
      <c r="E55" s="4" t="s">
        <v>25</v>
      </c>
    </row>
    <row r="56" spans="1:5" ht="22.5">
      <c r="A56" s="11" t="s">
        <v>68</v>
      </c>
      <c r="B56" s="92" t="s">
        <v>297</v>
      </c>
      <c r="C56" s="20" t="s">
        <v>27</v>
      </c>
      <c r="D56" s="3">
        <v>49</v>
      </c>
      <c r="E56" s="4" t="s">
        <v>30</v>
      </c>
    </row>
    <row r="57" spans="1:5" ht="15" customHeight="1">
      <c r="A57" s="11" t="s">
        <v>69</v>
      </c>
      <c r="B57" s="92" t="s">
        <v>294</v>
      </c>
      <c r="C57" s="20" t="s">
        <v>70</v>
      </c>
    </row>
    <row r="58" spans="1:5" ht="19.350000000000001" customHeight="1">
      <c r="D58" s="17"/>
      <c r="E58" s="24"/>
    </row>
    <row r="59" spans="1:5" ht="19.350000000000001" customHeight="1">
      <c r="C59" s="2" t="s">
        <v>355</v>
      </c>
      <c r="D59" s="18"/>
      <c r="E59" s="19"/>
    </row>
    <row r="60" spans="1:5" ht="19.350000000000001" customHeight="1">
      <c r="C60" s="2"/>
      <c r="D60" s="18"/>
      <c r="E60" s="19"/>
    </row>
    <row r="61" spans="1:5" ht="32.450000000000003" customHeight="1">
      <c r="A61" s="122" t="s">
        <v>356</v>
      </c>
      <c r="B61" s="122"/>
      <c r="C61" s="122"/>
    </row>
    <row r="62" spans="1:5" ht="16.149999999999999" customHeight="1">
      <c r="A62" s="7"/>
      <c r="B62" s="7"/>
      <c r="D62" s="5"/>
      <c r="E62" s="5"/>
    </row>
    <row r="63" spans="1:5" ht="24.75" customHeight="1">
      <c r="A63" s="125" t="s">
        <v>357</v>
      </c>
      <c r="B63" s="126"/>
      <c r="C63" s="9" t="s">
        <v>11</v>
      </c>
      <c r="D63" s="5"/>
      <c r="E63" s="5"/>
    </row>
    <row r="64" spans="1:5" ht="18.600000000000001" customHeight="1">
      <c r="A64" s="125">
        <v>1</v>
      </c>
      <c r="B64" s="126"/>
      <c r="C64" s="9" t="s">
        <v>12</v>
      </c>
      <c r="D64" s="5"/>
      <c r="E64" s="5"/>
    </row>
    <row r="65" spans="1:5" ht="24" customHeight="1">
      <c r="A65" s="127" t="s">
        <v>358</v>
      </c>
      <c r="B65" s="128"/>
      <c r="C65" s="10">
        <f>ROUNDUP(10450*1.2,0)</f>
        <v>12540</v>
      </c>
      <c r="D65" s="5"/>
      <c r="E65" s="5"/>
    </row>
    <row r="66" spans="1:5" ht="27.75" customHeight="1">
      <c r="A66" s="127" t="s">
        <v>359</v>
      </c>
      <c r="B66" s="128"/>
      <c r="C66" s="10">
        <f>ROUNDUP(11322*1.2,0)</f>
        <v>13587</v>
      </c>
      <c r="D66" s="5"/>
      <c r="E66" s="5"/>
    </row>
    <row r="67" spans="1:5" ht="25.5" customHeight="1">
      <c r="A67" s="127" t="s">
        <v>360</v>
      </c>
      <c r="B67" s="128"/>
      <c r="C67" s="10">
        <f>ROUNDUP(11952*1.2,0)</f>
        <v>14343</v>
      </c>
      <c r="D67" s="5"/>
      <c r="E67" s="5"/>
    </row>
    <row r="68" spans="1:5" ht="25.7" customHeight="1">
      <c r="A68" s="124" t="s">
        <v>71</v>
      </c>
      <c r="B68" s="124"/>
      <c r="C68" s="124"/>
    </row>
  </sheetData>
  <mergeCells count="16">
    <mergeCell ref="A13:C13"/>
    <mergeCell ref="A24:C24"/>
    <mergeCell ref="A68:C68"/>
    <mergeCell ref="A15:B15"/>
    <mergeCell ref="A16:B16"/>
    <mergeCell ref="A17:B17"/>
    <mergeCell ref="A18:B18"/>
    <mergeCell ref="A19:B19"/>
    <mergeCell ref="A20:B20"/>
    <mergeCell ref="A21:B21"/>
    <mergeCell ref="A61:C61"/>
    <mergeCell ref="A63:B63"/>
    <mergeCell ref="A64:B64"/>
    <mergeCell ref="A65:B65"/>
    <mergeCell ref="A66:B66"/>
    <mergeCell ref="A67:B67"/>
  </mergeCells>
  <printOptions horizontalCentered="1"/>
  <pageMargins left="0" right="0" top="0.78740157480314965" bottom="0.39370078740157483" header="0.51181102362204722" footer="0.51181102362204722"/>
  <pageSetup paperSize="9" firstPageNumber="4" orientation="landscape" useFirstPageNumber="1" r:id="rId1"/>
  <headerFooter alignWithMargins="0">
    <oddHeader>&amp;C&amp;"Times New Roman,обычный"&amp;P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132"/>
  <sheetViews>
    <sheetView topLeftCell="A36" zoomScale="70" zoomScaleNormal="70" workbookViewId="0">
      <selection activeCell="I51" sqref="I51"/>
    </sheetView>
  </sheetViews>
  <sheetFormatPr defaultRowHeight="12.75" outlineLevelRow="1"/>
  <cols>
    <col min="1" max="1" width="18.7109375" style="25" customWidth="1"/>
    <col min="2" max="2" width="8.85546875" style="26" customWidth="1"/>
    <col min="3" max="3" width="36.7109375" style="27" customWidth="1"/>
    <col min="4" max="4" width="13.140625" style="26" customWidth="1"/>
    <col min="5" max="5" width="8.140625" style="28" customWidth="1"/>
    <col min="6" max="7" width="7.7109375" style="29" customWidth="1"/>
    <col min="8" max="19" width="9.140625" style="29" customWidth="1"/>
  </cols>
  <sheetData>
    <row r="1" spans="1:19">
      <c r="G1" s="2" t="s">
        <v>72</v>
      </c>
    </row>
    <row r="2" spans="1:19">
      <c r="G2" s="2" t="s">
        <v>1</v>
      </c>
    </row>
    <row r="3" spans="1:19">
      <c r="G3" s="2" t="s">
        <v>2</v>
      </c>
    </row>
    <row r="4" spans="1:19">
      <c r="G4" s="2" t="s">
        <v>3</v>
      </c>
    </row>
    <row r="6" spans="1:19">
      <c r="F6" s="30"/>
      <c r="G6" s="31" t="s">
        <v>72</v>
      </c>
    </row>
    <row r="7" spans="1:19">
      <c r="D7" s="27"/>
      <c r="G7" s="2" t="s">
        <v>4</v>
      </c>
    </row>
    <row r="8" spans="1:19" ht="15.75">
      <c r="D8" s="30"/>
      <c r="F8" s="32"/>
      <c r="G8" s="2" t="s">
        <v>5</v>
      </c>
    </row>
    <row r="9" spans="1:19" ht="15.75">
      <c r="D9" s="30"/>
      <c r="F9" s="32"/>
      <c r="G9" s="2" t="s">
        <v>6</v>
      </c>
    </row>
    <row r="10" spans="1:19" ht="15.75">
      <c r="D10" s="30"/>
      <c r="F10" s="32"/>
      <c r="G10" s="2" t="s">
        <v>7</v>
      </c>
    </row>
    <row r="11" spans="1:19" ht="19.350000000000001" customHeight="1">
      <c r="D11" s="30"/>
      <c r="F11" s="32"/>
      <c r="G11" s="2"/>
    </row>
    <row r="12" spans="1:19" ht="19.899999999999999" customHeight="1">
      <c r="D12" s="32"/>
      <c r="E12" s="32"/>
      <c r="F12" s="32"/>
      <c r="G12" s="31" t="s">
        <v>8</v>
      </c>
    </row>
    <row r="13" spans="1:19" ht="45" customHeight="1">
      <c r="A13" s="142" t="s">
        <v>73</v>
      </c>
      <c r="B13" s="142"/>
      <c r="C13" s="142"/>
      <c r="D13" s="142"/>
      <c r="E13" s="142"/>
      <c r="F13" s="142"/>
      <c r="G13" s="142"/>
    </row>
    <row r="14" spans="1:19" ht="17.25" customHeight="1"/>
    <row r="15" spans="1:19" s="34" customFormat="1" ht="24.75" customHeight="1">
      <c r="A15" s="148" t="s">
        <v>74</v>
      </c>
      <c r="B15" s="148" t="s">
        <v>75</v>
      </c>
      <c r="C15" s="148" t="s">
        <v>76</v>
      </c>
      <c r="D15" s="140" t="s">
        <v>77</v>
      </c>
      <c r="E15" s="140"/>
      <c r="F15" s="140"/>
      <c r="G15" s="140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1:19" s="34" customFormat="1" ht="34.15" customHeight="1">
      <c r="A16" s="150"/>
      <c r="B16" s="150"/>
      <c r="C16" s="150"/>
      <c r="D16" s="35" t="s">
        <v>78</v>
      </c>
      <c r="E16" s="35" t="s">
        <v>79</v>
      </c>
      <c r="F16" s="35" t="s">
        <v>80</v>
      </c>
      <c r="G16" s="35" t="s">
        <v>81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19" s="34" customFormat="1" ht="12" customHeight="1">
      <c r="A17" s="8">
        <v>1</v>
      </c>
      <c r="B17" s="8">
        <v>2</v>
      </c>
      <c r="C17" s="36">
        <v>3</v>
      </c>
      <c r="D17" s="8">
        <v>4</v>
      </c>
      <c r="E17" s="8">
        <v>5</v>
      </c>
      <c r="F17" s="8">
        <v>6</v>
      </c>
      <c r="G17" s="8">
        <v>7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19" s="34" customFormat="1" ht="12" customHeight="1">
      <c r="A18" s="151" t="s">
        <v>82</v>
      </c>
      <c r="B18" s="147">
        <v>1</v>
      </c>
      <c r="C18" s="37" t="s">
        <v>83</v>
      </c>
      <c r="D18" s="148">
        <f>ROUNDUP(11193*1.2,0)</f>
        <v>13432</v>
      </c>
      <c r="E18" s="148" t="s">
        <v>84</v>
      </c>
      <c r="F18" s="148" t="s">
        <v>84</v>
      </c>
      <c r="G18" s="148" t="s">
        <v>84</v>
      </c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19" ht="14.1" customHeight="1">
      <c r="A19" s="151"/>
      <c r="B19" s="147"/>
      <c r="C19" s="38" t="s">
        <v>85</v>
      </c>
      <c r="D19" s="149"/>
      <c r="E19" s="149"/>
      <c r="F19" s="149"/>
      <c r="G19" s="149"/>
    </row>
    <row r="20" spans="1:19" ht="14.1" customHeight="1">
      <c r="A20" s="151"/>
      <c r="B20" s="147"/>
      <c r="C20" s="38" t="s">
        <v>86</v>
      </c>
      <c r="D20" s="149"/>
      <c r="E20" s="149"/>
      <c r="F20" s="149"/>
      <c r="G20" s="149"/>
    </row>
    <row r="21" spans="1:19" ht="14.1" customHeight="1">
      <c r="A21" s="151"/>
      <c r="B21" s="147"/>
      <c r="C21" s="38" t="s">
        <v>87</v>
      </c>
      <c r="D21" s="149"/>
      <c r="E21" s="149"/>
      <c r="F21" s="149"/>
      <c r="G21" s="149"/>
    </row>
    <row r="22" spans="1:19" s="29" customFormat="1" ht="14.1" customHeight="1">
      <c r="A22" s="151"/>
      <c r="B22" s="147"/>
      <c r="C22" s="38" t="s">
        <v>88</v>
      </c>
      <c r="D22" s="149"/>
      <c r="E22" s="149"/>
      <c r="F22" s="149"/>
      <c r="G22" s="149"/>
    </row>
    <row r="23" spans="1:19" s="29" customFormat="1" ht="14.1" customHeight="1">
      <c r="A23" s="151"/>
      <c r="B23" s="147"/>
      <c r="C23" s="38" t="s">
        <v>89</v>
      </c>
      <c r="D23" s="149"/>
      <c r="E23" s="149"/>
      <c r="F23" s="149"/>
      <c r="G23" s="149"/>
    </row>
    <row r="24" spans="1:19" s="29" customFormat="1" ht="14.1" customHeight="1">
      <c r="A24" s="151"/>
      <c r="B24" s="153"/>
      <c r="C24" s="38" t="s">
        <v>90</v>
      </c>
      <c r="D24" s="150"/>
      <c r="E24" s="150"/>
      <c r="F24" s="150"/>
      <c r="G24" s="150"/>
    </row>
    <row r="25" spans="1:19" s="29" customFormat="1" ht="14.1" customHeight="1">
      <c r="A25" s="152"/>
      <c r="B25" s="39">
        <v>2</v>
      </c>
      <c r="C25" s="38" t="s">
        <v>91</v>
      </c>
      <c r="D25" s="39">
        <f>ROUNDUP(11322*1.2,0)</f>
        <v>13587</v>
      </c>
      <c r="E25" s="39" t="s">
        <v>84</v>
      </c>
      <c r="F25" s="39" t="s">
        <v>84</v>
      </c>
      <c r="G25" s="39" t="s">
        <v>84</v>
      </c>
    </row>
    <row r="26" spans="1:19" s="29" customFormat="1" ht="14.1" customHeight="1">
      <c r="A26" s="133" t="s">
        <v>92</v>
      </c>
      <c r="B26" s="143" t="s">
        <v>93</v>
      </c>
      <c r="C26" s="38" t="s">
        <v>94</v>
      </c>
      <c r="D26" s="148">
        <f>ROUNDUP(13585*1.2,0)</f>
        <v>16302</v>
      </c>
      <c r="E26" s="148" t="s">
        <v>84</v>
      </c>
      <c r="F26" s="148">
        <f>ROUNDUP(13791*1.2,0)</f>
        <v>16550</v>
      </c>
      <c r="G26" s="148">
        <f>ROUNDUP(15043*1.2,0)</f>
        <v>18052</v>
      </c>
    </row>
    <row r="27" spans="1:19" s="29" customFormat="1" ht="14.1" customHeight="1">
      <c r="A27" s="133"/>
      <c r="B27" s="143"/>
      <c r="C27" s="38" t="s">
        <v>95</v>
      </c>
      <c r="D27" s="149"/>
      <c r="E27" s="149"/>
      <c r="F27" s="149"/>
      <c r="G27" s="149"/>
    </row>
    <row r="28" spans="1:19" s="29" customFormat="1" ht="14.1" customHeight="1">
      <c r="A28" s="133"/>
      <c r="B28" s="147">
        <v>1</v>
      </c>
      <c r="C28" s="40" t="s">
        <v>96</v>
      </c>
      <c r="D28" s="140">
        <f>ROUNDUP(13585*1.2,0)</f>
        <v>16302</v>
      </c>
      <c r="E28" s="144" t="s">
        <v>84</v>
      </c>
      <c r="F28" s="144" t="s">
        <v>84</v>
      </c>
      <c r="G28" s="144" t="s">
        <v>84</v>
      </c>
    </row>
    <row r="29" spans="1:19" s="29" customFormat="1" ht="14.1" customHeight="1" outlineLevel="1">
      <c r="A29" s="133"/>
      <c r="B29" s="147"/>
      <c r="C29" s="38" t="s">
        <v>97</v>
      </c>
      <c r="D29" s="140"/>
      <c r="E29" s="144"/>
      <c r="F29" s="144"/>
      <c r="G29" s="144"/>
    </row>
    <row r="30" spans="1:19" s="29" customFormat="1" ht="14.1" customHeight="1">
      <c r="A30" s="133"/>
      <c r="B30" s="147"/>
      <c r="C30" s="38" t="s">
        <v>98</v>
      </c>
      <c r="D30" s="140"/>
      <c r="E30" s="144"/>
      <c r="F30" s="144"/>
      <c r="G30" s="144"/>
    </row>
    <row r="31" spans="1:19" s="29" customFormat="1" ht="14.1" customHeight="1">
      <c r="A31" s="133"/>
      <c r="B31" s="147"/>
      <c r="C31" s="38" t="s">
        <v>99</v>
      </c>
      <c r="D31" s="140"/>
      <c r="E31" s="144"/>
      <c r="F31" s="144"/>
      <c r="G31" s="144"/>
    </row>
    <row r="32" spans="1:19" s="29" customFormat="1" ht="14.1" customHeight="1">
      <c r="A32" s="133"/>
      <c r="B32" s="147"/>
      <c r="C32" s="38" t="s">
        <v>100</v>
      </c>
      <c r="D32" s="140"/>
      <c r="E32" s="144"/>
      <c r="F32" s="144"/>
      <c r="G32" s="144"/>
    </row>
    <row r="33" spans="1:7" s="29" customFormat="1" ht="14.1" customHeight="1">
      <c r="A33" s="133"/>
      <c r="B33" s="146">
        <v>2</v>
      </c>
      <c r="C33" s="38" t="s">
        <v>101</v>
      </c>
      <c r="D33" s="140">
        <f>ROUNDUP(13791*1.2,0)</f>
        <v>16550</v>
      </c>
      <c r="E33" s="144" t="s">
        <v>84</v>
      </c>
      <c r="F33" s="144" t="s">
        <v>84</v>
      </c>
      <c r="G33" s="144" t="s">
        <v>84</v>
      </c>
    </row>
    <row r="34" spans="1:7" s="29" customFormat="1" ht="14.1" customHeight="1">
      <c r="A34" s="133"/>
      <c r="B34" s="147"/>
      <c r="C34" s="38" t="s">
        <v>102</v>
      </c>
      <c r="D34" s="140"/>
      <c r="E34" s="144"/>
      <c r="F34" s="144"/>
      <c r="G34" s="144"/>
    </row>
    <row r="35" spans="1:7" s="29" customFormat="1" ht="14.1" customHeight="1">
      <c r="A35" s="133"/>
      <c r="B35" s="147"/>
      <c r="C35" s="38" t="s">
        <v>103</v>
      </c>
      <c r="D35" s="140"/>
      <c r="E35" s="144"/>
      <c r="F35" s="144"/>
      <c r="G35" s="144"/>
    </row>
    <row r="36" spans="1:7" s="29" customFormat="1" ht="14.1" customHeight="1">
      <c r="A36" s="133"/>
      <c r="B36" s="147"/>
      <c r="C36" s="38" t="s">
        <v>104</v>
      </c>
      <c r="D36" s="140"/>
      <c r="E36" s="144"/>
      <c r="F36" s="144"/>
      <c r="G36" s="144"/>
    </row>
    <row r="37" spans="1:7" s="29" customFormat="1" ht="14.1" customHeight="1">
      <c r="A37" s="133"/>
      <c r="B37" s="41">
        <v>3</v>
      </c>
      <c r="C37" s="38" t="s">
        <v>105</v>
      </c>
      <c r="D37" s="39">
        <f>ROUNDUP(15047*1.2,0)</f>
        <v>18057</v>
      </c>
      <c r="E37" s="42" t="s">
        <v>84</v>
      </c>
      <c r="F37" s="42" t="s">
        <v>84</v>
      </c>
      <c r="G37" s="42" t="s">
        <v>84</v>
      </c>
    </row>
    <row r="38" spans="1:7" s="29" customFormat="1" ht="14.1" customHeight="1">
      <c r="A38" s="133"/>
      <c r="B38" s="39">
        <v>4</v>
      </c>
      <c r="C38" s="38" t="s">
        <v>106</v>
      </c>
      <c r="D38" s="39">
        <f>ROUNDUP(16303*1.2,0)</f>
        <v>19564</v>
      </c>
      <c r="E38" s="42" t="s">
        <v>84</v>
      </c>
      <c r="F38" s="42" t="s">
        <v>84</v>
      </c>
      <c r="G38" s="42" t="s">
        <v>84</v>
      </c>
    </row>
    <row r="39" spans="1:7" s="29" customFormat="1" ht="14.1" customHeight="1">
      <c r="A39" s="133"/>
      <c r="B39" s="41">
        <v>5</v>
      </c>
      <c r="C39" s="38" t="s">
        <v>107</v>
      </c>
      <c r="D39" s="43">
        <f>ROUNDUP(17553*1.2,0)</f>
        <v>21064</v>
      </c>
      <c r="E39" s="44" t="s">
        <v>84</v>
      </c>
      <c r="F39" s="44" t="s">
        <v>84</v>
      </c>
      <c r="G39" s="44" t="s">
        <v>84</v>
      </c>
    </row>
    <row r="40" spans="1:7" s="29" customFormat="1" ht="13.15" customHeight="1">
      <c r="A40" s="133" t="s">
        <v>108</v>
      </c>
      <c r="B40" s="143">
        <v>1</v>
      </c>
      <c r="C40" s="38" t="s">
        <v>109</v>
      </c>
      <c r="D40" s="140">
        <f>ROUNDUP(13990*1.2,0)</f>
        <v>16788</v>
      </c>
      <c r="E40" s="144" t="s">
        <v>84</v>
      </c>
      <c r="F40" s="144" t="s">
        <v>84</v>
      </c>
      <c r="G40" s="144" t="s">
        <v>84</v>
      </c>
    </row>
    <row r="41" spans="1:7" s="29" customFormat="1" ht="14.25" customHeight="1" outlineLevel="1">
      <c r="A41" s="133"/>
      <c r="B41" s="143"/>
      <c r="C41" s="38" t="s">
        <v>110</v>
      </c>
      <c r="D41" s="140"/>
      <c r="E41" s="144"/>
      <c r="F41" s="144"/>
      <c r="G41" s="144"/>
    </row>
    <row r="42" spans="1:7" s="29" customFormat="1" ht="14.1" customHeight="1">
      <c r="A42" s="133"/>
      <c r="B42" s="143"/>
      <c r="C42" s="38" t="s">
        <v>111</v>
      </c>
      <c r="D42" s="140"/>
      <c r="E42" s="144"/>
      <c r="F42" s="144"/>
      <c r="G42" s="144"/>
    </row>
    <row r="43" spans="1:7" s="29" customFormat="1" ht="14.1" customHeight="1">
      <c r="A43" s="133"/>
      <c r="B43" s="143"/>
      <c r="C43" s="38" t="s">
        <v>112</v>
      </c>
      <c r="D43" s="140"/>
      <c r="E43" s="144"/>
      <c r="F43" s="144"/>
      <c r="G43" s="144"/>
    </row>
    <row r="44" spans="1:7" s="29" customFormat="1" ht="12.6" customHeight="1" outlineLevel="1">
      <c r="A44" s="133"/>
      <c r="B44" s="143"/>
      <c r="C44" s="38" t="s">
        <v>113</v>
      </c>
      <c r="D44" s="140"/>
      <c r="E44" s="144"/>
      <c r="F44" s="144"/>
      <c r="G44" s="144"/>
    </row>
    <row r="45" spans="1:7" s="29" customFormat="1" ht="13.15" customHeight="1">
      <c r="A45" s="133"/>
      <c r="B45" s="143"/>
      <c r="C45" s="38" t="s">
        <v>114</v>
      </c>
      <c r="D45" s="140"/>
      <c r="E45" s="144"/>
      <c r="F45" s="144"/>
      <c r="G45" s="144"/>
    </row>
    <row r="46" spans="1:7" s="29" customFormat="1" ht="14.1" customHeight="1">
      <c r="A46" s="133"/>
      <c r="B46" s="143"/>
      <c r="C46" s="38" t="s">
        <v>115</v>
      </c>
      <c r="D46" s="140"/>
      <c r="E46" s="144"/>
      <c r="F46" s="144"/>
      <c r="G46" s="144"/>
    </row>
    <row r="47" spans="1:7" s="29" customFormat="1" ht="14.25" customHeight="1">
      <c r="A47" s="133"/>
      <c r="B47" s="145" t="s">
        <v>93</v>
      </c>
      <c r="C47" s="38" t="s">
        <v>116</v>
      </c>
      <c r="D47" s="140">
        <f>ROUNDUP(13990*1.2,0)</f>
        <v>16788</v>
      </c>
      <c r="E47" s="140" t="s">
        <v>84</v>
      </c>
      <c r="F47" s="140">
        <f>ROUNDUP(16473*1.2,0)</f>
        <v>19768</v>
      </c>
      <c r="G47" s="140">
        <f>ROUNDUP(19058*1.2,0)</f>
        <v>22870</v>
      </c>
    </row>
    <row r="48" spans="1:7" s="29" customFormat="1" ht="14.1" customHeight="1">
      <c r="A48" s="133"/>
      <c r="B48" s="145"/>
      <c r="C48" s="38" t="s">
        <v>117</v>
      </c>
      <c r="D48" s="140"/>
      <c r="E48" s="140"/>
      <c r="F48" s="140"/>
      <c r="G48" s="140"/>
    </row>
    <row r="49" spans="1:7" s="29" customFormat="1" ht="14.1" customHeight="1">
      <c r="A49" s="133"/>
      <c r="B49" s="145"/>
      <c r="C49" s="38" t="s">
        <v>118</v>
      </c>
      <c r="D49" s="140"/>
      <c r="E49" s="140"/>
      <c r="F49" s="140"/>
      <c r="G49" s="140"/>
    </row>
    <row r="50" spans="1:7" s="29" customFormat="1" ht="14.1" customHeight="1">
      <c r="A50" s="133"/>
      <c r="B50" s="145"/>
      <c r="C50" s="38" t="s">
        <v>119</v>
      </c>
      <c r="D50" s="140"/>
      <c r="E50" s="140"/>
      <c r="F50" s="140"/>
      <c r="G50" s="140"/>
    </row>
    <row r="51" spans="1:7" s="29" customFormat="1" ht="14.1" customHeight="1">
      <c r="A51" s="133"/>
      <c r="B51" s="145"/>
      <c r="C51" s="38" t="s">
        <v>120</v>
      </c>
      <c r="D51" s="140"/>
      <c r="E51" s="140"/>
      <c r="F51" s="140"/>
      <c r="G51" s="140"/>
    </row>
    <row r="52" spans="1:7" s="29" customFormat="1" ht="14.1" customHeight="1">
      <c r="A52" s="133"/>
      <c r="B52" s="145"/>
      <c r="C52" s="38" t="s">
        <v>121</v>
      </c>
      <c r="D52" s="140">
        <f>ROUNDUP(13990*1.2,0)</f>
        <v>16788</v>
      </c>
      <c r="E52" s="140">
        <f>ROUNDUP(14718*1.2,0)</f>
        <v>17662</v>
      </c>
      <c r="F52" s="140">
        <f>ROUNDUP(16473*1.2,0)</f>
        <v>19768</v>
      </c>
      <c r="G52" s="140">
        <f>ROUNDUP(19058*1.2,0)</f>
        <v>22870</v>
      </c>
    </row>
    <row r="53" spans="1:7" s="29" customFormat="1" ht="14.1" customHeight="1">
      <c r="A53" s="133"/>
      <c r="B53" s="145"/>
      <c r="C53" s="38" t="s">
        <v>122</v>
      </c>
      <c r="D53" s="140"/>
      <c r="E53" s="140"/>
      <c r="F53" s="140"/>
      <c r="G53" s="140"/>
    </row>
    <row r="54" spans="1:7" s="29" customFormat="1" ht="14.1" customHeight="1">
      <c r="A54" s="133"/>
      <c r="B54" s="145"/>
      <c r="C54" s="38" t="s">
        <v>123</v>
      </c>
      <c r="D54" s="140"/>
      <c r="E54" s="140"/>
      <c r="F54" s="140"/>
      <c r="G54" s="140"/>
    </row>
    <row r="55" spans="1:7" s="29" customFormat="1" ht="16.899999999999999" customHeight="1">
      <c r="A55" s="133"/>
      <c r="B55" s="39">
        <v>5</v>
      </c>
      <c r="C55" s="38" t="s">
        <v>124</v>
      </c>
      <c r="D55" s="39">
        <f>ROUNDUP(19173*1.2,0)</f>
        <v>23008</v>
      </c>
      <c r="E55" s="42" t="s">
        <v>84</v>
      </c>
      <c r="F55" s="42" t="s">
        <v>84</v>
      </c>
      <c r="G55" s="42" t="s">
        <v>84</v>
      </c>
    </row>
    <row r="56" spans="1:7" s="29" customFormat="1" ht="55.5" customHeight="1">
      <c r="A56" s="45" t="s">
        <v>125</v>
      </c>
      <c r="B56" s="39">
        <v>3</v>
      </c>
      <c r="C56" s="38" t="s">
        <v>126</v>
      </c>
      <c r="D56" s="8">
        <f>ROUNDUP(23800*1.2,0)</f>
        <v>28560</v>
      </c>
      <c r="E56" s="46" t="s">
        <v>84</v>
      </c>
      <c r="F56" s="46" t="s">
        <v>84</v>
      </c>
      <c r="G56" s="46" t="s">
        <v>84</v>
      </c>
    </row>
    <row r="57" spans="1:7" s="29" customFormat="1">
      <c r="A57" s="47"/>
      <c r="B57" s="48"/>
      <c r="C57" s="49"/>
      <c r="D57" s="48"/>
      <c r="E57" s="28"/>
    </row>
    <row r="58" spans="1:7" s="29" customFormat="1">
      <c r="A58" s="50"/>
      <c r="B58" s="48"/>
      <c r="C58" s="49"/>
      <c r="D58" s="48"/>
      <c r="E58" s="28"/>
      <c r="G58" s="31" t="s">
        <v>18</v>
      </c>
    </row>
    <row r="59" spans="1:7" s="29" customFormat="1" ht="56.45" customHeight="1">
      <c r="A59" s="142" t="s">
        <v>127</v>
      </c>
      <c r="B59" s="142"/>
      <c r="C59" s="142"/>
      <c r="D59" s="142"/>
      <c r="E59" s="142"/>
      <c r="F59" s="142"/>
      <c r="G59" s="142"/>
    </row>
    <row r="61" spans="1:7" s="29" customFormat="1" ht="25.15" customHeight="1">
      <c r="A61" s="134" t="s">
        <v>128</v>
      </c>
      <c r="B61" s="135"/>
      <c r="C61" s="136"/>
      <c r="D61" s="140" t="s">
        <v>77</v>
      </c>
      <c r="E61" s="140"/>
      <c r="F61" s="140"/>
      <c r="G61" s="140"/>
    </row>
    <row r="62" spans="1:7" s="29" customFormat="1" ht="33.75">
      <c r="A62" s="137"/>
      <c r="B62" s="138"/>
      <c r="C62" s="139"/>
      <c r="D62" s="51" t="s">
        <v>78</v>
      </c>
      <c r="E62" s="35" t="s">
        <v>79</v>
      </c>
      <c r="F62" s="35" t="s">
        <v>80</v>
      </c>
      <c r="G62" s="35" t="s">
        <v>81</v>
      </c>
    </row>
    <row r="63" spans="1:7" s="29" customFormat="1">
      <c r="A63" s="125">
        <v>1</v>
      </c>
      <c r="B63" s="141"/>
      <c r="C63" s="126"/>
      <c r="D63" s="35">
        <v>2</v>
      </c>
      <c r="E63" s="35">
        <v>3</v>
      </c>
      <c r="F63" s="35">
        <v>4</v>
      </c>
      <c r="G63" s="35">
        <v>5</v>
      </c>
    </row>
    <row r="64" spans="1:7" s="29" customFormat="1">
      <c r="A64" s="130" t="s">
        <v>129</v>
      </c>
      <c r="B64" s="131"/>
      <c r="C64" s="132"/>
      <c r="D64" s="52" t="s">
        <v>361</v>
      </c>
      <c r="E64" s="53" t="s">
        <v>84</v>
      </c>
      <c r="F64" s="53" t="s">
        <v>84</v>
      </c>
      <c r="G64" s="53" t="s">
        <v>84</v>
      </c>
    </row>
    <row r="65" spans="1:7" s="29" customFormat="1">
      <c r="A65" s="130" t="s">
        <v>130</v>
      </c>
      <c r="B65" s="131"/>
      <c r="C65" s="132"/>
      <c r="D65" s="52">
        <f>ROUNDUP(24620*1.2,0)</f>
        <v>29544</v>
      </c>
      <c r="E65" s="53" t="s">
        <v>84</v>
      </c>
      <c r="F65" s="53" t="s">
        <v>84</v>
      </c>
      <c r="G65" s="53" t="s">
        <v>84</v>
      </c>
    </row>
    <row r="66" spans="1:7" s="29" customFormat="1">
      <c r="A66" s="130" t="s">
        <v>131</v>
      </c>
      <c r="B66" s="131"/>
      <c r="C66" s="132"/>
      <c r="D66" s="52">
        <f>ROUNDUP(21825*1.2,0)</f>
        <v>26190</v>
      </c>
      <c r="E66" s="53"/>
      <c r="F66" s="53"/>
      <c r="G66" s="53"/>
    </row>
    <row r="67" spans="1:7" s="29" customFormat="1" ht="19.350000000000001" customHeight="1">
      <c r="A67" s="130" t="s">
        <v>132</v>
      </c>
      <c r="B67" s="131"/>
      <c r="C67" s="132"/>
      <c r="D67" s="8">
        <f>ROUNDUP(17552*1.2,0)</f>
        <v>21063</v>
      </c>
      <c r="E67" s="53" t="s">
        <v>84</v>
      </c>
      <c r="F67" s="53" t="s">
        <v>84</v>
      </c>
      <c r="G67" s="53" t="s">
        <v>84</v>
      </c>
    </row>
    <row r="68" spans="1:7" s="29" customFormat="1" ht="15.6" customHeight="1">
      <c r="A68" s="133" t="s">
        <v>133</v>
      </c>
      <c r="B68" s="133"/>
      <c r="C68" s="133"/>
      <c r="D68" s="39">
        <f>ROUNDUP(13585*1.2,0)</f>
        <v>16302</v>
      </c>
      <c r="E68" s="53">
        <f>ROUNDUP(13713*1.2,0)</f>
        <v>16456</v>
      </c>
      <c r="F68" s="53">
        <f>ROUNDUP(13791*1.2,0)</f>
        <v>16550</v>
      </c>
      <c r="G68" s="53">
        <f>ROUNDUP(15043*1.2,0)</f>
        <v>18052</v>
      </c>
    </row>
    <row r="69" spans="1:7" s="29" customFormat="1" ht="16.899999999999999" customHeight="1">
      <c r="A69" s="127" t="s">
        <v>134</v>
      </c>
      <c r="B69" s="129"/>
      <c r="C69" s="128"/>
      <c r="D69" s="8">
        <f>ROUNDUP(15043*1.2,0)</f>
        <v>18052</v>
      </c>
      <c r="E69" s="53" t="s">
        <v>84</v>
      </c>
      <c r="F69" s="53" t="s">
        <v>84</v>
      </c>
      <c r="G69" s="53" t="s">
        <v>84</v>
      </c>
    </row>
    <row r="70" spans="1:7" s="29" customFormat="1" ht="12.6" customHeight="1">
      <c r="A70" s="54" t="s">
        <v>135</v>
      </c>
      <c r="B70" s="55"/>
      <c r="C70" s="56"/>
      <c r="D70" s="8">
        <f>ROUNDUP(15043*1.2,0)</f>
        <v>18052</v>
      </c>
      <c r="E70" s="53" t="s">
        <v>84</v>
      </c>
      <c r="F70" s="53" t="s">
        <v>84</v>
      </c>
      <c r="G70" s="53" t="s">
        <v>84</v>
      </c>
    </row>
    <row r="71" spans="1:7" s="29" customFormat="1" ht="15.6" customHeight="1">
      <c r="A71" s="127" t="s">
        <v>136</v>
      </c>
      <c r="B71" s="129"/>
      <c r="C71" s="128"/>
      <c r="D71" s="39">
        <f>ROUNDUP(13990*1.2,0)</f>
        <v>16788</v>
      </c>
      <c r="E71" s="53" t="s">
        <v>84</v>
      </c>
      <c r="F71" s="53" t="s">
        <v>84</v>
      </c>
      <c r="G71" s="53" t="s">
        <v>84</v>
      </c>
    </row>
    <row r="72" spans="1:7" s="29" customFormat="1" ht="15.6" customHeight="1">
      <c r="A72" s="127" t="s">
        <v>137</v>
      </c>
      <c r="B72" s="129"/>
      <c r="C72" s="128"/>
      <c r="D72" s="39">
        <f>ROUNDUP(13990*1.2,0)</f>
        <v>16788</v>
      </c>
      <c r="E72" s="53" t="s">
        <v>84</v>
      </c>
      <c r="F72" s="53" t="s">
        <v>84</v>
      </c>
      <c r="G72" s="53" t="s">
        <v>84</v>
      </c>
    </row>
    <row r="73" spans="1:7" s="29" customFormat="1" ht="15.6" customHeight="1">
      <c r="A73" s="127" t="s">
        <v>138</v>
      </c>
      <c r="B73" s="129"/>
      <c r="C73" s="128"/>
      <c r="D73" s="39">
        <f>ROUNDUP(13990*1.2,0)</f>
        <v>16788</v>
      </c>
      <c r="E73" s="53" t="s">
        <v>84</v>
      </c>
      <c r="F73" s="53">
        <f>ROUNDUP(16473*1.2,0)</f>
        <v>19768</v>
      </c>
      <c r="G73" s="53">
        <f>ROUNDUP(19058*1.2,0)</f>
        <v>22870</v>
      </c>
    </row>
    <row r="74" spans="1:7" s="29" customFormat="1" ht="15.6" customHeight="1">
      <c r="A74" s="127" t="s">
        <v>139</v>
      </c>
      <c r="B74" s="129"/>
      <c r="C74" s="128"/>
      <c r="D74" s="39">
        <f>ROUNDUP(19058*1.2,0)</f>
        <v>22870</v>
      </c>
      <c r="E74" s="53" t="s">
        <v>84</v>
      </c>
      <c r="F74" s="53" t="s">
        <v>84</v>
      </c>
      <c r="G74" s="53" t="s">
        <v>84</v>
      </c>
    </row>
    <row r="75" spans="1:7" s="29" customFormat="1" ht="15.6" customHeight="1">
      <c r="A75" s="127" t="s">
        <v>140</v>
      </c>
      <c r="B75" s="129"/>
      <c r="C75" s="128"/>
      <c r="D75" s="39">
        <f>ROUNDUP(19058*1.2,0)</f>
        <v>22870</v>
      </c>
      <c r="E75" s="53" t="s">
        <v>84</v>
      </c>
      <c r="F75" s="53" t="s">
        <v>84</v>
      </c>
      <c r="G75" s="53" t="s">
        <v>84</v>
      </c>
    </row>
    <row r="76" spans="1:7" s="29" customFormat="1" ht="15.6" customHeight="1">
      <c r="A76" s="127" t="s">
        <v>141</v>
      </c>
      <c r="B76" s="129"/>
      <c r="C76" s="128"/>
      <c r="D76" s="39">
        <f>ROUNDUP(19845*1.2,0)</f>
        <v>23814</v>
      </c>
      <c r="E76" s="42" t="s">
        <v>84</v>
      </c>
      <c r="F76" s="42" t="s">
        <v>84</v>
      </c>
      <c r="G76" s="42" t="s">
        <v>84</v>
      </c>
    </row>
    <row r="77" spans="1:7" s="29" customFormat="1">
      <c r="A77" s="50"/>
      <c r="B77" s="48"/>
      <c r="C77" s="49"/>
      <c r="D77" s="48"/>
      <c r="E77" s="28"/>
    </row>
    <row r="78" spans="1:7" s="29" customFormat="1">
      <c r="A78" s="50"/>
      <c r="B78" s="48"/>
      <c r="C78" s="49"/>
      <c r="D78" s="48"/>
      <c r="E78" s="28"/>
    </row>
    <row r="79" spans="1:7" s="29" customFormat="1">
      <c r="A79" s="50"/>
      <c r="B79" s="48"/>
      <c r="C79" s="57"/>
      <c r="D79" s="58"/>
      <c r="E79" s="28"/>
    </row>
    <row r="80" spans="1:7" s="29" customFormat="1">
      <c r="A80" s="50"/>
      <c r="B80" s="48"/>
      <c r="C80" s="49"/>
      <c r="D80" s="48"/>
      <c r="E80" s="28"/>
    </row>
    <row r="81" spans="1:19" s="29" customFormat="1">
      <c r="A81" s="50"/>
      <c r="B81" s="48"/>
      <c r="C81" s="49"/>
      <c r="D81" s="48"/>
      <c r="E81" s="28"/>
    </row>
    <row r="82" spans="1:19" s="29" customFormat="1">
      <c r="A82" s="50"/>
      <c r="B82" s="48"/>
      <c r="C82" s="49"/>
      <c r="D82" s="48"/>
      <c r="E82" s="28"/>
    </row>
    <row r="83" spans="1:19" s="28" customFormat="1">
      <c r="A83" s="50"/>
      <c r="B83" s="48"/>
      <c r="C83" s="49"/>
      <c r="D83" s="48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</row>
    <row r="84" spans="1:19" s="28" customFormat="1">
      <c r="A84" s="50"/>
      <c r="B84" s="48"/>
      <c r="C84" s="49"/>
      <c r="D84" s="48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</row>
    <row r="85" spans="1:19" s="28" customFormat="1">
      <c r="A85" s="50"/>
      <c r="B85" s="48"/>
      <c r="C85" s="49"/>
      <c r="D85" s="48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</row>
    <row r="86" spans="1:19" s="28" customFormat="1">
      <c r="A86" s="50"/>
      <c r="B86" s="48"/>
      <c r="C86" s="49"/>
      <c r="D86" s="48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</row>
    <row r="87" spans="1:19" s="28" customFormat="1">
      <c r="A87" s="50"/>
      <c r="B87" s="48"/>
      <c r="C87" s="49"/>
      <c r="D87" s="48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</row>
    <row r="88" spans="1:19" s="28" customFormat="1">
      <c r="A88" s="50"/>
      <c r="B88" s="48"/>
      <c r="C88" s="49"/>
      <c r="D88" s="48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</row>
    <row r="89" spans="1:19" s="28" customFormat="1">
      <c r="A89" s="50"/>
      <c r="B89" s="48"/>
      <c r="C89" s="49"/>
      <c r="D89" s="48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</row>
    <row r="90" spans="1:19" s="28" customFormat="1">
      <c r="A90" s="50"/>
      <c r="B90" s="48"/>
      <c r="C90" s="49"/>
      <c r="D90" s="48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</row>
    <row r="91" spans="1:19" s="28" customFormat="1">
      <c r="A91" s="50"/>
      <c r="B91" s="48"/>
      <c r="C91" s="49"/>
      <c r="D91" s="48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</row>
    <row r="92" spans="1:19" s="28" customFormat="1">
      <c r="A92" s="50"/>
      <c r="B92" s="48"/>
      <c r="C92" s="49"/>
      <c r="D92" s="48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</row>
    <row r="93" spans="1:19" s="28" customFormat="1">
      <c r="A93" s="50"/>
      <c r="B93" s="48"/>
      <c r="C93" s="49"/>
      <c r="D93" s="48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</row>
    <row r="94" spans="1:19" s="28" customFormat="1">
      <c r="A94" s="50"/>
      <c r="B94" s="48"/>
      <c r="C94" s="49"/>
      <c r="D94" s="48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</row>
    <row r="95" spans="1:19" s="28" customFormat="1">
      <c r="A95" s="50"/>
      <c r="B95" s="48"/>
      <c r="C95" s="49"/>
      <c r="D95" s="48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</row>
    <row r="96" spans="1:19" s="28" customFormat="1">
      <c r="A96" s="50"/>
      <c r="B96" s="48"/>
      <c r="C96" s="49"/>
      <c r="D96" s="48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</row>
    <row r="97" spans="1:19" s="28" customFormat="1">
      <c r="A97" s="50"/>
      <c r="B97" s="48"/>
      <c r="C97" s="49"/>
      <c r="D97" s="48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</row>
    <row r="98" spans="1:19" s="28" customFormat="1">
      <c r="A98" s="50"/>
      <c r="B98" s="48"/>
      <c r="C98" s="49"/>
      <c r="D98" s="48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</row>
    <row r="99" spans="1:19" s="28" customFormat="1">
      <c r="A99" s="50"/>
      <c r="B99" s="48"/>
      <c r="C99" s="49"/>
      <c r="D99" s="48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</row>
    <row r="100" spans="1:19" s="28" customFormat="1">
      <c r="A100" s="50"/>
      <c r="B100" s="48"/>
      <c r="C100" s="49"/>
      <c r="D100" s="48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</row>
    <row r="101" spans="1:19" s="28" customFormat="1">
      <c r="A101" s="50"/>
      <c r="B101" s="48"/>
      <c r="C101" s="49"/>
      <c r="D101" s="48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</row>
    <row r="102" spans="1:19" s="28" customFormat="1">
      <c r="A102" s="50"/>
      <c r="B102" s="48"/>
      <c r="C102" s="49"/>
      <c r="D102" s="48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</row>
    <row r="103" spans="1:19" s="28" customFormat="1">
      <c r="A103" s="50"/>
      <c r="B103" s="48"/>
      <c r="C103" s="49"/>
      <c r="D103" s="48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</row>
    <row r="104" spans="1:19" s="28" customFormat="1">
      <c r="A104" s="50"/>
      <c r="B104" s="48"/>
      <c r="C104" s="49"/>
      <c r="D104" s="48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</row>
    <row r="105" spans="1:19" s="28" customFormat="1">
      <c r="A105" s="50"/>
      <c r="B105" s="48"/>
      <c r="C105" s="49"/>
      <c r="D105" s="48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</row>
    <row r="106" spans="1:19" s="28" customFormat="1">
      <c r="A106" s="50"/>
      <c r="B106" s="48"/>
      <c r="C106" s="49"/>
      <c r="D106" s="48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</row>
    <row r="107" spans="1:19" s="28" customFormat="1">
      <c r="A107" s="50"/>
      <c r="B107" s="48"/>
      <c r="C107" s="49"/>
      <c r="D107" s="48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</row>
    <row r="108" spans="1:19" s="28" customFormat="1">
      <c r="A108" s="50"/>
      <c r="B108" s="48"/>
      <c r="C108" s="49"/>
      <c r="D108" s="48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</row>
    <row r="109" spans="1:19" s="28" customFormat="1">
      <c r="A109" s="50"/>
      <c r="B109" s="48"/>
      <c r="C109" s="49"/>
      <c r="D109" s="48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</row>
    <row r="110" spans="1:19" s="28" customFormat="1">
      <c r="A110" s="50"/>
      <c r="B110" s="48"/>
      <c r="C110" s="49"/>
      <c r="D110" s="48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</row>
    <row r="111" spans="1:19" s="28" customFormat="1">
      <c r="A111" s="50"/>
      <c r="B111" s="48"/>
      <c r="C111" s="49"/>
      <c r="D111" s="48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</row>
    <row r="112" spans="1:19" s="28" customFormat="1">
      <c r="A112" s="50"/>
      <c r="B112" s="48"/>
      <c r="C112" s="49"/>
      <c r="D112" s="48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</row>
    <row r="113" spans="1:19" s="28" customFormat="1">
      <c r="A113" s="50"/>
      <c r="B113" s="48"/>
      <c r="C113" s="49"/>
      <c r="D113" s="48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</row>
    <row r="114" spans="1:19" s="28" customFormat="1">
      <c r="A114" s="50"/>
      <c r="B114" s="48"/>
      <c r="C114" s="49"/>
      <c r="D114" s="48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</row>
    <row r="115" spans="1:19" s="28" customFormat="1">
      <c r="A115" s="50"/>
      <c r="B115" s="48"/>
      <c r="C115" s="49"/>
      <c r="D115" s="48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</row>
    <row r="116" spans="1:19" s="28" customFormat="1">
      <c r="A116" s="50"/>
      <c r="B116" s="48"/>
      <c r="C116" s="49"/>
      <c r="D116" s="48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</row>
    <row r="117" spans="1:19" s="28" customFormat="1">
      <c r="A117" s="50"/>
      <c r="B117" s="48"/>
      <c r="C117" s="49"/>
      <c r="D117" s="48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</row>
    <row r="118" spans="1:19" s="28" customFormat="1">
      <c r="A118" s="50"/>
      <c r="B118" s="48"/>
      <c r="C118" s="49"/>
      <c r="D118" s="48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</row>
    <row r="119" spans="1:19" s="28" customFormat="1">
      <c r="A119" s="50"/>
      <c r="B119" s="48"/>
      <c r="C119" s="49"/>
      <c r="D119" s="48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</row>
    <row r="120" spans="1:19" s="28" customFormat="1">
      <c r="A120" s="50"/>
      <c r="B120" s="48"/>
      <c r="C120" s="49"/>
      <c r="D120" s="48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</row>
    <row r="121" spans="1:19" s="28" customFormat="1">
      <c r="A121" s="50"/>
      <c r="B121" s="48"/>
      <c r="C121" s="49"/>
      <c r="D121" s="48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</row>
    <row r="122" spans="1:19" s="28" customFormat="1">
      <c r="A122" s="50"/>
      <c r="B122" s="48"/>
      <c r="C122" s="49"/>
      <c r="D122" s="48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</row>
    <row r="123" spans="1:19" s="28" customFormat="1">
      <c r="A123" s="50"/>
      <c r="B123" s="48"/>
      <c r="C123" s="49"/>
      <c r="D123" s="48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</row>
    <row r="124" spans="1:19" s="28" customFormat="1">
      <c r="A124" s="50"/>
      <c r="B124" s="48"/>
      <c r="C124" s="49"/>
      <c r="D124" s="48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</row>
    <row r="125" spans="1:19" s="28" customFormat="1">
      <c r="A125" s="50"/>
      <c r="B125" s="48"/>
      <c r="C125" s="49"/>
      <c r="D125" s="48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</row>
    <row r="126" spans="1:19" s="28" customFormat="1">
      <c r="A126" s="50"/>
      <c r="B126" s="48"/>
      <c r="C126" s="49"/>
      <c r="D126" s="48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</row>
    <row r="127" spans="1:19" s="28" customFormat="1">
      <c r="A127" s="50"/>
      <c r="B127" s="48"/>
      <c r="C127" s="49"/>
      <c r="D127" s="48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</row>
    <row r="128" spans="1:19" s="28" customFormat="1">
      <c r="A128" s="50"/>
      <c r="B128" s="48"/>
      <c r="C128" s="49"/>
      <c r="D128" s="48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</row>
    <row r="129" spans="1:19" s="28" customFormat="1">
      <c r="A129" s="50"/>
      <c r="B129" s="48"/>
      <c r="C129" s="49"/>
      <c r="D129" s="48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</row>
    <row r="130" spans="1:19" s="28" customFormat="1">
      <c r="A130" s="50"/>
      <c r="B130" s="48"/>
      <c r="C130" s="49"/>
      <c r="D130" s="48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</row>
    <row r="131" spans="1:19" s="28" customFormat="1">
      <c r="A131" s="50"/>
      <c r="B131" s="48"/>
      <c r="C131" s="49"/>
      <c r="D131" s="48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</row>
    <row r="132" spans="1:19" s="28" customFormat="1">
      <c r="A132" s="50"/>
      <c r="B132" s="48"/>
      <c r="C132" s="49"/>
      <c r="D132" s="48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</row>
  </sheetData>
  <mergeCells count="58">
    <mergeCell ref="A13:G13"/>
    <mergeCell ref="A15:A16"/>
    <mergeCell ref="B15:B16"/>
    <mergeCell ref="C15:C16"/>
    <mergeCell ref="D15:G15"/>
    <mergeCell ref="G18:G24"/>
    <mergeCell ref="A26:A39"/>
    <mergeCell ref="B26:B27"/>
    <mergeCell ref="D26:D27"/>
    <mergeCell ref="E26:E27"/>
    <mergeCell ref="F26:F27"/>
    <mergeCell ref="G26:G27"/>
    <mergeCell ref="B28:B32"/>
    <mergeCell ref="D28:D32"/>
    <mergeCell ref="E28:E32"/>
    <mergeCell ref="A18:A25"/>
    <mergeCell ref="B18:B24"/>
    <mergeCell ref="D18:D24"/>
    <mergeCell ref="E18:E24"/>
    <mergeCell ref="F18:F24"/>
    <mergeCell ref="F47:F51"/>
    <mergeCell ref="F28:F32"/>
    <mergeCell ref="G28:G32"/>
    <mergeCell ref="B33:B36"/>
    <mergeCell ref="D33:D36"/>
    <mergeCell ref="E33:E36"/>
    <mergeCell ref="F33:F36"/>
    <mergeCell ref="G33:G36"/>
    <mergeCell ref="A66:C66"/>
    <mergeCell ref="G47:G51"/>
    <mergeCell ref="D52:D54"/>
    <mergeCell ref="E52:E54"/>
    <mergeCell ref="F52:F54"/>
    <mergeCell ref="G52:G54"/>
    <mergeCell ref="A59:G59"/>
    <mergeCell ref="A40:A55"/>
    <mergeCell ref="B40:B46"/>
    <mergeCell ref="D40:D46"/>
    <mergeCell ref="E40:E46"/>
    <mergeCell ref="F40:F46"/>
    <mergeCell ref="G40:G46"/>
    <mergeCell ref="B47:B54"/>
    <mergeCell ref="D47:D51"/>
    <mergeCell ref="E47:E51"/>
    <mergeCell ref="A61:C62"/>
    <mergeCell ref="D61:G61"/>
    <mergeCell ref="A63:C63"/>
    <mergeCell ref="A64:C64"/>
    <mergeCell ref="A65:C65"/>
    <mergeCell ref="A74:C74"/>
    <mergeCell ref="A75:C75"/>
    <mergeCell ref="A76:C76"/>
    <mergeCell ref="A67:C67"/>
    <mergeCell ref="A68:C68"/>
    <mergeCell ref="A69:C69"/>
    <mergeCell ref="A71:C71"/>
    <mergeCell ref="A72:C72"/>
    <mergeCell ref="A73:C73"/>
  </mergeCells>
  <printOptions horizontalCentered="1"/>
  <pageMargins left="0" right="0" top="0.59055118110236227" bottom="0.39370078740157483" header="0.51181102362204722" footer="0.51181102362204722"/>
  <pageSetup paperSize="9" firstPageNumber="7" orientation="portrait" useFirstPageNumber="1" r:id="rId1"/>
  <headerFooter alignWithMargins="0">
    <oddHeader>&amp;C&amp;"Times New Roman,обычный"&amp;P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O129"/>
  <sheetViews>
    <sheetView view="pageBreakPreview" topLeftCell="A99" zoomScale="90" zoomScaleSheetLayoutView="90" workbookViewId="0">
      <selection activeCell="C130" sqref="C130"/>
    </sheetView>
  </sheetViews>
  <sheetFormatPr defaultColWidth="9.140625" defaultRowHeight="12.75" outlineLevelCol="1"/>
  <cols>
    <col min="1" max="1" width="4" style="1" customWidth="1" outlineLevel="1"/>
    <col min="2" max="2" width="73.28515625" style="1" customWidth="1"/>
    <col min="3" max="3" width="28.140625" style="59" customWidth="1"/>
    <col min="4" max="4" width="8.140625" style="60" customWidth="1"/>
    <col min="5" max="5" width="7.7109375" style="60" customWidth="1"/>
    <col min="6" max="6" width="8.42578125" style="60" customWidth="1"/>
    <col min="7" max="7" width="7.5703125" style="60" customWidth="1"/>
    <col min="8" max="8" width="7" style="60" customWidth="1"/>
    <col min="9" max="255" width="9.140625" style="1"/>
    <col min="256" max="256" width="20.7109375" style="1" customWidth="1"/>
    <col min="257" max="257" width="7.5703125" style="1" customWidth="1"/>
    <col min="258" max="258" width="56.7109375" style="1" customWidth="1"/>
    <col min="259" max="259" width="17.5703125" style="1" customWidth="1"/>
    <col min="260" max="260" width="8.140625" style="1" customWidth="1"/>
    <col min="261" max="261" width="8.28515625" style="1" customWidth="1"/>
    <col min="262" max="262" width="8.42578125" style="1" customWidth="1"/>
    <col min="263" max="263" width="9" style="1" customWidth="1"/>
    <col min="264" max="264" width="8.42578125" style="1" customWidth="1"/>
    <col min="265" max="511" width="9.140625" style="1"/>
    <col min="512" max="512" width="20.7109375" style="1" customWidth="1"/>
    <col min="513" max="513" width="7.5703125" style="1" customWidth="1"/>
    <col min="514" max="514" width="56.7109375" style="1" customWidth="1"/>
    <col min="515" max="515" width="17.5703125" style="1" customWidth="1"/>
    <col min="516" max="516" width="8.140625" style="1" customWidth="1"/>
    <col min="517" max="517" width="8.28515625" style="1" customWidth="1"/>
    <col min="518" max="518" width="8.42578125" style="1" customWidth="1"/>
    <col min="519" max="519" width="9" style="1" customWidth="1"/>
    <col min="520" max="520" width="8.42578125" style="1" customWidth="1"/>
    <col min="521" max="767" width="9.140625" style="1"/>
    <col min="768" max="768" width="20.7109375" style="1" customWidth="1"/>
    <col min="769" max="769" width="7.5703125" style="1" customWidth="1"/>
    <col min="770" max="770" width="56.7109375" style="1" customWidth="1"/>
    <col min="771" max="771" width="17.5703125" style="1" customWidth="1"/>
    <col min="772" max="772" width="8.140625" style="1" customWidth="1"/>
    <col min="773" max="773" width="8.28515625" style="1" customWidth="1"/>
    <col min="774" max="774" width="8.42578125" style="1" customWidth="1"/>
    <col min="775" max="775" width="9" style="1" customWidth="1"/>
    <col min="776" max="776" width="8.42578125" style="1" customWidth="1"/>
    <col min="777" max="1023" width="9.140625" style="1"/>
    <col min="1024" max="1024" width="20.7109375" style="1" customWidth="1"/>
    <col min="1025" max="1025" width="7.5703125" style="1" customWidth="1"/>
    <col min="1026" max="1026" width="56.7109375" style="1" customWidth="1"/>
    <col min="1027" max="1027" width="17.5703125" style="1" customWidth="1"/>
    <col min="1028" max="1028" width="8.140625" style="1" customWidth="1"/>
    <col min="1029" max="1029" width="8.28515625" style="1" customWidth="1"/>
    <col min="1030" max="1030" width="8.42578125" style="1" customWidth="1"/>
    <col min="1031" max="1031" width="9" style="1" customWidth="1"/>
    <col min="1032" max="1032" width="8.42578125" style="1" customWidth="1"/>
    <col min="1033" max="1279" width="9.140625" style="1"/>
    <col min="1280" max="1280" width="20.7109375" style="1" customWidth="1"/>
    <col min="1281" max="1281" width="7.5703125" style="1" customWidth="1"/>
    <col min="1282" max="1282" width="56.7109375" style="1" customWidth="1"/>
    <col min="1283" max="1283" width="17.5703125" style="1" customWidth="1"/>
    <col min="1284" max="1284" width="8.140625" style="1" customWidth="1"/>
    <col min="1285" max="1285" width="8.28515625" style="1" customWidth="1"/>
    <col min="1286" max="1286" width="8.42578125" style="1" customWidth="1"/>
    <col min="1287" max="1287" width="9" style="1" customWidth="1"/>
    <col min="1288" max="1288" width="8.42578125" style="1" customWidth="1"/>
    <col min="1289" max="1535" width="9.140625" style="1"/>
    <col min="1536" max="1536" width="20.7109375" style="1" customWidth="1"/>
    <col min="1537" max="1537" width="7.5703125" style="1" customWidth="1"/>
    <col min="1538" max="1538" width="56.7109375" style="1" customWidth="1"/>
    <col min="1539" max="1539" width="17.5703125" style="1" customWidth="1"/>
    <col min="1540" max="1540" width="8.140625" style="1" customWidth="1"/>
    <col min="1541" max="1541" width="8.28515625" style="1" customWidth="1"/>
    <col min="1542" max="1542" width="8.42578125" style="1" customWidth="1"/>
    <col min="1543" max="1543" width="9" style="1" customWidth="1"/>
    <col min="1544" max="1544" width="8.42578125" style="1" customWidth="1"/>
    <col min="1545" max="1791" width="9.140625" style="1"/>
    <col min="1792" max="1792" width="20.7109375" style="1" customWidth="1"/>
    <col min="1793" max="1793" width="7.5703125" style="1" customWidth="1"/>
    <col min="1794" max="1794" width="56.7109375" style="1" customWidth="1"/>
    <col min="1795" max="1795" width="17.5703125" style="1" customWidth="1"/>
    <col min="1796" max="1796" width="8.140625" style="1" customWidth="1"/>
    <col min="1797" max="1797" width="8.28515625" style="1" customWidth="1"/>
    <col min="1798" max="1798" width="8.42578125" style="1" customWidth="1"/>
    <col min="1799" max="1799" width="9" style="1" customWidth="1"/>
    <col min="1800" max="1800" width="8.42578125" style="1" customWidth="1"/>
    <col min="1801" max="2047" width="9.140625" style="1"/>
    <col min="2048" max="2048" width="20.7109375" style="1" customWidth="1"/>
    <col min="2049" max="2049" width="7.5703125" style="1" customWidth="1"/>
    <col min="2050" max="2050" width="56.7109375" style="1" customWidth="1"/>
    <col min="2051" max="2051" width="17.5703125" style="1" customWidth="1"/>
    <col min="2052" max="2052" width="8.140625" style="1" customWidth="1"/>
    <col min="2053" max="2053" width="8.28515625" style="1" customWidth="1"/>
    <col min="2054" max="2054" width="8.42578125" style="1" customWidth="1"/>
    <col min="2055" max="2055" width="9" style="1" customWidth="1"/>
    <col min="2056" max="2056" width="8.42578125" style="1" customWidth="1"/>
    <col min="2057" max="2303" width="9.140625" style="1"/>
    <col min="2304" max="2304" width="20.7109375" style="1" customWidth="1"/>
    <col min="2305" max="2305" width="7.5703125" style="1" customWidth="1"/>
    <col min="2306" max="2306" width="56.7109375" style="1" customWidth="1"/>
    <col min="2307" max="2307" width="17.5703125" style="1" customWidth="1"/>
    <col min="2308" max="2308" width="8.140625" style="1" customWidth="1"/>
    <col min="2309" max="2309" width="8.28515625" style="1" customWidth="1"/>
    <col min="2310" max="2310" width="8.42578125" style="1" customWidth="1"/>
    <col min="2311" max="2311" width="9" style="1" customWidth="1"/>
    <col min="2312" max="2312" width="8.42578125" style="1" customWidth="1"/>
    <col min="2313" max="2559" width="9.140625" style="1"/>
    <col min="2560" max="2560" width="20.7109375" style="1" customWidth="1"/>
    <col min="2561" max="2561" width="7.5703125" style="1" customWidth="1"/>
    <col min="2562" max="2562" width="56.7109375" style="1" customWidth="1"/>
    <col min="2563" max="2563" width="17.5703125" style="1" customWidth="1"/>
    <col min="2564" max="2564" width="8.140625" style="1" customWidth="1"/>
    <col min="2565" max="2565" width="8.28515625" style="1" customWidth="1"/>
    <col min="2566" max="2566" width="8.42578125" style="1" customWidth="1"/>
    <col min="2567" max="2567" width="9" style="1" customWidth="1"/>
    <col min="2568" max="2568" width="8.42578125" style="1" customWidth="1"/>
    <col min="2569" max="2815" width="9.140625" style="1"/>
    <col min="2816" max="2816" width="20.7109375" style="1" customWidth="1"/>
    <col min="2817" max="2817" width="7.5703125" style="1" customWidth="1"/>
    <col min="2818" max="2818" width="56.7109375" style="1" customWidth="1"/>
    <col min="2819" max="2819" width="17.5703125" style="1" customWidth="1"/>
    <col min="2820" max="2820" width="8.140625" style="1" customWidth="1"/>
    <col min="2821" max="2821" width="8.28515625" style="1" customWidth="1"/>
    <col min="2822" max="2822" width="8.42578125" style="1" customWidth="1"/>
    <col min="2823" max="2823" width="9" style="1" customWidth="1"/>
    <col min="2824" max="2824" width="8.42578125" style="1" customWidth="1"/>
    <col min="2825" max="3071" width="9.140625" style="1"/>
    <col min="3072" max="3072" width="20.7109375" style="1" customWidth="1"/>
    <col min="3073" max="3073" width="7.5703125" style="1" customWidth="1"/>
    <col min="3074" max="3074" width="56.7109375" style="1" customWidth="1"/>
    <col min="3075" max="3075" width="17.5703125" style="1" customWidth="1"/>
    <col min="3076" max="3076" width="8.140625" style="1" customWidth="1"/>
    <col min="3077" max="3077" width="8.28515625" style="1" customWidth="1"/>
    <col min="3078" max="3078" width="8.42578125" style="1" customWidth="1"/>
    <col min="3079" max="3079" width="9" style="1" customWidth="1"/>
    <col min="3080" max="3080" width="8.42578125" style="1" customWidth="1"/>
    <col min="3081" max="3327" width="9.140625" style="1"/>
    <col min="3328" max="3328" width="20.7109375" style="1" customWidth="1"/>
    <col min="3329" max="3329" width="7.5703125" style="1" customWidth="1"/>
    <col min="3330" max="3330" width="56.7109375" style="1" customWidth="1"/>
    <col min="3331" max="3331" width="17.5703125" style="1" customWidth="1"/>
    <col min="3332" max="3332" width="8.140625" style="1" customWidth="1"/>
    <col min="3333" max="3333" width="8.28515625" style="1" customWidth="1"/>
    <col min="3334" max="3334" width="8.42578125" style="1" customWidth="1"/>
    <col min="3335" max="3335" width="9" style="1" customWidth="1"/>
    <col min="3336" max="3336" width="8.42578125" style="1" customWidth="1"/>
    <col min="3337" max="3583" width="9.140625" style="1"/>
    <col min="3584" max="3584" width="20.7109375" style="1" customWidth="1"/>
    <col min="3585" max="3585" width="7.5703125" style="1" customWidth="1"/>
    <col min="3586" max="3586" width="56.7109375" style="1" customWidth="1"/>
    <col min="3587" max="3587" width="17.5703125" style="1" customWidth="1"/>
    <col min="3588" max="3588" width="8.140625" style="1" customWidth="1"/>
    <col min="3589" max="3589" width="8.28515625" style="1" customWidth="1"/>
    <col min="3590" max="3590" width="8.42578125" style="1" customWidth="1"/>
    <col min="3591" max="3591" width="9" style="1" customWidth="1"/>
    <col min="3592" max="3592" width="8.42578125" style="1" customWidth="1"/>
    <col min="3593" max="3839" width="9.140625" style="1"/>
    <col min="3840" max="3840" width="20.7109375" style="1" customWidth="1"/>
    <col min="3841" max="3841" width="7.5703125" style="1" customWidth="1"/>
    <col min="3842" max="3842" width="56.7109375" style="1" customWidth="1"/>
    <col min="3843" max="3843" width="17.5703125" style="1" customWidth="1"/>
    <col min="3844" max="3844" width="8.140625" style="1" customWidth="1"/>
    <col min="3845" max="3845" width="8.28515625" style="1" customWidth="1"/>
    <col min="3846" max="3846" width="8.42578125" style="1" customWidth="1"/>
    <col min="3847" max="3847" width="9" style="1" customWidth="1"/>
    <col min="3848" max="3848" width="8.42578125" style="1" customWidth="1"/>
    <col min="3849" max="4095" width="9.140625" style="1"/>
    <col min="4096" max="4096" width="20.7109375" style="1" customWidth="1"/>
    <col min="4097" max="4097" width="7.5703125" style="1" customWidth="1"/>
    <col min="4098" max="4098" width="56.7109375" style="1" customWidth="1"/>
    <col min="4099" max="4099" width="17.5703125" style="1" customWidth="1"/>
    <col min="4100" max="4100" width="8.140625" style="1" customWidth="1"/>
    <col min="4101" max="4101" width="8.28515625" style="1" customWidth="1"/>
    <col min="4102" max="4102" width="8.42578125" style="1" customWidth="1"/>
    <col min="4103" max="4103" width="9" style="1" customWidth="1"/>
    <col min="4104" max="4104" width="8.42578125" style="1" customWidth="1"/>
    <col min="4105" max="4351" width="9.140625" style="1"/>
    <col min="4352" max="4352" width="20.7109375" style="1" customWidth="1"/>
    <col min="4353" max="4353" width="7.5703125" style="1" customWidth="1"/>
    <col min="4354" max="4354" width="56.7109375" style="1" customWidth="1"/>
    <col min="4355" max="4355" width="17.5703125" style="1" customWidth="1"/>
    <col min="4356" max="4356" width="8.140625" style="1" customWidth="1"/>
    <col min="4357" max="4357" width="8.28515625" style="1" customWidth="1"/>
    <col min="4358" max="4358" width="8.42578125" style="1" customWidth="1"/>
    <col min="4359" max="4359" width="9" style="1" customWidth="1"/>
    <col min="4360" max="4360" width="8.42578125" style="1" customWidth="1"/>
    <col min="4361" max="4607" width="9.140625" style="1"/>
    <col min="4608" max="4608" width="20.7109375" style="1" customWidth="1"/>
    <col min="4609" max="4609" width="7.5703125" style="1" customWidth="1"/>
    <col min="4610" max="4610" width="56.7109375" style="1" customWidth="1"/>
    <col min="4611" max="4611" width="17.5703125" style="1" customWidth="1"/>
    <col min="4612" max="4612" width="8.140625" style="1" customWidth="1"/>
    <col min="4613" max="4613" width="8.28515625" style="1" customWidth="1"/>
    <col min="4614" max="4614" width="8.42578125" style="1" customWidth="1"/>
    <col min="4615" max="4615" width="9" style="1" customWidth="1"/>
    <col min="4616" max="4616" width="8.42578125" style="1" customWidth="1"/>
    <col min="4617" max="4863" width="9.140625" style="1"/>
    <col min="4864" max="4864" width="20.7109375" style="1" customWidth="1"/>
    <col min="4865" max="4865" width="7.5703125" style="1" customWidth="1"/>
    <col min="4866" max="4866" width="56.7109375" style="1" customWidth="1"/>
    <col min="4867" max="4867" width="17.5703125" style="1" customWidth="1"/>
    <col min="4868" max="4868" width="8.140625" style="1" customWidth="1"/>
    <col min="4869" max="4869" width="8.28515625" style="1" customWidth="1"/>
    <col min="4870" max="4870" width="8.42578125" style="1" customWidth="1"/>
    <col min="4871" max="4871" width="9" style="1" customWidth="1"/>
    <col min="4872" max="4872" width="8.42578125" style="1" customWidth="1"/>
    <col min="4873" max="5119" width="9.140625" style="1"/>
    <col min="5120" max="5120" width="20.7109375" style="1" customWidth="1"/>
    <col min="5121" max="5121" width="7.5703125" style="1" customWidth="1"/>
    <col min="5122" max="5122" width="56.7109375" style="1" customWidth="1"/>
    <col min="5123" max="5123" width="17.5703125" style="1" customWidth="1"/>
    <col min="5124" max="5124" width="8.140625" style="1" customWidth="1"/>
    <col min="5125" max="5125" width="8.28515625" style="1" customWidth="1"/>
    <col min="5126" max="5126" width="8.42578125" style="1" customWidth="1"/>
    <col min="5127" max="5127" width="9" style="1" customWidth="1"/>
    <col min="5128" max="5128" width="8.42578125" style="1" customWidth="1"/>
    <col min="5129" max="5375" width="9.140625" style="1"/>
    <col min="5376" max="5376" width="20.7109375" style="1" customWidth="1"/>
    <col min="5377" max="5377" width="7.5703125" style="1" customWidth="1"/>
    <col min="5378" max="5378" width="56.7109375" style="1" customWidth="1"/>
    <col min="5379" max="5379" width="17.5703125" style="1" customWidth="1"/>
    <col min="5380" max="5380" width="8.140625" style="1" customWidth="1"/>
    <col min="5381" max="5381" width="8.28515625" style="1" customWidth="1"/>
    <col min="5382" max="5382" width="8.42578125" style="1" customWidth="1"/>
    <col min="5383" max="5383" width="9" style="1" customWidth="1"/>
    <col min="5384" max="5384" width="8.42578125" style="1" customWidth="1"/>
    <col min="5385" max="5631" width="9.140625" style="1"/>
    <col min="5632" max="5632" width="20.7109375" style="1" customWidth="1"/>
    <col min="5633" max="5633" width="7.5703125" style="1" customWidth="1"/>
    <col min="5634" max="5634" width="56.7109375" style="1" customWidth="1"/>
    <col min="5635" max="5635" width="17.5703125" style="1" customWidth="1"/>
    <col min="5636" max="5636" width="8.140625" style="1" customWidth="1"/>
    <col min="5637" max="5637" width="8.28515625" style="1" customWidth="1"/>
    <col min="5638" max="5638" width="8.42578125" style="1" customWidth="1"/>
    <col min="5639" max="5639" width="9" style="1" customWidth="1"/>
    <col min="5640" max="5640" width="8.42578125" style="1" customWidth="1"/>
    <col min="5641" max="5887" width="9.140625" style="1"/>
    <col min="5888" max="5888" width="20.7109375" style="1" customWidth="1"/>
    <col min="5889" max="5889" width="7.5703125" style="1" customWidth="1"/>
    <col min="5890" max="5890" width="56.7109375" style="1" customWidth="1"/>
    <col min="5891" max="5891" width="17.5703125" style="1" customWidth="1"/>
    <col min="5892" max="5892" width="8.140625" style="1" customWidth="1"/>
    <col min="5893" max="5893" width="8.28515625" style="1" customWidth="1"/>
    <col min="5894" max="5894" width="8.42578125" style="1" customWidth="1"/>
    <col min="5895" max="5895" width="9" style="1" customWidth="1"/>
    <col min="5896" max="5896" width="8.42578125" style="1" customWidth="1"/>
    <col min="5897" max="6143" width="9.140625" style="1"/>
    <col min="6144" max="6144" width="20.7109375" style="1" customWidth="1"/>
    <col min="6145" max="6145" width="7.5703125" style="1" customWidth="1"/>
    <col min="6146" max="6146" width="56.7109375" style="1" customWidth="1"/>
    <col min="6147" max="6147" width="17.5703125" style="1" customWidth="1"/>
    <col min="6148" max="6148" width="8.140625" style="1" customWidth="1"/>
    <col min="6149" max="6149" width="8.28515625" style="1" customWidth="1"/>
    <col min="6150" max="6150" width="8.42578125" style="1" customWidth="1"/>
    <col min="6151" max="6151" width="9" style="1" customWidth="1"/>
    <col min="6152" max="6152" width="8.42578125" style="1" customWidth="1"/>
    <col min="6153" max="6399" width="9.140625" style="1"/>
    <col min="6400" max="6400" width="20.7109375" style="1" customWidth="1"/>
    <col min="6401" max="6401" width="7.5703125" style="1" customWidth="1"/>
    <col min="6402" max="6402" width="56.7109375" style="1" customWidth="1"/>
    <col min="6403" max="6403" width="17.5703125" style="1" customWidth="1"/>
    <col min="6404" max="6404" width="8.140625" style="1" customWidth="1"/>
    <col min="6405" max="6405" width="8.28515625" style="1" customWidth="1"/>
    <col min="6406" max="6406" width="8.42578125" style="1" customWidth="1"/>
    <col min="6407" max="6407" width="9" style="1" customWidth="1"/>
    <col min="6408" max="6408" width="8.42578125" style="1" customWidth="1"/>
    <col min="6409" max="6655" width="9.140625" style="1"/>
    <col min="6656" max="6656" width="20.7109375" style="1" customWidth="1"/>
    <col min="6657" max="6657" width="7.5703125" style="1" customWidth="1"/>
    <col min="6658" max="6658" width="56.7109375" style="1" customWidth="1"/>
    <col min="6659" max="6659" width="17.5703125" style="1" customWidth="1"/>
    <col min="6660" max="6660" width="8.140625" style="1" customWidth="1"/>
    <col min="6661" max="6661" width="8.28515625" style="1" customWidth="1"/>
    <col min="6662" max="6662" width="8.42578125" style="1" customWidth="1"/>
    <col min="6663" max="6663" width="9" style="1" customWidth="1"/>
    <col min="6664" max="6664" width="8.42578125" style="1" customWidth="1"/>
    <col min="6665" max="6911" width="9.140625" style="1"/>
    <col min="6912" max="6912" width="20.7109375" style="1" customWidth="1"/>
    <col min="6913" max="6913" width="7.5703125" style="1" customWidth="1"/>
    <col min="6914" max="6914" width="56.7109375" style="1" customWidth="1"/>
    <col min="6915" max="6915" width="17.5703125" style="1" customWidth="1"/>
    <col min="6916" max="6916" width="8.140625" style="1" customWidth="1"/>
    <col min="6917" max="6917" width="8.28515625" style="1" customWidth="1"/>
    <col min="6918" max="6918" width="8.42578125" style="1" customWidth="1"/>
    <col min="6919" max="6919" width="9" style="1" customWidth="1"/>
    <col min="6920" max="6920" width="8.42578125" style="1" customWidth="1"/>
    <col min="6921" max="7167" width="9.140625" style="1"/>
    <col min="7168" max="7168" width="20.7109375" style="1" customWidth="1"/>
    <col min="7169" max="7169" width="7.5703125" style="1" customWidth="1"/>
    <col min="7170" max="7170" width="56.7109375" style="1" customWidth="1"/>
    <col min="7171" max="7171" width="17.5703125" style="1" customWidth="1"/>
    <col min="7172" max="7172" width="8.140625" style="1" customWidth="1"/>
    <col min="7173" max="7173" width="8.28515625" style="1" customWidth="1"/>
    <col min="7174" max="7174" width="8.42578125" style="1" customWidth="1"/>
    <col min="7175" max="7175" width="9" style="1" customWidth="1"/>
    <col min="7176" max="7176" width="8.42578125" style="1" customWidth="1"/>
    <col min="7177" max="7423" width="9.140625" style="1"/>
    <col min="7424" max="7424" width="20.7109375" style="1" customWidth="1"/>
    <col min="7425" max="7425" width="7.5703125" style="1" customWidth="1"/>
    <col min="7426" max="7426" width="56.7109375" style="1" customWidth="1"/>
    <col min="7427" max="7427" width="17.5703125" style="1" customWidth="1"/>
    <col min="7428" max="7428" width="8.140625" style="1" customWidth="1"/>
    <col min="7429" max="7429" width="8.28515625" style="1" customWidth="1"/>
    <col min="7430" max="7430" width="8.42578125" style="1" customWidth="1"/>
    <col min="7431" max="7431" width="9" style="1" customWidth="1"/>
    <col min="7432" max="7432" width="8.42578125" style="1" customWidth="1"/>
    <col min="7433" max="7679" width="9.140625" style="1"/>
    <col min="7680" max="7680" width="20.7109375" style="1" customWidth="1"/>
    <col min="7681" max="7681" width="7.5703125" style="1" customWidth="1"/>
    <col min="7682" max="7682" width="56.7109375" style="1" customWidth="1"/>
    <col min="7683" max="7683" width="17.5703125" style="1" customWidth="1"/>
    <col min="7684" max="7684" width="8.140625" style="1" customWidth="1"/>
    <col min="7685" max="7685" width="8.28515625" style="1" customWidth="1"/>
    <col min="7686" max="7686" width="8.42578125" style="1" customWidth="1"/>
    <col min="7687" max="7687" width="9" style="1" customWidth="1"/>
    <col min="7688" max="7688" width="8.42578125" style="1" customWidth="1"/>
    <col min="7689" max="7935" width="9.140625" style="1"/>
    <col min="7936" max="7936" width="20.7109375" style="1" customWidth="1"/>
    <col min="7937" max="7937" width="7.5703125" style="1" customWidth="1"/>
    <col min="7938" max="7938" width="56.7109375" style="1" customWidth="1"/>
    <col min="7939" max="7939" width="17.5703125" style="1" customWidth="1"/>
    <col min="7940" max="7940" width="8.140625" style="1" customWidth="1"/>
    <col min="7941" max="7941" width="8.28515625" style="1" customWidth="1"/>
    <col min="7942" max="7942" width="8.42578125" style="1" customWidth="1"/>
    <col min="7943" max="7943" width="9" style="1" customWidth="1"/>
    <col min="7944" max="7944" width="8.42578125" style="1" customWidth="1"/>
    <col min="7945" max="8191" width="9.140625" style="1"/>
    <col min="8192" max="8192" width="20.7109375" style="1" customWidth="1"/>
    <col min="8193" max="8193" width="7.5703125" style="1" customWidth="1"/>
    <col min="8194" max="8194" width="56.7109375" style="1" customWidth="1"/>
    <col min="8195" max="8195" width="17.5703125" style="1" customWidth="1"/>
    <col min="8196" max="8196" width="8.140625" style="1" customWidth="1"/>
    <col min="8197" max="8197" width="8.28515625" style="1" customWidth="1"/>
    <col min="8198" max="8198" width="8.42578125" style="1" customWidth="1"/>
    <col min="8199" max="8199" width="9" style="1" customWidth="1"/>
    <col min="8200" max="8200" width="8.42578125" style="1" customWidth="1"/>
    <col min="8201" max="8447" width="9.140625" style="1"/>
    <col min="8448" max="8448" width="20.7109375" style="1" customWidth="1"/>
    <col min="8449" max="8449" width="7.5703125" style="1" customWidth="1"/>
    <col min="8450" max="8450" width="56.7109375" style="1" customWidth="1"/>
    <col min="8451" max="8451" width="17.5703125" style="1" customWidth="1"/>
    <col min="8452" max="8452" width="8.140625" style="1" customWidth="1"/>
    <col min="8453" max="8453" width="8.28515625" style="1" customWidth="1"/>
    <col min="8454" max="8454" width="8.42578125" style="1" customWidth="1"/>
    <col min="8455" max="8455" width="9" style="1" customWidth="1"/>
    <col min="8456" max="8456" width="8.42578125" style="1" customWidth="1"/>
    <col min="8457" max="8703" width="9.140625" style="1"/>
    <col min="8704" max="8704" width="20.7109375" style="1" customWidth="1"/>
    <col min="8705" max="8705" width="7.5703125" style="1" customWidth="1"/>
    <col min="8706" max="8706" width="56.7109375" style="1" customWidth="1"/>
    <col min="8707" max="8707" width="17.5703125" style="1" customWidth="1"/>
    <col min="8708" max="8708" width="8.140625" style="1" customWidth="1"/>
    <col min="8709" max="8709" width="8.28515625" style="1" customWidth="1"/>
    <col min="8710" max="8710" width="8.42578125" style="1" customWidth="1"/>
    <col min="8711" max="8711" width="9" style="1" customWidth="1"/>
    <col min="8712" max="8712" width="8.42578125" style="1" customWidth="1"/>
    <col min="8713" max="8959" width="9.140625" style="1"/>
    <col min="8960" max="8960" width="20.7109375" style="1" customWidth="1"/>
    <col min="8961" max="8961" width="7.5703125" style="1" customWidth="1"/>
    <col min="8962" max="8962" width="56.7109375" style="1" customWidth="1"/>
    <col min="8963" max="8963" width="17.5703125" style="1" customWidth="1"/>
    <col min="8964" max="8964" width="8.140625" style="1" customWidth="1"/>
    <col min="8965" max="8965" width="8.28515625" style="1" customWidth="1"/>
    <col min="8966" max="8966" width="8.42578125" style="1" customWidth="1"/>
    <col min="8967" max="8967" width="9" style="1" customWidth="1"/>
    <col min="8968" max="8968" width="8.42578125" style="1" customWidth="1"/>
    <col min="8969" max="9215" width="9.140625" style="1"/>
    <col min="9216" max="9216" width="20.7109375" style="1" customWidth="1"/>
    <col min="9217" max="9217" width="7.5703125" style="1" customWidth="1"/>
    <col min="9218" max="9218" width="56.7109375" style="1" customWidth="1"/>
    <col min="9219" max="9219" width="17.5703125" style="1" customWidth="1"/>
    <col min="9220" max="9220" width="8.140625" style="1" customWidth="1"/>
    <col min="9221" max="9221" width="8.28515625" style="1" customWidth="1"/>
    <col min="9222" max="9222" width="8.42578125" style="1" customWidth="1"/>
    <col min="9223" max="9223" width="9" style="1" customWidth="1"/>
    <col min="9224" max="9224" width="8.42578125" style="1" customWidth="1"/>
    <col min="9225" max="9471" width="9.140625" style="1"/>
    <col min="9472" max="9472" width="20.7109375" style="1" customWidth="1"/>
    <col min="9473" max="9473" width="7.5703125" style="1" customWidth="1"/>
    <col min="9474" max="9474" width="56.7109375" style="1" customWidth="1"/>
    <col min="9475" max="9475" width="17.5703125" style="1" customWidth="1"/>
    <col min="9476" max="9476" width="8.140625" style="1" customWidth="1"/>
    <col min="9477" max="9477" width="8.28515625" style="1" customWidth="1"/>
    <col min="9478" max="9478" width="8.42578125" style="1" customWidth="1"/>
    <col min="9479" max="9479" width="9" style="1" customWidth="1"/>
    <col min="9480" max="9480" width="8.42578125" style="1" customWidth="1"/>
    <col min="9481" max="9727" width="9.140625" style="1"/>
    <col min="9728" max="9728" width="20.7109375" style="1" customWidth="1"/>
    <col min="9729" max="9729" width="7.5703125" style="1" customWidth="1"/>
    <col min="9730" max="9730" width="56.7109375" style="1" customWidth="1"/>
    <col min="9731" max="9731" width="17.5703125" style="1" customWidth="1"/>
    <col min="9732" max="9732" width="8.140625" style="1" customWidth="1"/>
    <col min="9733" max="9733" width="8.28515625" style="1" customWidth="1"/>
    <col min="9734" max="9734" width="8.42578125" style="1" customWidth="1"/>
    <col min="9735" max="9735" width="9" style="1" customWidth="1"/>
    <col min="9736" max="9736" width="8.42578125" style="1" customWidth="1"/>
    <col min="9737" max="9983" width="9.140625" style="1"/>
    <col min="9984" max="9984" width="20.7109375" style="1" customWidth="1"/>
    <col min="9985" max="9985" width="7.5703125" style="1" customWidth="1"/>
    <col min="9986" max="9986" width="56.7109375" style="1" customWidth="1"/>
    <col min="9987" max="9987" width="17.5703125" style="1" customWidth="1"/>
    <col min="9988" max="9988" width="8.140625" style="1" customWidth="1"/>
    <col min="9989" max="9989" width="8.28515625" style="1" customWidth="1"/>
    <col min="9990" max="9990" width="8.42578125" style="1" customWidth="1"/>
    <col min="9991" max="9991" width="9" style="1" customWidth="1"/>
    <col min="9992" max="9992" width="8.42578125" style="1" customWidth="1"/>
    <col min="9993" max="10239" width="9.140625" style="1"/>
    <col min="10240" max="10240" width="20.7109375" style="1" customWidth="1"/>
    <col min="10241" max="10241" width="7.5703125" style="1" customWidth="1"/>
    <col min="10242" max="10242" width="56.7109375" style="1" customWidth="1"/>
    <col min="10243" max="10243" width="17.5703125" style="1" customWidth="1"/>
    <col min="10244" max="10244" width="8.140625" style="1" customWidth="1"/>
    <col min="10245" max="10245" width="8.28515625" style="1" customWidth="1"/>
    <col min="10246" max="10246" width="8.42578125" style="1" customWidth="1"/>
    <col min="10247" max="10247" width="9" style="1" customWidth="1"/>
    <col min="10248" max="10248" width="8.42578125" style="1" customWidth="1"/>
    <col min="10249" max="10495" width="9.140625" style="1"/>
    <col min="10496" max="10496" width="20.7109375" style="1" customWidth="1"/>
    <col min="10497" max="10497" width="7.5703125" style="1" customWidth="1"/>
    <col min="10498" max="10498" width="56.7109375" style="1" customWidth="1"/>
    <col min="10499" max="10499" width="17.5703125" style="1" customWidth="1"/>
    <col min="10500" max="10500" width="8.140625" style="1" customWidth="1"/>
    <col min="10501" max="10501" width="8.28515625" style="1" customWidth="1"/>
    <col min="10502" max="10502" width="8.42578125" style="1" customWidth="1"/>
    <col min="10503" max="10503" width="9" style="1" customWidth="1"/>
    <col min="10504" max="10504" width="8.42578125" style="1" customWidth="1"/>
    <col min="10505" max="10751" width="9.140625" style="1"/>
    <col min="10752" max="10752" width="20.7109375" style="1" customWidth="1"/>
    <col min="10753" max="10753" width="7.5703125" style="1" customWidth="1"/>
    <col min="10754" max="10754" width="56.7109375" style="1" customWidth="1"/>
    <col min="10755" max="10755" width="17.5703125" style="1" customWidth="1"/>
    <col min="10756" max="10756" width="8.140625" style="1" customWidth="1"/>
    <col min="10757" max="10757" width="8.28515625" style="1" customWidth="1"/>
    <col min="10758" max="10758" width="8.42578125" style="1" customWidth="1"/>
    <col min="10759" max="10759" width="9" style="1" customWidth="1"/>
    <col min="10760" max="10760" width="8.42578125" style="1" customWidth="1"/>
    <col min="10761" max="11007" width="9.140625" style="1"/>
    <col min="11008" max="11008" width="20.7109375" style="1" customWidth="1"/>
    <col min="11009" max="11009" width="7.5703125" style="1" customWidth="1"/>
    <col min="11010" max="11010" width="56.7109375" style="1" customWidth="1"/>
    <col min="11011" max="11011" width="17.5703125" style="1" customWidth="1"/>
    <col min="11012" max="11012" width="8.140625" style="1" customWidth="1"/>
    <col min="11013" max="11013" width="8.28515625" style="1" customWidth="1"/>
    <col min="11014" max="11014" width="8.42578125" style="1" customWidth="1"/>
    <col min="11015" max="11015" width="9" style="1" customWidth="1"/>
    <col min="11016" max="11016" width="8.42578125" style="1" customWidth="1"/>
    <col min="11017" max="11263" width="9.140625" style="1"/>
    <col min="11264" max="11264" width="20.7109375" style="1" customWidth="1"/>
    <col min="11265" max="11265" width="7.5703125" style="1" customWidth="1"/>
    <col min="11266" max="11266" width="56.7109375" style="1" customWidth="1"/>
    <col min="11267" max="11267" width="17.5703125" style="1" customWidth="1"/>
    <col min="11268" max="11268" width="8.140625" style="1" customWidth="1"/>
    <col min="11269" max="11269" width="8.28515625" style="1" customWidth="1"/>
    <col min="11270" max="11270" width="8.42578125" style="1" customWidth="1"/>
    <col min="11271" max="11271" width="9" style="1" customWidth="1"/>
    <col min="11272" max="11272" width="8.42578125" style="1" customWidth="1"/>
    <col min="11273" max="11519" width="9.140625" style="1"/>
    <col min="11520" max="11520" width="20.7109375" style="1" customWidth="1"/>
    <col min="11521" max="11521" width="7.5703125" style="1" customWidth="1"/>
    <col min="11522" max="11522" width="56.7109375" style="1" customWidth="1"/>
    <col min="11523" max="11523" width="17.5703125" style="1" customWidth="1"/>
    <col min="11524" max="11524" width="8.140625" style="1" customWidth="1"/>
    <col min="11525" max="11525" width="8.28515625" style="1" customWidth="1"/>
    <col min="11526" max="11526" width="8.42578125" style="1" customWidth="1"/>
    <col min="11527" max="11527" width="9" style="1" customWidth="1"/>
    <col min="11528" max="11528" width="8.42578125" style="1" customWidth="1"/>
    <col min="11529" max="11775" width="9.140625" style="1"/>
    <col min="11776" max="11776" width="20.7109375" style="1" customWidth="1"/>
    <col min="11777" max="11777" width="7.5703125" style="1" customWidth="1"/>
    <col min="11778" max="11778" width="56.7109375" style="1" customWidth="1"/>
    <col min="11779" max="11779" width="17.5703125" style="1" customWidth="1"/>
    <col min="11780" max="11780" width="8.140625" style="1" customWidth="1"/>
    <col min="11781" max="11781" width="8.28515625" style="1" customWidth="1"/>
    <col min="11782" max="11782" width="8.42578125" style="1" customWidth="1"/>
    <col min="11783" max="11783" width="9" style="1" customWidth="1"/>
    <col min="11784" max="11784" width="8.42578125" style="1" customWidth="1"/>
    <col min="11785" max="12031" width="9.140625" style="1"/>
    <col min="12032" max="12032" width="20.7109375" style="1" customWidth="1"/>
    <col min="12033" max="12033" width="7.5703125" style="1" customWidth="1"/>
    <col min="12034" max="12034" width="56.7109375" style="1" customWidth="1"/>
    <col min="12035" max="12035" width="17.5703125" style="1" customWidth="1"/>
    <col min="12036" max="12036" width="8.140625" style="1" customWidth="1"/>
    <col min="12037" max="12037" width="8.28515625" style="1" customWidth="1"/>
    <col min="12038" max="12038" width="8.42578125" style="1" customWidth="1"/>
    <col min="12039" max="12039" width="9" style="1" customWidth="1"/>
    <col min="12040" max="12040" width="8.42578125" style="1" customWidth="1"/>
    <col min="12041" max="12287" width="9.140625" style="1"/>
    <col min="12288" max="12288" width="20.7109375" style="1" customWidth="1"/>
    <col min="12289" max="12289" width="7.5703125" style="1" customWidth="1"/>
    <col min="12290" max="12290" width="56.7109375" style="1" customWidth="1"/>
    <col min="12291" max="12291" width="17.5703125" style="1" customWidth="1"/>
    <col min="12292" max="12292" width="8.140625" style="1" customWidth="1"/>
    <col min="12293" max="12293" width="8.28515625" style="1" customWidth="1"/>
    <col min="12294" max="12294" width="8.42578125" style="1" customWidth="1"/>
    <col min="12295" max="12295" width="9" style="1" customWidth="1"/>
    <col min="12296" max="12296" width="8.42578125" style="1" customWidth="1"/>
    <col min="12297" max="12543" width="9.140625" style="1"/>
    <col min="12544" max="12544" width="20.7109375" style="1" customWidth="1"/>
    <col min="12545" max="12545" width="7.5703125" style="1" customWidth="1"/>
    <col min="12546" max="12546" width="56.7109375" style="1" customWidth="1"/>
    <col min="12547" max="12547" width="17.5703125" style="1" customWidth="1"/>
    <col min="12548" max="12548" width="8.140625" style="1" customWidth="1"/>
    <col min="12549" max="12549" width="8.28515625" style="1" customWidth="1"/>
    <col min="12550" max="12550" width="8.42578125" style="1" customWidth="1"/>
    <col min="12551" max="12551" width="9" style="1" customWidth="1"/>
    <col min="12552" max="12552" width="8.42578125" style="1" customWidth="1"/>
    <col min="12553" max="12799" width="9.140625" style="1"/>
    <col min="12800" max="12800" width="20.7109375" style="1" customWidth="1"/>
    <col min="12801" max="12801" width="7.5703125" style="1" customWidth="1"/>
    <col min="12802" max="12802" width="56.7109375" style="1" customWidth="1"/>
    <col min="12803" max="12803" width="17.5703125" style="1" customWidth="1"/>
    <col min="12804" max="12804" width="8.140625" style="1" customWidth="1"/>
    <col min="12805" max="12805" width="8.28515625" style="1" customWidth="1"/>
    <col min="12806" max="12806" width="8.42578125" style="1" customWidth="1"/>
    <col min="12807" max="12807" width="9" style="1" customWidth="1"/>
    <col min="12808" max="12808" width="8.42578125" style="1" customWidth="1"/>
    <col min="12809" max="13055" width="9.140625" style="1"/>
    <col min="13056" max="13056" width="20.7109375" style="1" customWidth="1"/>
    <col min="13057" max="13057" width="7.5703125" style="1" customWidth="1"/>
    <col min="13058" max="13058" width="56.7109375" style="1" customWidth="1"/>
    <col min="13059" max="13059" width="17.5703125" style="1" customWidth="1"/>
    <col min="13060" max="13060" width="8.140625" style="1" customWidth="1"/>
    <col min="13061" max="13061" width="8.28515625" style="1" customWidth="1"/>
    <col min="13062" max="13062" width="8.42578125" style="1" customWidth="1"/>
    <col min="13063" max="13063" width="9" style="1" customWidth="1"/>
    <col min="13064" max="13064" width="8.42578125" style="1" customWidth="1"/>
    <col min="13065" max="13311" width="9.140625" style="1"/>
    <col min="13312" max="13312" width="20.7109375" style="1" customWidth="1"/>
    <col min="13313" max="13313" width="7.5703125" style="1" customWidth="1"/>
    <col min="13314" max="13314" width="56.7109375" style="1" customWidth="1"/>
    <col min="13315" max="13315" width="17.5703125" style="1" customWidth="1"/>
    <col min="13316" max="13316" width="8.140625" style="1" customWidth="1"/>
    <col min="13317" max="13317" width="8.28515625" style="1" customWidth="1"/>
    <col min="13318" max="13318" width="8.42578125" style="1" customWidth="1"/>
    <col min="13319" max="13319" width="9" style="1" customWidth="1"/>
    <col min="13320" max="13320" width="8.42578125" style="1" customWidth="1"/>
    <col min="13321" max="13567" width="9.140625" style="1"/>
    <col min="13568" max="13568" width="20.7109375" style="1" customWidth="1"/>
    <col min="13569" max="13569" width="7.5703125" style="1" customWidth="1"/>
    <col min="13570" max="13570" width="56.7109375" style="1" customWidth="1"/>
    <col min="13571" max="13571" width="17.5703125" style="1" customWidth="1"/>
    <col min="13572" max="13572" width="8.140625" style="1" customWidth="1"/>
    <col min="13573" max="13573" width="8.28515625" style="1" customWidth="1"/>
    <col min="13574" max="13574" width="8.42578125" style="1" customWidth="1"/>
    <col min="13575" max="13575" width="9" style="1" customWidth="1"/>
    <col min="13576" max="13576" width="8.42578125" style="1" customWidth="1"/>
    <col min="13577" max="13823" width="9.140625" style="1"/>
    <col min="13824" max="13824" width="20.7109375" style="1" customWidth="1"/>
    <col min="13825" max="13825" width="7.5703125" style="1" customWidth="1"/>
    <col min="13826" max="13826" width="56.7109375" style="1" customWidth="1"/>
    <col min="13827" max="13827" width="17.5703125" style="1" customWidth="1"/>
    <col min="13828" max="13828" width="8.140625" style="1" customWidth="1"/>
    <col min="13829" max="13829" width="8.28515625" style="1" customWidth="1"/>
    <col min="13830" max="13830" width="8.42578125" style="1" customWidth="1"/>
    <col min="13831" max="13831" width="9" style="1" customWidth="1"/>
    <col min="13832" max="13832" width="8.42578125" style="1" customWidth="1"/>
    <col min="13833" max="14079" width="9.140625" style="1"/>
    <col min="14080" max="14080" width="20.7109375" style="1" customWidth="1"/>
    <col min="14081" max="14081" width="7.5703125" style="1" customWidth="1"/>
    <col min="14082" max="14082" width="56.7109375" style="1" customWidth="1"/>
    <col min="14083" max="14083" width="17.5703125" style="1" customWidth="1"/>
    <col min="14084" max="14084" width="8.140625" style="1" customWidth="1"/>
    <col min="14085" max="14085" width="8.28515625" style="1" customWidth="1"/>
    <col min="14086" max="14086" width="8.42578125" style="1" customWidth="1"/>
    <col min="14087" max="14087" width="9" style="1" customWidth="1"/>
    <col min="14088" max="14088" width="8.42578125" style="1" customWidth="1"/>
    <col min="14089" max="14335" width="9.140625" style="1"/>
    <col min="14336" max="14336" width="20.7109375" style="1" customWidth="1"/>
    <col min="14337" max="14337" width="7.5703125" style="1" customWidth="1"/>
    <col min="14338" max="14338" width="56.7109375" style="1" customWidth="1"/>
    <col min="14339" max="14339" width="17.5703125" style="1" customWidth="1"/>
    <col min="14340" max="14340" width="8.140625" style="1" customWidth="1"/>
    <col min="14341" max="14341" width="8.28515625" style="1" customWidth="1"/>
    <col min="14342" max="14342" width="8.42578125" style="1" customWidth="1"/>
    <col min="14343" max="14343" width="9" style="1" customWidth="1"/>
    <col min="14344" max="14344" width="8.42578125" style="1" customWidth="1"/>
    <col min="14345" max="14591" width="9.140625" style="1"/>
    <col min="14592" max="14592" width="20.7109375" style="1" customWidth="1"/>
    <col min="14593" max="14593" width="7.5703125" style="1" customWidth="1"/>
    <col min="14594" max="14594" width="56.7109375" style="1" customWidth="1"/>
    <col min="14595" max="14595" width="17.5703125" style="1" customWidth="1"/>
    <col min="14596" max="14596" width="8.140625" style="1" customWidth="1"/>
    <col min="14597" max="14597" width="8.28515625" style="1" customWidth="1"/>
    <col min="14598" max="14598" width="8.42578125" style="1" customWidth="1"/>
    <col min="14599" max="14599" width="9" style="1" customWidth="1"/>
    <col min="14600" max="14600" width="8.42578125" style="1" customWidth="1"/>
    <col min="14601" max="14847" width="9.140625" style="1"/>
    <col min="14848" max="14848" width="20.7109375" style="1" customWidth="1"/>
    <col min="14849" max="14849" width="7.5703125" style="1" customWidth="1"/>
    <col min="14850" max="14850" width="56.7109375" style="1" customWidth="1"/>
    <col min="14851" max="14851" width="17.5703125" style="1" customWidth="1"/>
    <col min="14852" max="14852" width="8.140625" style="1" customWidth="1"/>
    <col min="14853" max="14853" width="8.28515625" style="1" customWidth="1"/>
    <col min="14854" max="14854" width="8.42578125" style="1" customWidth="1"/>
    <col min="14855" max="14855" width="9" style="1" customWidth="1"/>
    <col min="14856" max="14856" width="8.42578125" style="1" customWidth="1"/>
    <col min="14857" max="15103" width="9.140625" style="1"/>
    <col min="15104" max="15104" width="20.7109375" style="1" customWidth="1"/>
    <col min="15105" max="15105" width="7.5703125" style="1" customWidth="1"/>
    <col min="15106" max="15106" width="56.7109375" style="1" customWidth="1"/>
    <col min="15107" max="15107" width="17.5703125" style="1" customWidth="1"/>
    <col min="15108" max="15108" width="8.140625" style="1" customWidth="1"/>
    <col min="15109" max="15109" width="8.28515625" style="1" customWidth="1"/>
    <col min="15110" max="15110" width="8.42578125" style="1" customWidth="1"/>
    <col min="15111" max="15111" width="9" style="1" customWidth="1"/>
    <col min="15112" max="15112" width="8.42578125" style="1" customWidth="1"/>
    <col min="15113" max="15359" width="9.140625" style="1"/>
    <col min="15360" max="15360" width="20.7109375" style="1" customWidth="1"/>
    <col min="15361" max="15361" width="7.5703125" style="1" customWidth="1"/>
    <col min="15362" max="15362" width="56.7109375" style="1" customWidth="1"/>
    <col min="15363" max="15363" width="17.5703125" style="1" customWidth="1"/>
    <col min="15364" max="15364" width="8.140625" style="1" customWidth="1"/>
    <col min="15365" max="15365" width="8.28515625" style="1" customWidth="1"/>
    <col min="15366" max="15366" width="8.42578125" style="1" customWidth="1"/>
    <col min="15367" max="15367" width="9" style="1" customWidth="1"/>
    <col min="15368" max="15368" width="8.42578125" style="1" customWidth="1"/>
    <col min="15369" max="15615" width="9.140625" style="1"/>
    <col min="15616" max="15616" width="20.7109375" style="1" customWidth="1"/>
    <col min="15617" max="15617" width="7.5703125" style="1" customWidth="1"/>
    <col min="15618" max="15618" width="56.7109375" style="1" customWidth="1"/>
    <col min="15619" max="15619" width="17.5703125" style="1" customWidth="1"/>
    <col min="15620" max="15620" width="8.140625" style="1" customWidth="1"/>
    <col min="15621" max="15621" width="8.28515625" style="1" customWidth="1"/>
    <col min="15622" max="15622" width="8.42578125" style="1" customWidth="1"/>
    <col min="15623" max="15623" width="9" style="1" customWidth="1"/>
    <col min="15624" max="15624" width="8.42578125" style="1" customWidth="1"/>
    <col min="15625" max="15871" width="9.140625" style="1"/>
    <col min="15872" max="15872" width="20.7109375" style="1" customWidth="1"/>
    <col min="15873" max="15873" width="7.5703125" style="1" customWidth="1"/>
    <col min="15874" max="15874" width="56.7109375" style="1" customWidth="1"/>
    <col min="15875" max="15875" width="17.5703125" style="1" customWidth="1"/>
    <col min="15876" max="15876" width="8.140625" style="1" customWidth="1"/>
    <col min="15877" max="15877" width="8.28515625" style="1" customWidth="1"/>
    <col min="15878" max="15878" width="8.42578125" style="1" customWidth="1"/>
    <col min="15879" max="15879" width="9" style="1" customWidth="1"/>
    <col min="15880" max="15880" width="8.42578125" style="1" customWidth="1"/>
    <col min="15881" max="16127" width="9.140625" style="1"/>
    <col min="16128" max="16128" width="20.7109375" style="1" customWidth="1"/>
    <col min="16129" max="16129" width="7.5703125" style="1" customWidth="1"/>
    <col min="16130" max="16130" width="56.7109375" style="1" customWidth="1"/>
    <col min="16131" max="16131" width="17.5703125" style="1" customWidth="1"/>
    <col min="16132" max="16132" width="8.140625" style="1" customWidth="1"/>
    <col min="16133" max="16133" width="8.28515625" style="1" customWidth="1"/>
    <col min="16134" max="16134" width="8.42578125" style="1" customWidth="1"/>
    <col min="16135" max="16135" width="9" style="1" customWidth="1"/>
    <col min="16136" max="16136" width="8.42578125" style="1" customWidth="1"/>
    <col min="16137" max="16384" width="9.140625" style="1"/>
  </cols>
  <sheetData>
    <row r="1" spans="1:8">
      <c r="H1" s="2" t="s">
        <v>142</v>
      </c>
    </row>
    <row r="2" spans="1:8">
      <c r="H2" s="2" t="s">
        <v>1</v>
      </c>
    </row>
    <row r="3" spans="1:8">
      <c r="H3" s="2" t="s">
        <v>2</v>
      </c>
    </row>
    <row r="4" spans="1:8">
      <c r="H4" s="2" t="s">
        <v>3</v>
      </c>
    </row>
    <row r="5" spans="1:8" ht="21" customHeight="1"/>
    <row r="6" spans="1:8" ht="12.75" customHeight="1">
      <c r="E6" s="6"/>
      <c r="F6" s="6"/>
      <c r="G6" s="6"/>
      <c r="H6" s="2" t="s">
        <v>142</v>
      </c>
    </row>
    <row r="7" spans="1:8" ht="12.75" customHeight="1">
      <c r="E7" s="6"/>
      <c r="F7" s="6"/>
      <c r="G7" s="6"/>
      <c r="H7" s="2" t="s">
        <v>4</v>
      </c>
    </row>
    <row r="8" spans="1:8" ht="10.35" customHeight="1">
      <c r="E8" s="6"/>
      <c r="F8" s="6"/>
      <c r="G8" s="6"/>
      <c r="H8" s="2" t="s">
        <v>5</v>
      </c>
    </row>
    <row r="9" spans="1:8" ht="12.75" customHeight="1">
      <c r="E9" s="6"/>
      <c r="F9" s="6"/>
      <c r="G9" s="6"/>
      <c r="H9" s="2" t="s">
        <v>6</v>
      </c>
    </row>
    <row r="10" spans="1:8" ht="12.75" customHeight="1">
      <c r="E10" s="6"/>
      <c r="F10" s="6"/>
      <c r="G10" s="6"/>
      <c r="H10" s="2" t="s">
        <v>7</v>
      </c>
    </row>
    <row r="11" spans="1:8" ht="16.899999999999999" customHeight="1">
      <c r="E11" s="6"/>
      <c r="F11" s="6"/>
      <c r="G11" s="6"/>
      <c r="H11" s="6"/>
    </row>
    <row r="12" spans="1:8" ht="27" customHeight="1">
      <c r="A12" s="154" t="s">
        <v>143</v>
      </c>
      <c r="B12" s="154"/>
      <c r="C12" s="154"/>
      <c r="D12" s="154"/>
      <c r="E12" s="154"/>
      <c r="F12" s="154"/>
      <c r="G12" s="154"/>
      <c r="H12" s="154"/>
    </row>
    <row r="13" spans="1:8" ht="21.6" customHeight="1">
      <c r="A13" s="61"/>
      <c r="B13" s="61"/>
      <c r="C13" s="61"/>
      <c r="D13" s="61"/>
      <c r="E13" s="61"/>
      <c r="F13" s="61"/>
      <c r="G13" s="61"/>
      <c r="H13" s="61"/>
    </row>
    <row r="14" spans="1:8" ht="24.75" customHeight="1">
      <c r="A14" s="155" t="s">
        <v>144</v>
      </c>
      <c r="B14" s="140" t="s">
        <v>145</v>
      </c>
      <c r="C14" s="157" t="s">
        <v>146</v>
      </c>
      <c r="D14" s="158" t="s">
        <v>147</v>
      </c>
      <c r="E14" s="158"/>
      <c r="F14" s="158"/>
      <c r="G14" s="158"/>
      <c r="H14" s="158"/>
    </row>
    <row r="15" spans="1:8" ht="40.15" customHeight="1">
      <c r="A15" s="156"/>
      <c r="B15" s="140"/>
      <c r="C15" s="157"/>
      <c r="D15" s="62" t="s">
        <v>78</v>
      </c>
      <c r="E15" s="35" t="s">
        <v>148</v>
      </c>
      <c r="F15" s="35" t="s">
        <v>149</v>
      </c>
      <c r="G15" s="35" t="s">
        <v>150</v>
      </c>
      <c r="H15" s="35" t="s">
        <v>151</v>
      </c>
    </row>
    <row r="16" spans="1:8">
      <c r="A16" s="8">
        <v>1</v>
      </c>
      <c r="B16" s="8">
        <v>2</v>
      </c>
      <c r="C16" s="8">
        <v>3</v>
      </c>
      <c r="D16" s="8">
        <v>4</v>
      </c>
      <c r="E16" s="8">
        <v>5</v>
      </c>
      <c r="F16" s="8">
        <v>6</v>
      </c>
      <c r="G16" s="8">
        <v>7</v>
      </c>
      <c r="H16" s="8">
        <v>8</v>
      </c>
    </row>
    <row r="17" spans="1:8" ht="13.15" customHeight="1">
      <c r="A17" s="51">
        <v>1</v>
      </c>
      <c r="B17" s="11" t="s">
        <v>152</v>
      </c>
      <c r="C17" s="63"/>
      <c r="D17" s="146">
        <f>ROUNDUP(11193*1.2,0)</f>
        <v>13432</v>
      </c>
      <c r="E17" s="146" t="s">
        <v>84</v>
      </c>
      <c r="F17" s="146" t="s">
        <v>84</v>
      </c>
      <c r="G17" s="146" t="s">
        <v>84</v>
      </c>
      <c r="H17" s="146" t="s">
        <v>84</v>
      </c>
    </row>
    <row r="18" spans="1:8">
      <c r="A18" s="51">
        <v>2</v>
      </c>
      <c r="B18" s="11" t="s">
        <v>153</v>
      </c>
      <c r="C18" s="63"/>
      <c r="D18" s="147"/>
      <c r="E18" s="147"/>
      <c r="F18" s="147"/>
      <c r="G18" s="147"/>
      <c r="H18" s="147"/>
    </row>
    <row r="19" spans="1:8">
      <c r="A19" s="51">
        <v>3</v>
      </c>
      <c r="B19" s="11" t="s">
        <v>154</v>
      </c>
      <c r="C19" s="63"/>
      <c r="D19" s="153"/>
      <c r="E19" s="153"/>
      <c r="F19" s="153"/>
      <c r="G19" s="153"/>
      <c r="H19" s="153"/>
    </row>
    <row r="20" spans="1:8">
      <c r="A20" s="51">
        <v>4</v>
      </c>
      <c r="B20" s="11" t="s">
        <v>155</v>
      </c>
      <c r="C20" s="63"/>
      <c r="D20" s="64">
        <f>ROUNDUP(11322*1.2,0)</f>
        <v>13587</v>
      </c>
      <c r="E20" s="64" t="s">
        <v>84</v>
      </c>
      <c r="F20" s="64" t="s">
        <v>84</v>
      </c>
      <c r="G20" s="64" t="s">
        <v>84</v>
      </c>
      <c r="H20" s="64" t="s">
        <v>84</v>
      </c>
    </row>
    <row r="21" spans="1:8" ht="13.15" customHeight="1">
      <c r="A21" s="51">
        <v>5</v>
      </c>
      <c r="B21" s="11" t="s">
        <v>156</v>
      </c>
      <c r="C21" s="63"/>
      <c r="D21" s="146">
        <f>ROUNDUP(13791*1.2,0)</f>
        <v>16550</v>
      </c>
      <c r="E21" s="146" t="s">
        <v>84</v>
      </c>
      <c r="F21" s="146" t="s">
        <v>84</v>
      </c>
      <c r="G21" s="146" t="s">
        <v>84</v>
      </c>
      <c r="H21" s="146" t="s">
        <v>84</v>
      </c>
    </row>
    <row r="22" spans="1:8">
      <c r="A22" s="51">
        <v>6</v>
      </c>
      <c r="B22" s="45" t="s">
        <v>157</v>
      </c>
      <c r="C22" s="65"/>
      <c r="D22" s="147"/>
      <c r="E22" s="147"/>
      <c r="F22" s="147"/>
      <c r="G22" s="147"/>
      <c r="H22" s="147"/>
    </row>
    <row r="23" spans="1:8">
      <c r="A23" s="51">
        <v>7</v>
      </c>
      <c r="B23" s="11" t="s">
        <v>158</v>
      </c>
      <c r="C23" s="63"/>
      <c r="D23" s="147"/>
      <c r="E23" s="147"/>
      <c r="F23" s="147"/>
      <c r="G23" s="147"/>
      <c r="H23" s="147"/>
    </row>
    <row r="24" spans="1:8">
      <c r="A24" s="51">
        <v>8</v>
      </c>
      <c r="B24" s="11" t="s">
        <v>159</v>
      </c>
      <c r="C24" s="63"/>
      <c r="D24" s="147"/>
      <c r="E24" s="147"/>
      <c r="F24" s="147"/>
      <c r="G24" s="147"/>
      <c r="H24" s="147"/>
    </row>
    <row r="25" spans="1:8">
      <c r="A25" s="51">
        <v>9</v>
      </c>
      <c r="B25" s="11" t="s">
        <v>160</v>
      </c>
      <c r="C25" s="63"/>
      <c r="D25" s="147"/>
      <c r="E25" s="147"/>
      <c r="F25" s="147"/>
      <c r="G25" s="147"/>
      <c r="H25" s="147"/>
    </row>
    <row r="26" spans="1:8">
      <c r="A26" s="51">
        <v>10</v>
      </c>
      <c r="B26" s="45" t="s">
        <v>161</v>
      </c>
      <c r="C26" s="63"/>
      <c r="D26" s="147"/>
      <c r="E26" s="147"/>
      <c r="F26" s="147"/>
      <c r="G26" s="147"/>
      <c r="H26" s="147"/>
    </row>
    <row r="27" spans="1:8">
      <c r="A27" s="51">
        <v>11</v>
      </c>
      <c r="B27" s="45" t="s">
        <v>162</v>
      </c>
      <c r="C27" s="63"/>
      <c r="D27" s="147"/>
      <c r="E27" s="147"/>
      <c r="F27" s="147"/>
      <c r="G27" s="147"/>
      <c r="H27" s="147"/>
    </row>
    <row r="28" spans="1:8">
      <c r="A28" s="51">
        <v>12</v>
      </c>
      <c r="B28" s="45" t="s">
        <v>163</v>
      </c>
      <c r="C28" s="63"/>
      <c r="D28" s="153"/>
      <c r="E28" s="153"/>
      <c r="F28" s="153"/>
      <c r="G28" s="153"/>
      <c r="H28" s="153"/>
    </row>
    <row r="29" spans="1:8">
      <c r="A29" s="51">
        <v>13</v>
      </c>
      <c r="B29" s="11" t="s">
        <v>164</v>
      </c>
      <c r="C29" s="65" t="s">
        <v>165</v>
      </c>
      <c r="D29" s="143">
        <f>ROUNDUP(15169*1.2,0)</f>
        <v>18203</v>
      </c>
      <c r="E29" s="143">
        <f>ROUNDUP(16414*1.2,0)</f>
        <v>19697</v>
      </c>
      <c r="F29" s="143">
        <f>ROUNDUP(18211*1.2,0)</f>
        <v>21854</v>
      </c>
      <c r="G29" s="143" t="s">
        <v>84</v>
      </c>
      <c r="H29" s="143" t="s">
        <v>84</v>
      </c>
    </row>
    <row r="30" spans="1:8">
      <c r="A30" s="51">
        <v>14</v>
      </c>
      <c r="B30" s="11" t="s">
        <v>166</v>
      </c>
      <c r="C30" s="65" t="s">
        <v>165</v>
      </c>
      <c r="D30" s="143"/>
      <c r="E30" s="143"/>
      <c r="F30" s="143"/>
      <c r="G30" s="143"/>
      <c r="H30" s="143"/>
    </row>
    <row r="31" spans="1:8" ht="25.5">
      <c r="A31" s="51">
        <v>15</v>
      </c>
      <c r="B31" s="11" t="s">
        <v>167</v>
      </c>
      <c r="C31" s="65" t="s">
        <v>165</v>
      </c>
      <c r="D31" s="143"/>
      <c r="E31" s="143"/>
      <c r="F31" s="143"/>
      <c r="G31" s="143"/>
      <c r="H31" s="143"/>
    </row>
    <row r="32" spans="1:8" ht="14.65" customHeight="1">
      <c r="A32" s="51">
        <v>16</v>
      </c>
      <c r="B32" s="45" t="s">
        <v>168</v>
      </c>
      <c r="C32" s="65" t="s">
        <v>165</v>
      </c>
      <c r="D32" s="143"/>
      <c r="E32" s="143"/>
      <c r="F32" s="143"/>
      <c r="G32" s="143"/>
      <c r="H32" s="143"/>
    </row>
    <row r="33" spans="1:8" ht="14.65" customHeight="1">
      <c r="A33" s="51">
        <v>17</v>
      </c>
      <c r="B33" s="11" t="s">
        <v>169</v>
      </c>
      <c r="C33" s="63" t="s">
        <v>170</v>
      </c>
      <c r="D33" s="143" t="s">
        <v>84</v>
      </c>
      <c r="E33" s="143">
        <f>ROUNDUP(16414*1.2,0)</f>
        <v>19697</v>
      </c>
      <c r="F33" s="143">
        <f>ROUNDUP(18211*1.2,0)</f>
        <v>21854</v>
      </c>
      <c r="G33" s="143" t="s">
        <v>84</v>
      </c>
      <c r="H33" s="143" t="s">
        <v>84</v>
      </c>
    </row>
    <row r="34" spans="1:8">
      <c r="A34" s="51">
        <v>18</v>
      </c>
      <c r="B34" s="11" t="s">
        <v>171</v>
      </c>
      <c r="C34" s="63" t="s">
        <v>170</v>
      </c>
      <c r="D34" s="143"/>
      <c r="E34" s="143"/>
      <c r="F34" s="143"/>
      <c r="G34" s="143"/>
      <c r="H34" s="143"/>
    </row>
    <row r="35" spans="1:8" ht="13.7" customHeight="1">
      <c r="A35" s="51">
        <v>19</v>
      </c>
      <c r="B35" s="45" t="s">
        <v>172</v>
      </c>
      <c r="C35" s="65" t="s">
        <v>173</v>
      </c>
      <c r="D35" s="146" t="s">
        <v>84</v>
      </c>
      <c r="E35" s="146">
        <f>ROUNDUP(17663*1.2,0)</f>
        <v>21196</v>
      </c>
      <c r="F35" s="146">
        <f>ROUNDUP(19561*1.2,0)</f>
        <v>23474</v>
      </c>
      <c r="G35" s="146">
        <f>ROUNDUP(21780*1.2,0)</f>
        <v>26136</v>
      </c>
      <c r="H35" s="146" t="s">
        <v>84</v>
      </c>
    </row>
    <row r="36" spans="1:8">
      <c r="A36" s="51">
        <v>20</v>
      </c>
      <c r="B36" s="45" t="s">
        <v>174</v>
      </c>
      <c r="C36" s="65" t="s">
        <v>173</v>
      </c>
      <c r="D36" s="147"/>
      <c r="E36" s="147"/>
      <c r="F36" s="147"/>
      <c r="G36" s="147"/>
      <c r="H36" s="147"/>
    </row>
    <row r="37" spans="1:8">
      <c r="A37" s="51">
        <v>21</v>
      </c>
      <c r="B37" s="45" t="s">
        <v>175</v>
      </c>
      <c r="C37" s="65" t="s">
        <v>173</v>
      </c>
      <c r="D37" s="153"/>
      <c r="E37" s="153"/>
      <c r="F37" s="153"/>
      <c r="G37" s="153"/>
      <c r="H37" s="153"/>
    </row>
    <row r="38" spans="1:8" ht="13.15" customHeight="1">
      <c r="A38" s="51">
        <v>22</v>
      </c>
      <c r="B38" s="66" t="s">
        <v>176</v>
      </c>
      <c r="C38" s="65" t="s">
        <v>177</v>
      </c>
      <c r="D38" s="143">
        <f>ROUNDUP(15854*1.2,0)</f>
        <v>19025</v>
      </c>
      <c r="E38" s="143">
        <f>ROUNDUP(17663*1.2,0)</f>
        <v>21196</v>
      </c>
      <c r="F38" s="143">
        <f>ROUNDUP(19561*1.2,0)</f>
        <v>23474</v>
      </c>
      <c r="G38" s="143">
        <f>ROUNDUP(21780*1.2,0)</f>
        <v>26136</v>
      </c>
      <c r="H38" s="143" t="s">
        <v>84</v>
      </c>
    </row>
    <row r="39" spans="1:8">
      <c r="A39" s="51">
        <v>23</v>
      </c>
      <c r="B39" s="66" t="s">
        <v>178</v>
      </c>
      <c r="C39" s="65" t="s">
        <v>177</v>
      </c>
      <c r="D39" s="143"/>
      <c r="E39" s="143"/>
      <c r="F39" s="143"/>
      <c r="G39" s="143"/>
      <c r="H39" s="143"/>
    </row>
    <row r="40" spans="1:8" ht="25.5">
      <c r="A40" s="51">
        <v>24</v>
      </c>
      <c r="B40" s="66" t="s">
        <v>179</v>
      </c>
      <c r="C40" s="65" t="s">
        <v>177</v>
      </c>
      <c r="D40" s="143"/>
      <c r="E40" s="143"/>
      <c r="F40" s="143"/>
      <c r="G40" s="143"/>
      <c r="H40" s="143"/>
    </row>
    <row r="41" spans="1:8">
      <c r="A41" s="51">
        <v>25</v>
      </c>
      <c r="B41" s="66" t="s">
        <v>180</v>
      </c>
      <c r="C41" s="65" t="s">
        <v>177</v>
      </c>
      <c r="D41" s="143"/>
      <c r="E41" s="143"/>
      <c r="F41" s="143"/>
      <c r="G41" s="143"/>
      <c r="H41" s="143"/>
    </row>
    <row r="42" spans="1:8">
      <c r="A42" s="51">
        <v>26</v>
      </c>
      <c r="B42" s="66" t="s">
        <v>181</v>
      </c>
      <c r="C42" s="65" t="s">
        <v>177</v>
      </c>
      <c r="D42" s="143"/>
      <c r="E42" s="143"/>
      <c r="F42" s="143"/>
      <c r="G42" s="143"/>
      <c r="H42" s="143"/>
    </row>
    <row r="43" spans="1:8">
      <c r="A43" s="67">
        <v>27</v>
      </c>
      <c r="B43" s="68" t="s">
        <v>182</v>
      </c>
      <c r="C43" s="69" t="s">
        <v>177</v>
      </c>
      <c r="D43" s="146"/>
      <c r="E43" s="146"/>
      <c r="F43" s="146"/>
      <c r="G43" s="146"/>
      <c r="H43" s="146"/>
    </row>
    <row r="44" spans="1:8">
      <c r="A44" s="51">
        <v>28</v>
      </c>
      <c r="B44" s="66" t="s">
        <v>183</v>
      </c>
      <c r="C44" s="65" t="s">
        <v>165</v>
      </c>
      <c r="D44" s="146">
        <f>ROUNDUP(15854*1.2,0)</f>
        <v>19025</v>
      </c>
      <c r="E44" s="146">
        <f>ROUNDUP(17663*1.2,0)</f>
        <v>21196</v>
      </c>
      <c r="F44" s="146">
        <f>ROUNDUP(19561*1.2,0)</f>
        <v>23474</v>
      </c>
      <c r="G44" s="146" t="s">
        <v>84</v>
      </c>
      <c r="H44" s="146" t="s">
        <v>84</v>
      </c>
    </row>
    <row r="45" spans="1:8">
      <c r="A45" s="51">
        <v>29</v>
      </c>
      <c r="B45" s="66" t="s">
        <v>184</v>
      </c>
      <c r="C45" s="65" t="s">
        <v>165</v>
      </c>
      <c r="D45" s="147"/>
      <c r="E45" s="147"/>
      <c r="F45" s="147"/>
      <c r="G45" s="147"/>
      <c r="H45" s="147"/>
    </row>
    <row r="46" spans="1:8">
      <c r="A46" s="51">
        <v>30</v>
      </c>
      <c r="B46" s="66" t="s">
        <v>185</v>
      </c>
      <c r="C46" s="65" t="s">
        <v>165</v>
      </c>
      <c r="D46" s="147"/>
      <c r="E46" s="147"/>
      <c r="F46" s="147"/>
      <c r="G46" s="147"/>
      <c r="H46" s="147"/>
    </row>
    <row r="47" spans="1:8">
      <c r="A47" s="51">
        <v>31</v>
      </c>
      <c r="B47" s="66" t="s">
        <v>186</v>
      </c>
      <c r="C47" s="65" t="s">
        <v>165</v>
      </c>
      <c r="D47" s="147"/>
      <c r="E47" s="147"/>
      <c r="F47" s="147"/>
      <c r="G47" s="147"/>
      <c r="H47" s="147"/>
    </row>
    <row r="48" spans="1:8" ht="28.9" customHeight="1">
      <c r="A48" s="51">
        <v>32</v>
      </c>
      <c r="B48" s="66" t="s">
        <v>187</v>
      </c>
      <c r="C48" s="65" t="s">
        <v>165</v>
      </c>
      <c r="D48" s="147"/>
      <c r="E48" s="147"/>
      <c r="F48" s="147"/>
      <c r="G48" s="147"/>
      <c r="H48" s="147"/>
    </row>
    <row r="49" spans="1:15">
      <c r="A49" s="51">
        <v>33</v>
      </c>
      <c r="B49" s="66" t="s">
        <v>188</v>
      </c>
      <c r="C49" s="65" t="s">
        <v>165</v>
      </c>
      <c r="D49" s="147"/>
      <c r="E49" s="147"/>
      <c r="F49" s="147"/>
      <c r="G49" s="147"/>
      <c r="H49" s="147"/>
    </row>
    <row r="50" spans="1:15">
      <c r="A50" s="51">
        <v>34</v>
      </c>
      <c r="B50" s="45" t="s">
        <v>189</v>
      </c>
      <c r="C50" s="65" t="s">
        <v>165</v>
      </c>
      <c r="D50" s="147"/>
      <c r="E50" s="147"/>
      <c r="F50" s="147"/>
      <c r="G50" s="147"/>
      <c r="H50" s="147"/>
    </row>
    <row r="51" spans="1:15">
      <c r="A51" s="51">
        <v>35</v>
      </c>
      <c r="B51" s="45" t="s">
        <v>190</v>
      </c>
      <c r="C51" s="65" t="s">
        <v>165</v>
      </c>
      <c r="D51" s="147"/>
      <c r="E51" s="147"/>
      <c r="F51" s="147"/>
      <c r="G51" s="147"/>
      <c r="H51" s="147"/>
    </row>
    <row r="52" spans="1:15">
      <c r="A52" s="51">
        <v>36</v>
      </c>
      <c r="B52" s="45" t="s">
        <v>191</v>
      </c>
      <c r="C52" s="65" t="s">
        <v>165</v>
      </c>
      <c r="D52" s="147"/>
      <c r="E52" s="147"/>
      <c r="F52" s="147"/>
      <c r="G52" s="147"/>
      <c r="H52" s="147"/>
    </row>
    <row r="53" spans="1:15">
      <c r="A53" s="51">
        <v>37</v>
      </c>
      <c r="B53" s="45" t="s">
        <v>192</v>
      </c>
      <c r="C53" s="65" t="s">
        <v>165</v>
      </c>
      <c r="D53" s="147"/>
      <c r="E53" s="147"/>
      <c r="F53" s="147"/>
      <c r="G53" s="147"/>
      <c r="H53" s="147"/>
    </row>
    <row r="54" spans="1:15">
      <c r="A54" s="51">
        <v>38</v>
      </c>
      <c r="B54" s="45" t="s">
        <v>193</v>
      </c>
      <c r="C54" s="65" t="s">
        <v>165</v>
      </c>
      <c r="D54" s="147"/>
      <c r="E54" s="147"/>
      <c r="F54" s="147"/>
      <c r="G54" s="147"/>
      <c r="H54" s="147"/>
    </row>
    <row r="55" spans="1:15">
      <c r="A55" s="51">
        <v>39</v>
      </c>
      <c r="B55" s="45" t="s">
        <v>194</v>
      </c>
      <c r="C55" s="65" t="s">
        <v>165</v>
      </c>
      <c r="D55" s="153"/>
      <c r="E55" s="153"/>
      <c r="F55" s="153"/>
      <c r="G55" s="153"/>
      <c r="H55" s="153"/>
    </row>
    <row r="56" spans="1:15" ht="19.350000000000001" customHeight="1">
      <c r="A56" s="51">
        <v>40</v>
      </c>
      <c r="B56" s="45" t="s">
        <v>195</v>
      </c>
      <c r="C56" s="65" t="s">
        <v>165</v>
      </c>
      <c r="D56" s="39">
        <f>ROUNDUP(16682*1.2,0)</f>
        <v>20019</v>
      </c>
      <c r="E56" s="39">
        <f>ROUNDUP(18533*1.2,0)</f>
        <v>22240</v>
      </c>
      <c r="F56" s="39">
        <f>ROUNDUP(20693*1.2,0)</f>
        <v>24832</v>
      </c>
      <c r="G56" s="39" t="s">
        <v>84</v>
      </c>
      <c r="H56" s="39" t="s">
        <v>84</v>
      </c>
    </row>
    <row r="57" spans="1:15" ht="16.7" customHeight="1">
      <c r="A57" s="51">
        <v>41</v>
      </c>
      <c r="B57" s="66" t="s">
        <v>196</v>
      </c>
      <c r="C57" s="65" t="s">
        <v>197</v>
      </c>
      <c r="D57" s="146" t="s">
        <v>84</v>
      </c>
      <c r="E57" s="146">
        <f>ROUNDUP(18533*1.2,0)</f>
        <v>22240</v>
      </c>
      <c r="F57" s="146">
        <f>ROUNDUP(20693*1.2,0)</f>
        <v>24832</v>
      </c>
      <c r="G57" s="146" t="s">
        <v>84</v>
      </c>
      <c r="H57" s="146" t="s">
        <v>84</v>
      </c>
    </row>
    <row r="58" spans="1:15" ht="16.7" customHeight="1">
      <c r="A58" s="51">
        <v>42</v>
      </c>
      <c r="B58" s="66" t="s">
        <v>198</v>
      </c>
      <c r="C58" s="65" t="s">
        <v>197</v>
      </c>
      <c r="D58" s="147"/>
      <c r="E58" s="147"/>
      <c r="F58" s="147"/>
      <c r="G58" s="147"/>
      <c r="H58" s="147"/>
    </row>
    <row r="59" spans="1:15" ht="16.149999999999999" customHeight="1">
      <c r="A59" s="51">
        <v>43</v>
      </c>
      <c r="B59" s="11" t="s">
        <v>199</v>
      </c>
      <c r="C59" s="65" t="s">
        <v>197</v>
      </c>
      <c r="D59" s="147"/>
      <c r="E59" s="147"/>
      <c r="F59" s="147"/>
      <c r="G59" s="147"/>
      <c r="H59" s="147"/>
    </row>
    <row r="60" spans="1:15" ht="15" customHeight="1">
      <c r="A60" s="51">
        <v>44</v>
      </c>
      <c r="B60" s="45" t="s">
        <v>200</v>
      </c>
      <c r="C60" s="65" t="s">
        <v>197</v>
      </c>
      <c r="D60" s="147"/>
      <c r="E60" s="147"/>
      <c r="F60" s="147"/>
      <c r="G60" s="147"/>
      <c r="H60" s="147"/>
    </row>
    <row r="61" spans="1:15" ht="15" customHeight="1">
      <c r="A61" s="51">
        <v>45</v>
      </c>
      <c r="B61" s="45" t="s">
        <v>201</v>
      </c>
      <c r="C61" s="65" t="s">
        <v>197</v>
      </c>
      <c r="D61" s="147"/>
      <c r="E61" s="147"/>
      <c r="F61" s="147"/>
      <c r="G61" s="147"/>
      <c r="H61" s="147"/>
    </row>
    <row r="62" spans="1:15" ht="15" customHeight="1">
      <c r="A62" s="51">
        <v>46</v>
      </c>
      <c r="B62" s="45" t="s">
        <v>202</v>
      </c>
      <c r="C62" s="65" t="s">
        <v>197</v>
      </c>
      <c r="D62" s="153"/>
      <c r="E62" s="153"/>
      <c r="F62" s="153"/>
      <c r="G62" s="153"/>
      <c r="H62" s="153"/>
    </row>
    <row r="63" spans="1:15" ht="15.6" customHeight="1">
      <c r="A63" s="51">
        <v>47</v>
      </c>
      <c r="B63" s="45" t="s">
        <v>292</v>
      </c>
      <c r="C63" s="65" t="s">
        <v>203</v>
      </c>
      <c r="D63" s="39" t="s">
        <v>84</v>
      </c>
      <c r="E63" s="39">
        <f>ROUNDUP(19100*1.2,0)</f>
        <v>22920</v>
      </c>
      <c r="F63" s="39">
        <f>ROUNDUP(21126*1.2,0)</f>
        <v>25352</v>
      </c>
      <c r="G63" s="39">
        <f>ROUNDUP(23547*1.2,0)</f>
        <v>28257</v>
      </c>
      <c r="H63" s="39">
        <f>ROUNDUP(26753*1.2,0)</f>
        <v>32104</v>
      </c>
      <c r="I63" s="70"/>
      <c r="J63" s="70"/>
      <c r="K63" s="70"/>
      <c r="L63" s="70"/>
      <c r="M63" s="70"/>
      <c r="N63" s="70"/>
      <c r="O63" s="70"/>
    </row>
    <row r="64" spans="1:15" ht="13.35" customHeight="1">
      <c r="A64" s="51">
        <v>48</v>
      </c>
      <c r="B64" s="45" t="s">
        <v>204</v>
      </c>
      <c r="C64" s="71" t="s">
        <v>205</v>
      </c>
      <c r="D64" s="146">
        <f>ROUND(17173*1.2,0)</f>
        <v>20608</v>
      </c>
      <c r="E64" s="146">
        <f>ROUND(19100*1.2,0)</f>
        <v>22920</v>
      </c>
      <c r="F64" s="146">
        <f>ROUNDUP(21126*1.2,0)</f>
        <v>25352</v>
      </c>
      <c r="G64" s="146">
        <f>ROUNDUP(23547*1.2,0)</f>
        <v>28257</v>
      </c>
      <c r="H64" s="146" t="s">
        <v>84</v>
      </c>
      <c r="I64" s="70"/>
      <c r="J64" s="70"/>
      <c r="K64" s="70"/>
      <c r="L64" s="70"/>
      <c r="M64" s="70"/>
      <c r="N64" s="70"/>
      <c r="O64" s="70"/>
    </row>
    <row r="65" spans="1:15" ht="15.6" customHeight="1">
      <c r="A65" s="51">
        <v>49</v>
      </c>
      <c r="B65" s="45" t="s">
        <v>206</v>
      </c>
      <c r="C65" s="71" t="s">
        <v>205</v>
      </c>
      <c r="D65" s="147"/>
      <c r="E65" s="147"/>
      <c r="F65" s="147"/>
      <c r="G65" s="147"/>
      <c r="H65" s="147"/>
      <c r="I65" s="70"/>
      <c r="J65" s="70"/>
      <c r="K65" s="70"/>
      <c r="L65" s="70"/>
      <c r="M65" s="70"/>
      <c r="N65" s="70"/>
      <c r="O65" s="70"/>
    </row>
    <row r="66" spans="1:15">
      <c r="A66" s="51">
        <v>50</v>
      </c>
      <c r="B66" s="45" t="s">
        <v>207</v>
      </c>
      <c r="C66" s="71" t="s">
        <v>205</v>
      </c>
      <c r="D66" s="147"/>
      <c r="E66" s="147"/>
      <c r="F66" s="147"/>
      <c r="G66" s="147"/>
      <c r="H66" s="147"/>
      <c r="I66" s="70"/>
      <c r="J66" s="70"/>
      <c r="K66" s="70"/>
      <c r="L66" s="70"/>
      <c r="M66" s="70"/>
      <c r="N66" s="70"/>
      <c r="O66" s="70"/>
    </row>
    <row r="67" spans="1:15" ht="12.6" customHeight="1">
      <c r="A67" s="51">
        <v>51</v>
      </c>
      <c r="B67" s="45" t="s">
        <v>208</v>
      </c>
      <c r="C67" s="71" t="s">
        <v>205</v>
      </c>
      <c r="D67" s="147"/>
      <c r="E67" s="147"/>
      <c r="F67" s="147"/>
      <c r="G67" s="147"/>
      <c r="H67" s="147"/>
      <c r="I67" s="70"/>
      <c r="J67" s="70"/>
      <c r="K67" s="70"/>
      <c r="L67" s="70"/>
      <c r="M67" s="70"/>
      <c r="N67" s="70"/>
      <c r="O67" s="70"/>
    </row>
    <row r="68" spans="1:15" ht="15.6" customHeight="1">
      <c r="A68" s="51">
        <v>52</v>
      </c>
      <c r="B68" s="45" t="s">
        <v>209</v>
      </c>
      <c r="C68" s="71" t="s">
        <v>205</v>
      </c>
      <c r="D68" s="147"/>
      <c r="E68" s="147"/>
      <c r="F68" s="147"/>
      <c r="G68" s="147"/>
      <c r="H68" s="147"/>
      <c r="I68" s="70"/>
      <c r="J68" s="70"/>
      <c r="K68" s="70"/>
      <c r="L68" s="70"/>
      <c r="M68" s="70"/>
      <c r="N68" s="70"/>
      <c r="O68" s="70"/>
    </row>
    <row r="69" spans="1:15" ht="14.45" customHeight="1">
      <c r="A69" s="51">
        <v>53</v>
      </c>
      <c r="B69" s="45" t="s">
        <v>210</v>
      </c>
      <c r="C69" s="71" t="s">
        <v>205</v>
      </c>
      <c r="D69" s="147"/>
      <c r="E69" s="147"/>
      <c r="F69" s="147"/>
      <c r="G69" s="147"/>
      <c r="H69" s="147"/>
      <c r="I69" s="70"/>
      <c r="J69" s="70"/>
      <c r="K69" s="70"/>
      <c r="L69" s="70"/>
      <c r="M69" s="70"/>
      <c r="N69" s="70"/>
      <c r="O69" s="70"/>
    </row>
    <row r="70" spans="1:15" ht="15.6" customHeight="1">
      <c r="A70" s="51">
        <v>54</v>
      </c>
      <c r="B70" s="45" t="s">
        <v>211</v>
      </c>
      <c r="C70" s="71" t="s">
        <v>212</v>
      </c>
      <c r="D70" s="143" t="s">
        <v>84</v>
      </c>
      <c r="E70" s="143">
        <f>ROUNDUP(19100*1.2,0)</f>
        <v>22920</v>
      </c>
      <c r="F70" s="146">
        <f>ROUNDUP(21126*1.2,0)</f>
        <v>25352</v>
      </c>
      <c r="G70" s="143">
        <f>ROUNDUP(23547*1.2,0)</f>
        <v>28257</v>
      </c>
      <c r="H70" s="143" t="s">
        <v>84</v>
      </c>
    </row>
    <row r="71" spans="1:15" ht="15" customHeight="1">
      <c r="A71" s="51">
        <v>55</v>
      </c>
      <c r="B71" s="45" t="s">
        <v>213</v>
      </c>
      <c r="C71" s="71" t="s">
        <v>212</v>
      </c>
      <c r="D71" s="143"/>
      <c r="E71" s="143"/>
      <c r="F71" s="147"/>
      <c r="G71" s="143"/>
      <c r="H71" s="143"/>
    </row>
    <row r="72" spans="1:15" ht="12" customHeight="1">
      <c r="A72" s="51">
        <v>56</v>
      </c>
      <c r="B72" s="45" t="s">
        <v>214</v>
      </c>
      <c r="C72" s="71" t="s">
        <v>212</v>
      </c>
      <c r="D72" s="143"/>
      <c r="E72" s="143"/>
      <c r="F72" s="147"/>
      <c r="G72" s="143"/>
      <c r="H72" s="143"/>
    </row>
    <row r="73" spans="1:15">
      <c r="A73" s="51">
        <v>57</v>
      </c>
      <c r="B73" s="45" t="s">
        <v>215</v>
      </c>
      <c r="C73" s="71" t="s">
        <v>212</v>
      </c>
      <c r="D73" s="143"/>
      <c r="E73" s="143"/>
      <c r="F73" s="147"/>
      <c r="G73" s="143"/>
      <c r="H73" s="143"/>
    </row>
    <row r="74" spans="1:15">
      <c r="A74" s="51">
        <v>58</v>
      </c>
      <c r="B74" s="45" t="s">
        <v>216</v>
      </c>
      <c r="C74" s="71" t="s">
        <v>212</v>
      </c>
      <c r="D74" s="143"/>
      <c r="E74" s="143"/>
      <c r="F74" s="147"/>
      <c r="G74" s="143"/>
      <c r="H74" s="143"/>
    </row>
    <row r="75" spans="1:15">
      <c r="A75" s="51">
        <v>59</v>
      </c>
      <c r="B75" s="45" t="s">
        <v>217</v>
      </c>
      <c r="C75" s="71" t="s">
        <v>212</v>
      </c>
      <c r="D75" s="143"/>
      <c r="E75" s="143"/>
      <c r="F75" s="147"/>
      <c r="G75" s="143"/>
      <c r="H75" s="143"/>
    </row>
    <row r="76" spans="1:15">
      <c r="A76" s="51">
        <v>60</v>
      </c>
      <c r="B76" s="45" t="s">
        <v>218</v>
      </c>
      <c r="C76" s="71" t="s">
        <v>212</v>
      </c>
      <c r="D76" s="143"/>
      <c r="E76" s="143"/>
      <c r="F76" s="147"/>
      <c r="G76" s="143"/>
      <c r="H76" s="143"/>
    </row>
    <row r="77" spans="1:15">
      <c r="A77" s="51">
        <v>61</v>
      </c>
      <c r="B77" s="45" t="s">
        <v>219</v>
      </c>
      <c r="C77" s="71" t="s">
        <v>212</v>
      </c>
      <c r="D77" s="143"/>
      <c r="E77" s="143"/>
      <c r="F77" s="153"/>
      <c r="G77" s="143"/>
      <c r="H77" s="143"/>
    </row>
    <row r="78" spans="1:15">
      <c r="A78" s="51">
        <v>62</v>
      </c>
      <c r="B78" s="45" t="s">
        <v>220</v>
      </c>
      <c r="C78" s="71"/>
      <c r="D78" s="39">
        <f>ROUNDUP(17216*1.2,0)</f>
        <v>20660</v>
      </c>
      <c r="E78" s="39" t="s">
        <v>84</v>
      </c>
      <c r="F78" s="39" t="s">
        <v>84</v>
      </c>
      <c r="G78" s="39" t="s">
        <v>84</v>
      </c>
      <c r="H78" s="39" t="s">
        <v>84</v>
      </c>
    </row>
    <row r="79" spans="1:15">
      <c r="A79" s="51">
        <v>63</v>
      </c>
      <c r="B79" s="45" t="s">
        <v>221</v>
      </c>
      <c r="C79" s="71"/>
      <c r="D79" s="39">
        <f>ROUNDUP(19143*1.2,0)</f>
        <v>22972</v>
      </c>
      <c r="E79" s="39" t="s">
        <v>84</v>
      </c>
      <c r="F79" s="39" t="s">
        <v>84</v>
      </c>
      <c r="G79" s="39" t="s">
        <v>84</v>
      </c>
      <c r="H79" s="39" t="s">
        <v>84</v>
      </c>
    </row>
    <row r="80" spans="1:15">
      <c r="A80" s="51">
        <v>64</v>
      </c>
      <c r="B80" s="45" t="s">
        <v>222</v>
      </c>
      <c r="C80" s="71"/>
      <c r="D80" s="39">
        <f>ROUNDUP(21175*1.2,0)</f>
        <v>25410</v>
      </c>
      <c r="E80" s="39" t="s">
        <v>84</v>
      </c>
      <c r="F80" s="39" t="s">
        <v>84</v>
      </c>
      <c r="G80" s="39" t="s">
        <v>84</v>
      </c>
      <c r="H80" s="39" t="s">
        <v>84</v>
      </c>
    </row>
    <row r="81" spans="1:8">
      <c r="A81" s="51">
        <v>65</v>
      </c>
      <c r="B81" s="11" t="s">
        <v>223</v>
      </c>
      <c r="C81" s="65"/>
      <c r="D81" s="143">
        <f>ROUNDUP(18211*1.2,0)</f>
        <v>21854</v>
      </c>
      <c r="E81" s="143" t="s">
        <v>84</v>
      </c>
      <c r="F81" s="143" t="s">
        <v>84</v>
      </c>
      <c r="G81" s="143" t="s">
        <v>84</v>
      </c>
      <c r="H81" s="143" t="s">
        <v>84</v>
      </c>
    </row>
    <row r="82" spans="1:8">
      <c r="A82" s="67">
        <v>66</v>
      </c>
      <c r="B82" s="72" t="s">
        <v>224</v>
      </c>
      <c r="C82" s="69"/>
      <c r="D82" s="146"/>
      <c r="E82" s="146"/>
      <c r="F82" s="146"/>
      <c r="G82" s="146"/>
      <c r="H82" s="146"/>
    </row>
    <row r="83" spans="1:8">
      <c r="A83" s="51">
        <v>67</v>
      </c>
      <c r="B83" s="11" t="s">
        <v>225</v>
      </c>
      <c r="C83" s="65"/>
      <c r="D83" s="146">
        <f>ROUNDUP(18211*1.2,0)</f>
        <v>21854</v>
      </c>
      <c r="E83" s="146" t="s">
        <v>84</v>
      </c>
      <c r="F83" s="146" t="s">
        <v>84</v>
      </c>
      <c r="G83" s="146" t="s">
        <v>84</v>
      </c>
      <c r="H83" s="146" t="s">
        <v>84</v>
      </c>
    </row>
    <row r="84" spans="1:8">
      <c r="A84" s="51">
        <v>68</v>
      </c>
      <c r="B84" s="11" t="s">
        <v>226</v>
      </c>
      <c r="C84" s="65"/>
      <c r="D84" s="153"/>
      <c r="E84" s="153"/>
      <c r="F84" s="153"/>
      <c r="G84" s="153"/>
      <c r="H84" s="153"/>
    </row>
    <row r="85" spans="1:8">
      <c r="A85" s="51">
        <v>69</v>
      </c>
      <c r="B85" s="66" t="s">
        <v>227</v>
      </c>
      <c r="C85" s="65"/>
      <c r="D85" s="146">
        <f>ROUNDUP(20693*1.2,0)</f>
        <v>24832</v>
      </c>
      <c r="E85" s="146" t="s">
        <v>84</v>
      </c>
      <c r="F85" s="146" t="s">
        <v>84</v>
      </c>
      <c r="G85" s="146" t="s">
        <v>84</v>
      </c>
      <c r="H85" s="146" t="s">
        <v>84</v>
      </c>
    </row>
    <row r="86" spans="1:8" ht="25.5">
      <c r="A86" s="51">
        <v>70</v>
      </c>
      <c r="B86" s="11" t="s">
        <v>228</v>
      </c>
      <c r="C86" s="65"/>
      <c r="D86" s="147"/>
      <c r="E86" s="147"/>
      <c r="F86" s="147"/>
      <c r="G86" s="147"/>
      <c r="H86" s="147"/>
    </row>
    <row r="87" spans="1:8">
      <c r="A87" s="51">
        <v>71</v>
      </c>
      <c r="B87" s="11" t="s">
        <v>229</v>
      </c>
      <c r="C87" s="65"/>
      <c r="D87" s="147"/>
      <c r="E87" s="147"/>
      <c r="F87" s="147"/>
      <c r="G87" s="147"/>
      <c r="H87" s="147"/>
    </row>
    <row r="88" spans="1:8">
      <c r="A88" s="51">
        <v>72</v>
      </c>
      <c r="B88" s="66" t="s">
        <v>230</v>
      </c>
      <c r="C88" s="65"/>
      <c r="D88" s="147"/>
      <c r="E88" s="147"/>
      <c r="F88" s="147"/>
      <c r="G88" s="147"/>
      <c r="H88" s="147"/>
    </row>
    <row r="89" spans="1:8">
      <c r="A89" s="51">
        <v>73</v>
      </c>
      <c r="B89" s="45" t="s">
        <v>231</v>
      </c>
      <c r="C89" s="65"/>
      <c r="D89" s="147"/>
      <c r="E89" s="147"/>
      <c r="F89" s="147"/>
      <c r="G89" s="147"/>
      <c r="H89" s="147"/>
    </row>
    <row r="90" spans="1:8">
      <c r="A90" s="51">
        <v>74</v>
      </c>
      <c r="B90" s="66" t="s">
        <v>232</v>
      </c>
      <c r="C90" s="71"/>
      <c r="D90" s="143">
        <f>ROUNDUP(22370*1.2,0)</f>
        <v>26844</v>
      </c>
      <c r="E90" s="143" t="s">
        <v>84</v>
      </c>
      <c r="F90" s="143" t="s">
        <v>84</v>
      </c>
      <c r="G90" s="143" t="s">
        <v>84</v>
      </c>
      <c r="H90" s="143" t="s">
        <v>84</v>
      </c>
    </row>
    <row r="91" spans="1:8">
      <c r="A91" s="51">
        <v>75</v>
      </c>
      <c r="B91" s="66" t="s">
        <v>233</v>
      </c>
      <c r="C91" s="71"/>
      <c r="D91" s="143"/>
      <c r="E91" s="143"/>
      <c r="F91" s="143"/>
      <c r="G91" s="143"/>
      <c r="H91" s="143"/>
    </row>
    <row r="92" spans="1:8">
      <c r="A92" s="51">
        <v>76</v>
      </c>
      <c r="B92" s="66" t="s">
        <v>234</v>
      </c>
      <c r="C92" s="71"/>
      <c r="D92" s="143"/>
      <c r="E92" s="143"/>
      <c r="F92" s="143"/>
      <c r="G92" s="143"/>
      <c r="H92" s="143"/>
    </row>
    <row r="93" spans="1:8" ht="25.5">
      <c r="A93" s="51">
        <v>77</v>
      </c>
      <c r="B93" s="45" t="s">
        <v>235</v>
      </c>
      <c r="C93" s="71"/>
      <c r="D93" s="143"/>
      <c r="E93" s="143"/>
      <c r="F93" s="143"/>
      <c r="G93" s="143"/>
      <c r="H93" s="143"/>
    </row>
    <row r="94" spans="1:8">
      <c r="A94" s="51">
        <v>78</v>
      </c>
      <c r="B94" s="66" t="s">
        <v>236</v>
      </c>
      <c r="C94" s="65" t="s">
        <v>203</v>
      </c>
      <c r="D94" s="146" t="s">
        <v>84</v>
      </c>
      <c r="E94" s="146">
        <f>ROUNDUP(19143*1.2,0)</f>
        <v>22972</v>
      </c>
      <c r="F94" s="146">
        <f>ROUNDUP(21175*1.2,0)</f>
        <v>25410</v>
      </c>
      <c r="G94" s="146">
        <f>ROUNDUP(23696*1.2,0)</f>
        <v>28436</v>
      </c>
      <c r="H94" s="146">
        <f>ROUNDUP(27819*1.2,0)</f>
        <v>33383</v>
      </c>
    </row>
    <row r="95" spans="1:8">
      <c r="A95" s="51">
        <v>79</v>
      </c>
      <c r="B95" s="66" t="s">
        <v>237</v>
      </c>
      <c r="C95" s="65" t="s">
        <v>203</v>
      </c>
      <c r="D95" s="147"/>
      <c r="E95" s="147"/>
      <c r="F95" s="147"/>
      <c r="G95" s="147"/>
      <c r="H95" s="147"/>
    </row>
    <row r="96" spans="1:8" ht="15" customHeight="1">
      <c r="A96" s="51">
        <v>80</v>
      </c>
      <c r="B96" s="66" t="s">
        <v>238</v>
      </c>
      <c r="C96" s="65" t="s">
        <v>203</v>
      </c>
      <c r="D96" s="147"/>
      <c r="E96" s="153"/>
      <c r="F96" s="153"/>
      <c r="G96" s="153"/>
      <c r="H96" s="153"/>
    </row>
    <row r="97" spans="1:8" ht="19.350000000000001" customHeight="1">
      <c r="A97" s="51">
        <v>81</v>
      </c>
      <c r="B97" s="66" t="s">
        <v>239</v>
      </c>
      <c r="C97" s="65" t="s">
        <v>197</v>
      </c>
      <c r="D97" s="39" t="s">
        <v>84</v>
      </c>
      <c r="E97" s="39">
        <f>ROUNDUP(20013*1.2,0)</f>
        <v>24016</v>
      </c>
      <c r="F97" s="39">
        <f>ROUNDUP(22370*1.2,0)</f>
        <v>26844</v>
      </c>
      <c r="G97" s="39" t="s">
        <v>84</v>
      </c>
      <c r="H97" s="39" t="s">
        <v>84</v>
      </c>
    </row>
    <row r="98" spans="1:8" ht="16.7" customHeight="1">
      <c r="A98" s="51">
        <v>82</v>
      </c>
      <c r="B98" s="45" t="s">
        <v>240</v>
      </c>
      <c r="C98" s="73" t="s">
        <v>197</v>
      </c>
      <c r="D98" s="39" t="s">
        <v>84</v>
      </c>
      <c r="E98" s="39">
        <f>ROUNDUP(20062*1.2,0)</f>
        <v>24075</v>
      </c>
      <c r="F98" s="39">
        <f>ROUNDUP(22094*1.2,0)</f>
        <v>26513</v>
      </c>
      <c r="G98" s="39" t="s">
        <v>84</v>
      </c>
      <c r="H98" s="39" t="s">
        <v>84</v>
      </c>
    </row>
    <row r="99" spans="1:8" ht="15" customHeight="1">
      <c r="A99" s="51">
        <v>83</v>
      </c>
      <c r="B99" s="45" t="s">
        <v>241</v>
      </c>
      <c r="C99" s="63"/>
      <c r="D99" s="41">
        <f>ROUNDUP(23696*1.2,0)</f>
        <v>28436</v>
      </c>
      <c r="E99" s="41" t="s">
        <v>84</v>
      </c>
      <c r="F99" s="41" t="s">
        <v>84</v>
      </c>
      <c r="G99" s="41" t="s">
        <v>84</v>
      </c>
      <c r="H99" s="41" t="s">
        <v>84</v>
      </c>
    </row>
    <row r="100" spans="1:8" ht="15.6" customHeight="1">
      <c r="A100" s="51">
        <v>84</v>
      </c>
      <c r="B100" s="45" t="s">
        <v>242</v>
      </c>
      <c r="C100" s="63"/>
      <c r="D100" s="146">
        <f>ROUNDUP(23568*1.2,0)</f>
        <v>28282</v>
      </c>
      <c r="E100" s="146" t="s">
        <v>84</v>
      </c>
      <c r="F100" s="146" t="s">
        <v>84</v>
      </c>
      <c r="G100" s="146" t="s">
        <v>84</v>
      </c>
      <c r="H100" s="146" t="s">
        <v>84</v>
      </c>
    </row>
    <row r="101" spans="1:8" ht="15" customHeight="1">
      <c r="A101" s="51">
        <v>85</v>
      </c>
      <c r="B101" s="45" t="s">
        <v>243</v>
      </c>
      <c r="C101" s="63"/>
      <c r="D101" s="147"/>
      <c r="E101" s="147"/>
      <c r="F101" s="147"/>
      <c r="G101" s="147"/>
      <c r="H101" s="147"/>
    </row>
    <row r="102" spans="1:8" ht="26.45" customHeight="1">
      <c r="A102" s="51">
        <v>86</v>
      </c>
      <c r="B102" s="45" t="s">
        <v>244</v>
      </c>
      <c r="C102" s="65"/>
      <c r="D102" s="147"/>
      <c r="E102" s="147"/>
      <c r="F102" s="147"/>
      <c r="G102" s="147"/>
      <c r="H102" s="147"/>
    </row>
    <row r="103" spans="1:8">
      <c r="A103" s="51">
        <v>87</v>
      </c>
      <c r="B103" s="45" t="s">
        <v>245</v>
      </c>
      <c r="C103" s="74"/>
      <c r="D103" s="147"/>
      <c r="E103" s="147"/>
      <c r="F103" s="147"/>
      <c r="G103" s="147"/>
      <c r="H103" s="147"/>
    </row>
    <row r="104" spans="1:8" ht="16.7" customHeight="1">
      <c r="A104" s="51">
        <v>88</v>
      </c>
      <c r="B104" s="45" t="s">
        <v>246</v>
      </c>
      <c r="C104" s="74"/>
      <c r="D104" s="143">
        <f>ROUNDUP(23568*1.2,0)</f>
        <v>28282</v>
      </c>
      <c r="E104" s="143" t="s">
        <v>84</v>
      </c>
      <c r="F104" s="143" t="s">
        <v>84</v>
      </c>
      <c r="G104" s="143" t="s">
        <v>84</v>
      </c>
      <c r="H104" s="143" t="s">
        <v>84</v>
      </c>
    </row>
    <row r="105" spans="1:8">
      <c r="A105" s="67">
        <v>89</v>
      </c>
      <c r="B105" s="68" t="s">
        <v>247</v>
      </c>
      <c r="C105" s="75"/>
      <c r="D105" s="143"/>
      <c r="E105" s="143"/>
      <c r="F105" s="143"/>
      <c r="G105" s="143"/>
      <c r="H105" s="143"/>
    </row>
    <row r="106" spans="1:8" ht="15" customHeight="1">
      <c r="A106" s="51">
        <v>90</v>
      </c>
      <c r="B106" s="45" t="s">
        <v>248</v>
      </c>
      <c r="C106" s="74"/>
      <c r="D106" s="143"/>
      <c r="E106" s="143"/>
      <c r="F106" s="143"/>
      <c r="G106" s="143"/>
      <c r="H106" s="143"/>
    </row>
    <row r="107" spans="1:8">
      <c r="A107" s="51">
        <v>91</v>
      </c>
      <c r="B107" s="45" t="s">
        <v>249</v>
      </c>
      <c r="C107" s="65"/>
      <c r="D107" s="143"/>
      <c r="E107" s="143"/>
      <c r="F107" s="143"/>
      <c r="G107" s="143"/>
      <c r="H107" s="143"/>
    </row>
    <row r="108" spans="1:8">
      <c r="A108" s="51">
        <v>92</v>
      </c>
      <c r="B108" s="45" t="s">
        <v>250</v>
      </c>
      <c r="C108" s="73" t="s">
        <v>197</v>
      </c>
      <c r="D108" s="146" t="s">
        <v>84</v>
      </c>
      <c r="E108" s="146">
        <f>ROUNDUP(22327*1.2,0)</f>
        <v>26793</v>
      </c>
      <c r="F108" s="146">
        <f>ROUNDUP(25235*1.2,0)</f>
        <v>30282</v>
      </c>
      <c r="G108" s="146" t="s">
        <v>84</v>
      </c>
      <c r="H108" s="146" t="s">
        <v>84</v>
      </c>
    </row>
    <row r="109" spans="1:8">
      <c r="A109" s="51">
        <v>93</v>
      </c>
      <c r="B109" s="45" t="s">
        <v>251</v>
      </c>
      <c r="C109" s="73" t="s">
        <v>197</v>
      </c>
      <c r="D109" s="147"/>
      <c r="E109" s="147"/>
      <c r="F109" s="147"/>
      <c r="G109" s="147"/>
      <c r="H109" s="147"/>
    </row>
    <row r="110" spans="1:8">
      <c r="A110" s="51">
        <v>94</v>
      </c>
      <c r="B110" s="11" t="s">
        <v>252</v>
      </c>
      <c r="C110" s="65"/>
      <c r="D110" s="143">
        <f>ROUNDUP(25235*1.2,0)</f>
        <v>30282</v>
      </c>
      <c r="E110" s="143" t="s">
        <v>84</v>
      </c>
      <c r="F110" s="143" t="s">
        <v>84</v>
      </c>
      <c r="G110" s="143" t="s">
        <v>84</v>
      </c>
      <c r="H110" s="143" t="s">
        <v>84</v>
      </c>
    </row>
    <row r="111" spans="1:8">
      <c r="A111" s="51">
        <v>95</v>
      </c>
      <c r="B111" s="45" t="s">
        <v>253</v>
      </c>
      <c r="C111" s="76"/>
      <c r="D111" s="143"/>
      <c r="E111" s="143"/>
      <c r="F111" s="143"/>
      <c r="G111" s="143"/>
      <c r="H111" s="143"/>
    </row>
    <row r="112" spans="1:8">
      <c r="A112" s="51">
        <v>96</v>
      </c>
      <c r="B112" s="45" t="s">
        <v>254</v>
      </c>
      <c r="C112" s="76"/>
      <c r="D112" s="143"/>
      <c r="E112" s="143"/>
      <c r="F112" s="143"/>
      <c r="G112" s="143"/>
      <c r="H112" s="143"/>
    </row>
    <row r="113" spans="1:8">
      <c r="A113" s="51">
        <v>97</v>
      </c>
      <c r="B113" s="45" t="s">
        <v>255</v>
      </c>
      <c r="C113" s="74"/>
      <c r="D113" s="143"/>
      <c r="E113" s="143"/>
      <c r="F113" s="143"/>
      <c r="G113" s="143"/>
      <c r="H113" s="143"/>
    </row>
    <row r="114" spans="1:8">
      <c r="A114" s="51">
        <v>98</v>
      </c>
      <c r="B114" s="45" t="s">
        <v>256</v>
      </c>
      <c r="C114" s="73"/>
      <c r="D114" s="143"/>
      <c r="E114" s="143"/>
      <c r="F114" s="143"/>
      <c r="G114" s="143"/>
      <c r="H114" s="143"/>
    </row>
    <row r="115" spans="1:8">
      <c r="A115" s="51">
        <v>99</v>
      </c>
      <c r="B115" s="45" t="s">
        <v>257</v>
      </c>
      <c r="C115" s="71" t="s">
        <v>258</v>
      </c>
      <c r="D115" s="146" t="s">
        <v>84</v>
      </c>
      <c r="E115" s="146" t="s">
        <v>84</v>
      </c>
      <c r="F115" s="146">
        <f>ROUNDUP(25235*1.2,0)</f>
        <v>30282</v>
      </c>
      <c r="G115" s="146">
        <f>ROUNDUP(28221*1.2,0)</f>
        <v>33866</v>
      </c>
      <c r="H115" s="146" t="s">
        <v>84</v>
      </c>
    </row>
    <row r="116" spans="1:8">
      <c r="A116" s="51">
        <v>100</v>
      </c>
      <c r="B116" s="45" t="s">
        <v>259</v>
      </c>
      <c r="C116" s="71" t="s">
        <v>258</v>
      </c>
      <c r="D116" s="147"/>
      <c r="E116" s="147"/>
      <c r="F116" s="147"/>
      <c r="G116" s="147"/>
      <c r="H116" s="147"/>
    </row>
    <row r="117" spans="1:8">
      <c r="A117" s="51">
        <v>101</v>
      </c>
      <c r="B117" s="45" t="s">
        <v>260</v>
      </c>
      <c r="C117" s="71" t="s">
        <v>258</v>
      </c>
      <c r="D117" s="147"/>
      <c r="E117" s="147"/>
      <c r="F117" s="147"/>
      <c r="G117" s="147"/>
      <c r="H117" s="147"/>
    </row>
    <row r="118" spans="1:8">
      <c r="A118" s="51">
        <v>102</v>
      </c>
      <c r="B118" s="45" t="s">
        <v>261</v>
      </c>
      <c r="D118" s="143">
        <f>ROUNDUP(29706*1.2,0)</f>
        <v>35648</v>
      </c>
      <c r="E118" s="143" t="s">
        <v>84</v>
      </c>
      <c r="F118" s="143" t="s">
        <v>84</v>
      </c>
      <c r="G118" s="143" t="s">
        <v>84</v>
      </c>
      <c r="H118" s="143" t="s">
        <v>84</v>
      </c>
    </row>
    <row r="119" spans="1:8">
      <c r="A119" s="51">
        <v>103</v>
      </c>
      <c r="B119" s="45" t="s">
        <v>262</v>
      </c>
      <c r="C119" s="74"/>
      <c r="D119" s="143"/>
      <c r="E119" s="143"/>
      <c r="F119" s="143"/>
      <c r="G119" s="143"/>
      <c r="H119" s="143"/>
    </row>
    <row r="120" spans="1:8">
      <c r="A120" s="51">
        <v>104</v>
      </c>
      <c r="B120" s="45" t="s">
        <v>263</v>
      </c>
      <c r="C120" s="74"/>
      <c r="D120" s="143"/>
      <c r="E120" s="143"/>
      <c r="F120" s="143"/>
      <c r="G120" s="143"/>
      <c r="H120" s="143"/>
    </row>
    <row r="121" spans="1:8">
      <c r="A121" s="51">
        <v>105</v>
      </c>
      <c r="B121" s="45" t="s">
        <v>264</v>
      </c>
      <c r="C121" s="74"/>
      <c r="D121" s="143"/>
      <c r="E121" s="143"/>
      <c r="F121" s="143"/>
      <c r="G121" s="143"/>
      <c r="H121" s="143"/>
    </row>
    <row r="122" spans="1:8">
      <c r="A122" s="51">
        <v>106</v>
      </c>
      <c r="B122" s="45" t="s">
        <v>265</v>
      </c>
      <c r="C122" s="74"/>
      <c r="D122" s="143"/>
      <c r="E122" s="143"/>
      <c r="F122" s="143"/>
      <c r="G122" s="143"/>
      <c r="H122" s="143"/>
    </row>
    <row r="123" spans="1:8">
      <c r="A123" s="51">
        <v>107</v>
      </c>
      <c r="B123" s="45" t="s">
        <v>266</v>
      </c>
      <c r="C123" s="74"/>
      <c r="D123" s="143"/>
      <c r="E123" s="143"/>
      <c r="F123" s="143"/>
      <c r="G123" s="143"/>
      <c r="H123" s="143"/>
    </row>
    <row r="124" spans="1:8">
      <c r="A124" s="51">
        <v>108</v>
      </c>
      <c r="B124" s="45" t="s">
        <v>267</v>
      </c>
      <c r="C124" s="74"/>
      <c r="D124" s="143"/>
      <c r="E124" s="143"/>
      <c r="F124" s="143"/>
      <c r="G124" s="143"/>
      <c r="H124" s="143"/>
    </row>
    <row r="125" spans="1:8">
      <c r="A125" s="51">
        <v>109</v>
      </c>
      <c r="B125" s="45" t="s">
        <v>268</v>
      </c>
      <c r="C125" s="74"/>
      <c r="D125" s="143"/>
      <c r="E125" s="143"/>
      <c r="F125" s="143"/>
      <c r="G125" s="143"/>
      <c r="H125" s="143"/>
    </row>
    <row r="126" spans="1:8">
      <c r="A126" s="51">
        <v>110</v>
      </c>
      <c r="B126" s="45" t="s">
        <v>269</v>
      </c>
      <c r="C126" s="74"/>
      <c r="D126" s="143"/>
      <c r="E126" s="143"/>
      <c r="F126" s="143"/>
      <c r="G126" s="143"/>
      <c r="H126" s="143"/>
    </row>
    <row r="127" spans="1:8">
      <c r="A127" s="51">
        <v>111</v>
      </c>
      <c r="B127" s="45" t="s">
        <v>270</v>
      </c>
      <c r="C127" s="73"/>
      <c r="D127" s="143"/>
      <c r="E127" s="143"/>
      <c r="F127" s="143"/>
      <c r="G127" s="143"/>
      <c r="H127" s="143"/>
    </row>
    <row r="128" spans="1:8" ht="10.5" customHeight="1"/>
    <row r="129" spans="3:8" ht="9.9499999999999993" customHeight="1">
      <c r="C129" s="77" t="s">
        <v>271</v>
      </c>
      <c r="D129" s="1"/>
      <c r="E129" s="1"/>
      <c r="F129" s="1"/>
      <c r="G129" s="1"/>
      <c r="H129" s="1"/>
    </row>
  </sheetData>
  <mergeCells count="110">
    <mergeCell ref="A12:H12"/>
    <mergeCell ref="A14:A15"/>
    <mergeCell ref="B14:B15"/>
    <mergeCell ref="C14:C15"/>
    <mergeCell ref="D14:H14"/>
    <mergeCell ref="D17:D19"/>
    <mergeCell ref="E17:E19"/>
    <mergeCell ref="F17:F19"/>
    <mergeCell ref="G17:G19"/>
    <mergeCell ref="H17:H19"/>
    <mergeCell ref="D21:D28"/>
    <mergeCell ref="E21:E28"/>
    <mergeCell ref="F21:F28"/>
    <mergeCell ref="G21:G28"/>
    <mergeCell ref="H21:H28"/>
    <mergeCell ref="D29:D32"/>
    <mergeCell ref="E29:E32"/>
    <mergeCell ref="F29:F32"/>
    <mergeCell ref="G29:G32"/>
    <mergeCell ref="H29:H32"/>
    <mergeCell ref="D33:D34"/>
    <mergeCell ref="E33:E34"/>
    <mergeCell ref="F33:F34"/>
    <mergeCell ref="G33:G34"/>
    <mergeCell ref="H33:H34"/>
    <mergeCell ref="D35:D37"/>
    <mergeCell ref="E35:E37"/>
    <mergeCell ref="F35:F37"/>
    <mergeCell ref="G35:G37"/>
    <mergeCell ref="H35:H37"/>
    <mergeCell ref="D38:D43"/>
    <mergeCell ref="E38:E43"/>
    <mergeCell ref="F38:F43"/>
    <mergeCell ref="G38:G43"/>
    <mergeCell ref="H38:H43"/>
    <mergeCell ref="D44:D55"/>
    <mergeCell ref="E44:E55"/>
    <mergeCell ref="F44:F55"/>
    <mergeCell ref="G44:G55"/>
    <mergeCell ref="H44:H55"/>
    <mergeCell ref="D57:D62"/>
    <mergeCell ref="E57:E62"/>
    <mergeCell ref="F57:F62"/>
    <mergeCell ref="G57:G62"/>
    <mergeCell ref="H57:H62"/>
    <mergeCell ref="D64:D69"/>
    <mergeCell ref="E64:E69"/>
    <mergeCell ref="F64:F69"/>
    <mergeCell ref="G64:G69"/>
    <mergeCell ref="H64:H69"/>
    <mergeCell ref="E94:E96"/>
    <mergeCell ref="F94:F96"/>
    <mergeCell ref="D70:D77"/>
    <mergeCell ref="E70:E77"/>
    <mergeCell ref="F70:F77"/>
    <mergeCell ref="G70:G77"/>
    <mergeCell ref="H70:H77"/>
    <mergeCell ref="D81:D82"/>
    <mergeCell ref="E81:E82"/>
    <mergeCell ref="F81:F82"/>
    <mergeCell ref="G81:G82"/>
    <mergeCell ref="H81:H82"/>
    <mergeCell ref="E108:E109"/>
    <mergeCell ref="F108:F109"/>
    <mergeCell ref="D104:D107"/>
    <mergeCell ref="E104:E107"/>
    <mergeCell ref="F104:F107"/>
    <mergeCell ref="G104:G107"/>
    <mergeCell ref="H104:H107"/>
    <mergeCell ref="H100:H103"/>
    <mergeCell ref="D83:D84"/>
    <mergeCell ref="E83:E84"/>
    <mergeCell ref="F83:F84"/>
    <mergeCell ref="G83:G84"/>
    <mergeCell ref="H83:H84"/>
    <mergeCell ref="D85:D89"/>
    <mergeCell ref="E85:E89"/>
    <mergeCell ref="F85:F89"/>
    <mergeCell ref="G85:G89"/>
    <mergeCell ref="H85:H89"/>
    <mergeCell ref="D90:D93"/>
    <mergeCell ref="E90:E93"/>
    <mergeCell ref="F90:F93"/>
    <mergeCell ref="G90:G93"/>
    <mergeCell ref="H90:H93"/>
    <mergeCell ref="D94:D96"/>
    <mergeCell ref="G108:G109"/>
    <mergeCell ref="H108:H109"/>
    <mergeCell ref="G94:G96"/>
    <mergeCell ref="H94:H96"/>
    <mergeCell ref="D118:D127"/>
    <mergeCell ref="E118:E127"/>
    <mergeCell ref="F118:F127"/>
    <mergeCell ref="G118:G127"/>
    <mergeCell ref="H118:H127"/>
    <mergeCell ref="D100:D103"/>
    <mergeCell ref="E100:E103"/>
    <mergeCell ref="F100:F103"/>
    <mergeCell ref="G100:G103"/>
    <mergeCell ref="D110:D114"/>
    <mergeCell ref="E110:E114"/>
    <mergeCell ref="F110:F114"/>
    <mergeCell ref="G110:G114"/>
    <mergeCell ref="H110:H114"/>
    <mergeCell ref="D115:D117"/>
    <mergeCell ref="E115:E117"/>
    <mergeCell ref="F115:F117"/>
    <mergeCell ref="G115:G117"/>
    <mergeCell ref="H115:H117"/>
    <mergeCell ref="D108:D109"/>
  </mergeCells>
  <printOptions horizontalCentered="1"/>
  <pageMargins left="0" right="0" top="0.78740157480314965" bottom="0.39370078740157483" header="0.51181102362204722" footer="0.51181102362204722"/>
  <pageSetup paperSize="9" firstPageNumber="9" orientation="landscape" useFirstPageNumber="1" verticalDpi="0" r:id="rId1"/>
  <headerFooter alignWithMargins="0">
    <oddHeader>&amp;C&amp;"Times New Roman,обычный"&amp;P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54"/>
  <sheetViews>
    <sheetView zoomScale="85" zoomScaleNormal="85" workbookViewId="0">
      <selection activeCell="A13" sqref="A13:C13"/>
    </sheetView>
  </sheetViews>
  <sheetFormatPr defaultColWidth="9.140625" defaultRowHeight="12.75"/>
  <cols>
    <col min="1" max="1" width="51.85546875" style="5" customWidth="1"/>
    <col min="2" max="2" width="65.140625" style="5" customWidth="1"/>
    <col min="3" max="3" width="29.5703125" style="5" customWidth="1"/>
    <col min="4" max="4" width="8.42578125" style="5" customWidth="1"/>
    <col min="5" max="5" width="10.5703125" style="93" customWidth="1"/>
    <col min="6" max="16384" width="9.140625" style="5"/>
  </cols>
  <sheetData>
    <row r="1" spans="1:3">
      <c r="A1" s="80"/>
      <c r="B1" s="80"/>
      <c r="C1" s="2" t="s">
        <v>291</v>
      </c>
    </row>
    <row r="2" spans="1:3">
      <c r="A2" s="80"/>
      <c r="B2" s="80"/>
      <c r="C2" s="2" t="s">
        <v>1</v>
      </c>
    </row>
    <row r="3" spans="1:3">
      <c r="A3" s="80"/>
      <c r="B3" s="80"/>
      <c r="C3" s="2" t="s">
        <v>2</v>
      </c>
    </row>
    <row r="4" spans="1:3">
      <c r="A4" s="80"/>
      <c r="B4" s="80"/>
      <c r="C4" s="2" t="s">
        <v>272</v>
      </c>
    </row>
    <row r="5" spans="1:3" ht="13.7" customHeight="1">
      <c r="A5" s="80"/>
      <c r="B5" s="80"/>
      <c r="C5" s="80"/>
    </row>
    <row r="6" spans="1:3">
      <c r="C6" s="2" t="s">
        <v>291</v>
      </c>
    </row>
    <row r="7" spans="1:3">
      <c r="C7" s="2" t="s">
        <v>4</v>
      </c>
    </row>
    <row r="8" spans="1:3">
      <c r="C8" s="2" t="s">
        <v>5</v>
      </c>
    </row>
    <row r="9" spans="1:3">
      <c r="C9" s="2" t="s">
        <v>6</v>
      </c>
    </row>
    <row r="10" spans="1:3">
      <c r="C10" s="2" t="s">
        <v>7</v>
      </c>
    </row>
    <row r="11" spans="1:3" ht="10.9" customHeight="1">
      <c r="C11" s="2"/>
    </row>
    <row r="12" spans="1:3" ht="14.1" customHeight="1">
      <c r="C12" s="14" t="s">
        <v>8</v>
      </c>
    </row>
    <row r="13" spans="1:3" ht="30" customHeight="1">
      <c r="A13" s="122" t="s">
        <v>307</v>
      </c>
      <c r="B13" s="122"/>
      <c r="C13" s="122"/>
    </row>
    <row r="14" spans="1:3" ht="9" customHeight="1">
      <c r="A14" s="105"/>
      <c r="B14" s="105"/>
    </row>
    <row r="15" spans="1:3" ht="16.899999999999999" customHeight="1">
      <c r="A15" s="125" t="s">
        <v>10</v>
      </c>
      <c r="B15" s="126"/>
      <c r="C15" s="9" t="s">
        <v>11</v>
      </c>
    </row>
    <row r="16" spans="1:3">
      <c r="A16" s="125">
        <v>1</v>
      </c>
      <c r="B16" s="126"/>
      <c r="C16" s="9" t="s">
        <v>12</v>
      </c>
    </row>
    <row r="17" spans="1:5">
      <c r="A17" s="159" t="s">
        <v>13</v>
      </c>
      <c r="B17" s="160"/>
      <c r="C17" s="10">
        <f>ROUNDUP(11666*1.055,0)</f>
        <v>12308</v>
      </c>
    </row>
    <row r="18" spans="1:5">
      <c r="A18" s="127" t="s">
        <v>14</v>
      </c>
      <c r="B18" s="128"/>
      <c r="C18" s="10">
        <f>ROUNDUP(11724*1.055,0)</f>
        <v>12369</v>
      </c>
    </row>
    <row r="19" spans="1:5">
      <c r="A19" s="159" t="s">
        <v>15</v>
      </c>
      <c r="B19" s="160"/>
      <c r="C19" s="10">
        <f>ROUNDUP(11803*1.055,0)</f>
        <v>12453</v>
      </c>
    </row>
    <row r="20" spans="1:5">
      <c r="A20" s="159" t="s">
        <v>16</v>
      </c>
      <c r="B20" s="160"/>
      <c r="C20" s="10">
        <f>ROUNDUP(11981*1.055,0)</f>
        <v>12640</v>
      </c>
    </row>
    <row r="21" spans="1:5">
      <c r="A21" s="159" t="s">
        <v>17</v>
      </c>
      <c r="B21" s="160"/>
      <c r="C21" s="10">
        <f>ROUNDUP(12580*1.055,0)</f>
        <v>13272</v>
      </c>
    </row>
    <row r="22" spans="1:5" ht="6.75" customHeight="1">
      <c r="C22" s="6"/>
    </row>
    <row r="23" spans="1:5" ht="13.15" customHeight="1">
      <c r="C23" s="14" t="s">
        <v>18</v>
      </c>
    </row>
    <row r="24" spans="1:5" ht="14.25" customHeight="1">
      <c r="A24" s="123" t="s">
        <v>19</v>
      </c>
      <c r="B24" s="123"/>
      <c r="C24" s="123"/>
      <c r="D24" s="94"/>
      <c r="E24" s="95"/>
    </row>
    <row r="25" spans="1:5" ht="14.1" customHeight="1">
      <c r="A25" s="105"/>
      <c r="B25" s="105"/>
      <c r="D25" s="94"/>
      <c r="E25" s="95"/>
    </row>
    <row r="26" spans="1:5" ht="17.45" customHeight="1">
      <c r="A26" s="111" t="s">
        <v>20</v>
      </c>
      <c r="B26" s="111" t="s">
        <v>293</v>
      </c>
      <c r="C26" s="111" t="s">
        <v>21</v>
      </c>
      <c r="D26" s="96"/>
      <c r="E26" s="97"/>
    </row>
    <row r="27" spans="1:5">
      <c r="A27" s="111">
        <v>1</v>
      </c>
      <c r="B27" s="111">
        <v>2</v>
      </c>
      <c r="C27" s="111">
        <v>3</v>
      </c>
      <c r="D27" s="96"/>
      <c r="E27" s="97"/>
    </row>
    <row r="28" spans="1:5">
      <c r="A28" s="11" t="s">
        <v>308</v>
      </c>
      <c r="B28" s="92" t="s">
        <v>294</v>
      </c>
      <c r="C28" s="20" t="s">
        <v>70</v>
      </c>
    </row>
    <row r="29" spans="1:5">
      <c r="A29" s="11" t="s">
        <v>309</v>
      </c>
      <c r="B29" s="92" t="s">
        <v>294</v>
      </c>
      <c r="C29" s="20" t="s">
        <v>310</v>
      </c>
    </row>
    <row r="30" spans="1:5">
      <c r="A30" s="11" t="s">
        <v>311</v>
      </c>
      <c r="B30" s="92" t="s">
        <v>294</v>
      </c>
      <c r="C30" s="20" t="s">
        <v>310</v>
      </c>
    </row>
    <row r="31" spans="1:5">
      <c r="A31" s="11" t="s">
        <v>31</v>
      </c>
      <c r="B31" s="92" t="s">
        <v>294</v>
      </c>
      <c r="C31" s="20" t="s">
        <v>32</v>
      </c>
    </row>
    <row r="32" spans="1:5">
      <c r="A32" s="11" t="s">
        <v>35</v>
      </c>
      <c r="B32" s="92" t="s">
        <v>294</v>
      </c>
      <c r="C32" s="20" t="s">
        <v>36</v>
      </c>
    </row>
    <row r="33" spans="1:3" ht="22.5">
      <c r="A33" s="11" t="s">
        <v>37</v>
      </c>
      <c r="B33" s="92" t="s">
        <v>295</v>
      </c>
      <c r="C33" s="20" t="s">
        <v>27</v>
      </c>
    </row>
    <row r="34" spans="1:3" ht="22.5">
      <c r="A34" s="104" t="s">
        <v>42</v>
      </c>
      <c r="B34" s="92" t="s">
        <v>296</v>
      </c>
      <c r="C34" s="20" t="s">
        <v>43</v>
      </c>
    </row>
    <row r="35" spans="1:3" ht="22.5">
      <c r="A35" s="104" t="s">
        <v>44</v>
      </c>
      <c r="B35" s="92" t="s">
        <v>295</v>
      </c>
      <c r="C35" s="20" t="s">
        <v>45</v>
      </c>
    </row>
    <row r="36" spans="1:3" ht="22.5">
      <c r="A36" s="104" t="s">
        <v>46</v>
      </c>
      <c r="B36" s="92" t="s">
        <v>296</v>
      </c>
      <c r="C36" s="20" t="s">
        <v>47</v>
      </c>
    </row>
    <row r="37" spans="1:3" ht="22.5">
      <c r="A37" s="104" t="s">
        <v>312</v>
      </c>
      <c r="B37" s="92" t="s">
        <v>313</v>
      </c>
      <c r="C37" s="20" t="s">
        <v>314</v>
      </c>
    </row>
    <row r="38" spans="1:3" ht="22.5">
      <c r="A38" s="11" t="s">
        <v>315</v>
      </c>
      <c r="B38" s="92" t="s">
        <v>316</v>
      </c>
      <c r="C38" s="20" t="s">
        <v>317</v>
      </c>
    </row>
    <row r="39" spans="1:3" ht="22.5">
      <c r="A39" s="11" t="s">
        <v>318</v>
      </c>
      <c r="B39" s="92" t="s">
        <v>319</v>
      </c>
      <c r="C39" s="20" t="s">
        <v>48</v>
      </c>
    </row>
    <row r="40" spans="1:3" ht="22.5">
      <c r="A40" s="11" t="s">
        <v>320</v>
      </c>
      <c r="B40" s="92" t="s">
        <v>321</v>
      </c>
      <c r="C40" s="23" t="s">
        <v>322</v>
      </c>
    </row>
    <row r="41" spans="1:3" ht="22.5">
      <c r="A41" s="11" t="s">
        <v>323</v>
      </c>
      <c r="B41" s="92" t="s">
        <v>324</v>
      </c>
      <c r="C41" s="23" t="s">
        <v>314</v>
      </c>
    </row>
    <row r="42" spans="1:3" ht="22.5">
      <c r="A42" s="11" t="s">
        <v>49</v>
      </c>
      <c r="B42" s="92" t="s">
        <v>295</v>
      </c>
      <c r="C42" s="23" t="s">
        <v>50</v>
      </c>
    </row>
    <row r="43" spans="1:3" ht="33.75">
      <c r="A43" s="11" t="s">
        <v>325</v>
      </c>
      <c r="B43" s="92" t="s">
        <v>306</v>
      </c>
      <c r="C43" s="20" t="s">
        <v>36</v>
      </c>
    </row>
    <row r="44" spans="1:3">
      <c r="A44" s="11" t="s">
        <v>69</v>
      </c>
      <c r="B44" s="92" t="s">
        <v>294</v>
      </c>
      <c r="C44" s="20" t="s">
        <v>70</v>
      </c>
    </row>
    <row r="45" spans="1:3" ht="33.75">
      <c r="A45" s="11" t="s">
        <v>326</v>
      </c>
      <c r="B45" s="92" t="s">
        <v>306</v>
      </c>
      <c r="C45" s="20" t="s">
        <v>327</v>
      </c>
    </row>
    <row r="46" spans="1:3">
      <c r="A46" s="11" t="s">
        <v>60</v>
      </c>
      <c r="B46" s="92" t="s">
        <v>294</v>
      </c>
      <c r="C46" s="20" t="s">
        <v>36</v>
      </c>
    </row>
    <row r="47" spans="1:3" ht="22.5">
      <c r="A47" s="11" t="s">
        <v>328</v>
      </c>
      <c r="B47" s="92" t="s">
        <v>329</v>
      </c>
      <c r="C47" s="20" t="s">
        <v>27</v>
      </c>
    </row>
    <row r="48" spans="1:3" ht="22.5">
      <c r="A48" s="11" t="s">
        <v>330</v>
      </c>
      <c r="B48" s="92" t="s">
        <v>304</v>
      </c>
      <c r="C48" s="23" t="s">
        <v>27</v>
      </c>
    </row>
    <row r="49" spans="1:3">
      <c r="A49" s="11" t="s">
        <v>331</v>
      </c>
      <c r="B49" s="92" t="s">
        <v>294</v>
      </c>
      <c r="C49" s="23" t="s">
        <v>36</v>
      </c>
    </row>
    <row r="50" spans="1:3">
      <c r="A50" s="11" t="s">
        <v>332</v>
      </c>
      <c r="B50" s="92" t="s">
        <v>294</v>
      </c>
      <c r="C50" s="20" t="s">
        <v>310</v>
      </c>
    </row>
    <row r="51" spans="1:3" ht="22.5">
      <c r="A51" s="11" t="s">
        <v>68</v>
      </c>
      <c r="B51" s="92" t="s">
        <v>297</v>
      </c>
      <c r="C51" s="20" t="s">
        <v>27</v>
      </c>
    </row>
    <row r="52" spans="1:3" ht="33.75">
      <c r="A52" s="11" t="s">
        <v>333</v>
      </c>
      <c r="B52" s="92" t="s">
        <v>306</v>
      </c>
      <c r="C52" s="20" t="s">
        <v>334</v>
      </c>
    </row>
    <row r="53" spans="1:3" ht="9" customHeight="1">
      <c r="A53" s="161"/>
      <c r="B53" s="161"/>
      <c r="C53" s="161"/>
    </row>
    <row r="54" spans="1:3" ht="9" customHeight="1">
      <c r="A54" s="12" t="s">
        <v>335</v>
      </c>
      <c r="B54" s="121"/>
    </row>
  </sheetData>
  <mergeCells count="10">
    <mergeCell ref="A20:B20"/>
    <mergeCell ref="A21:B21"/>
    <mergeCell ref="A24:C24"/>
    <mergeCell ref="A53:C53"/>
    <mergeCell ref="A13:C13"/>
    <mergeCell ref="A15:B15"/>
    <mergeCell ref="A16:B16"/>
    <mergeCell ref="A17:B17"/>
    <mergeCell ref="A18:B18"/>
    <mergeCell ref="A19:B19"/>
  </mergeCells>
  <printOptions horizontalCentered="1"/>
  <pageMargins left="0.39370078740157483" right="0.39370078740157483" top="0.98425196850393704" bottom="0.19685039370078741" header="0.51181102362204722" footer="0.51181102362204722"/>
  <pageSetup paperSize="9" scale="95" firstPageNumber="13" orientation="landscape" useFirstPageNumber="1" r:id="rId1"/>
  <headerFooter alignWithMargins="0">
    <oddHeader>&amp;C&amp;"Times New Roman,обычный"&amp;P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S134"/>
  <sheetViews>
    <sheetView showWhiteSpace="0" view="pageLayout" topLeftCell="A62" zoomScale="70" zoomScaleNormal="85" zoomScalePageLayoutView="70" workbookViewId="0">
      <selection activeCell="F75" sqref="F75"/>
    </sheetView>
  </sheetViews>
  <sheetFormatPr defaultRowHeight="12.75" outlineLevelRow="1"/>
  <cols>
    <col min="1" max="1" width="18.7109375" style="25" customWidth="1"/>
    <col min="2" max="2" width="8.85546875" style="26" customWidth="1"/>
    <col min="3" max="3" width="37.85546875" style="27" customWidth="1"/>
    <col min="4" max="4" width="11.28515625" style="26" customWidth="1"/>
    <col min="5" max="5" width="8.140625" style="28" customWidth="1"/>
    <col min="6" max="7" width="7.7109375" style="29" customWidth="1"/>
    <col min="8" max="19" width="9.140625" style="29" customWidth="1"/>
  </cols>
  <sheetData>
    <row r="1" spans="1:19">
      <c r="G1" s="2" t="s">
        <v>336</v>
      </c>
    </row>
    <row r="2" spans="1:19">
      <c r="G2" s="2" t="s">
        <v>1</v>
      </c>
    </row>
    <row r="3" spans="1:19">
      <c r="G3" s="2" t="s">
        <v>2</v>
      </c>
    </row>
    <row r="4" spans="1:19">
      <c r="G4" s="2" t="s">
        <v>272</v>
      </c>
    </row>
    <row r="5" spans="1:19" ht="22.9" customHeight="1"/>
    <row r="6" spans="1:19">
      <c r="F6" s="30"/>
      <c r="G6" s="31" t="s">
        <v>336</v>
      </c>
    </row>
    <row r="7" spans="1:19">
      <c r="D7" s="27"/>
      <c r="G7" s="2" t="s">
        <v>4</v>
      </c>
    </row>
    <row r="8" spans="1:19" ht="15.75">
      <c r="D8" s="30"/>
      <c r="F8" s="32"/>
      <c r="G8" s="2" t="s">
        <v>5</v>
      </c>
    </row>
    <row r="9" spans="1:19" ht="15.75">
      <c r="D9" s="30"/>
      <c r="F9" s="32"/>
      <c r="G9" s="2" t="s">
        <v>6</v>
      </c>
    </row>
    <row r="10" spans="1:19" ht="15.75">
      <c r="D10" s="30"/>
      <c r="F10" s="32"/>
      <c r="G10" s="2" t="s">
        <v>7</v>
      </c>
    </row>
    <row r="11" spans="1:19" ht="10.9" customHeight="1">
      <c r="D11" s="30"/>
      <c r="F11" s="32"/>
      <c r="G11" s="2"/>
    </row>
    <row r="12" spans="1:19" ht="14.1" customHeight="1">
      <c r="D12" s="32"/>
      <c r="E12" s="32"/>
      <c r="F12" s="32"/>
      <c r="G12" s="31" t="s">
        <v>8</v>
      </c>
    </row>
    <row r="13" spans="1:19" ht="38.85" customHeight="1">
      <c r="A13" s="142" t="s">
        <v>337</v>
      </c>
      <c r="B13" s="142"/>
      <c r="C13" s="142"/>
      <c r="D13" s="142"/>
      <c r="E13" s="142"/>
      <c r="F13" s="142"/>
      <c r="G13" s="142"/>
    </row>
    <row r="14" spans="1:19" ht="14.45" customHeight="1"/>
    <row r="15" spans="1:19" s="34" customFormat="1" ht="30" customHeight="1">
      <c r="A15" s="148" t="s">
        <v>74</v>
      </c>
      <c r="B15" s="148" t="s">
        <v>75</v>
      </c>
      <c r="C15" s="148" t="s">
        <v>76</v>
      </c>
      <c r="D15" s="140" t="s">
        <v>77</v>
      </c>
      <c r="E15" s="140"/>
      <c r="F15" s="140"/>
      <c r="G15" s="140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1:19" s="34" customFormat="1" ht="33" customHeight="1">
      <c r="A16" s="150"/>
      <c r="B16" s="150"/>
      <c r="C16" s="150"/>
      <c r="D16" s="119" t="s">
        <v>78</v>
      </c>
      <c r="E16" s="119" t="s">
        <v>79</v>
      </c>
      <c r="F16" s="119" t="s">
        <v>80</v>
      </c>
      <c r="G16" s="119" t="s">
        <v>81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19" s="34" customFormat="1" ht="12" customHeight="1">
      <c r="A17" s="115">
        <v>1</v>
      </c>
      <c r="B17" s="115">
        <v>2</v>
      </c>
      <c r="C17" s="116">
        <v>3</v>
      </c>
      <c r="D17" s="111">
        <v>4</v>
      </c>
      <c r="E17" s="111">
        <v>5</v>
      </c>
      <c r="F17" s="111">
        <v>6</v>
      </c>
      <c r="G17" s="111">
        <v>7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19" ht="14.1" customHeight="1">
      <c r="A18" s="165" t="s">
        <v>82</v>
      </c>
      <c r="B18" s="146">
        <v>1</v>
      </c>
      <c r="C18" s="38" t="s">
        <v>85</v>
      </c>
      <c r="D18" s="140">
        <f>ROUNDUP(11666*1.055,0)</f>
        <v>12308</v>
      </c>
      <c r="E18" s="140" t="s">
        <v>84</v>
      </c>
      <c r="F18" s="140" t="s">
        <v>84</v>
      </c>
      <c r="G18" s="140" t="s">
        <v>84</v>
      </c>
    </row>
    <row r="19" spans="1:19" ht="14.1" customHeight="1">
      <c r="A19" s="151"/>
      <c r="B19" s="147"/>
      <c r="C19" s="38" t="s">
        <v>86</v>
      </c>
      <c r="D19" s="140"/>
      <c r="E19" s="140"/>
      <c r="F19" s="140"/>
      <c r="G19" s="140"/>
    </row>
    <row r="20" spans="1:19" ht="14.1" customHeight="1">
      <c r="A20" s="151"/>
      <c r="B20" s="147"/>
      <c r="C20" s="38" t="s">
        <v>87</v>
      </c>
      <c r="D20" s="140"/>
      <c r="E20" s="140"/>
      <c r="F20" s="140"/>
      <c r="G20" s="140"/>
    </row>
    <row r="21" spans="1:19" s="29" customFormat="1" ht="14.1" customHeight="1">
      <c r="A21" s="151"/>
      <c r="B21" s="147"/>
      <c r="C21" s="38" t="s">
        <v>88</v>
      </c>
      <c r="D21" s="140"/>
      <c r="E21" s="140"/>
      <c r="F21" s="140"/>
      <c r="G21" s="140"/>
    </row>
    <row r="22" spans="1:19" s="29" customFormat="1" ht="14.1" customHeight="1">
      <c r="A22" s="151"/>
      <c r="B22" s="147"/>
      <c r="C22" s="38" t="s">
        <v>89</v>
      </c>
      <c r="D22" s="140"/>
      <c r="E22" s="140"/>
      <c r="F22" s="140"/>
      <c r="G22" s="140"/>
    </row>
    <row r="23" spans="1:19" s="29" customFormat="1" ht="14.1" customHeight="1">
      <c r="A23" s="151"/>
      <c r="B23" s="153"/>
      <c r="C23" s="38" t="s">
        <v>90</v>
      </c>
      <c r="D23" s="140"/>
      <c r="E23" s="140"/>
      <c r="F23" s="140"/>
      <c r="G23" s="140"/>
    </row>
    <row r="24" spans="1:19" s="29" customFormat="1" ht="14.1" customHeight="1">
      <c r="A24" s="152"/>
      <c r="B24" s="112">
        <v>2</v>
      </c>
      <c r="C24" s="38" t="s">
        <v>91</v>
      </c>
      <c r="D24" s="112">
        <f>ROUNDUP(11803*1.055,0)</f>
        <v>12453</v>
      </c>
      <c r="E24" s="112" t="s">
        <v>84</v>
      </c>
      <c r="F24" s="112" t="s">
        <v>84</v>
      </c>
      <c r="G24" s="112" t="s">
        <v>84</v>
      </c>
    </row>
    <row r="25" spans="1:19" s="29" customFormat="1" ht="14.1" customHeight="1">
      <c r="A25" s="133" t="s">
        <v>92</v>
      </c>
      <c r="B25" s="143" t="s">
        <v>93</v>
      </c>
      <c r="C25" s="38" t="s">
        <v>94</v>
      </c>
      <c r="D25" s="148">
        <f>ROUNDUP(11803*1.055,0)</f>
        <v>12453</v>
      </c>
      <c r="E25" s="148" t="s">
        <v>84</v>
      </c>
      <c r="F25" s="148">
        <f>ROUNDUP(12391*1.055,0)</f>
        <v>13073</v>
      </c>
      <c r="G25" s="148">
        <f>ROUNDUP(13574*1.055,0)</f>
        <v>14321</v>
      </c>
    </row>
    <row r="26" spans="1:19" s="29" customFormat="1" ht="14.1" customHeight="1">
      <c r="A26" s="133"/>
      <c r="B26" s="143"/>
      <c r="C26" s="38" t="s">
        <v>95</v>
      </c>
      <c r="D26" s="149"/>
      <c r="E26" s="149"/>
      <c r="F26" s="149"/>
      <c r="G26" s="149"/>
    </row>
    <row r="27" spans="1:19" s="29" customFormat="1" ht="14.1" customHeight="1">
      <c r="A27" s="133"/>
      <c r="B27" s="147">
        <v>1</v>
      </c>
      <c r="C27" s="40" t="s">
        <v>96</v>
      </c>
      <c r="D27" s="140">
        <f>ROUNDUP(11803*1.055,0)</f>
        <v>12453</v>
      </c>
      <c r="E27" s="144" t="s">
        <v>84</v>
      </c>
      <c r="F27" s="144" t="s">
        <v>84</v>
      </c>
      <c r="G27" s="144" t="s">
        <v>84</v>
      </c>
    </row>
    <row r="28" spans="1:19" s="29" customFormat="1" ht="14.1" hidden="1" customHeight="1" outlineLevel="1">
      <c r="A28" s="133"/>
      <c r="B28" s="147"/>
      <c r="C28" s="38" t="s">
        <v>97</v>
      </c>
      <c r="D28" s="140"/>
      <c r="E28" s="144"/>
      <c r="F28" s="144"/>
      <c r="G28" s="144"/>
    </row>
    <row r="29" spans="1:19" s="29" customFormat="1" ht="14.1" customHeight="1" collapsed="1">
      <c r="A29" s="133"/>
      <c r="B29" s="147"/>
      <c r="C29" s="38" t="s">
        <v>98</v>
      </c>
      <c r="D29" s="140"/>
      <c r="E29" s="144"/>
      <c r="F29" s="144"/>
      <c r="G29" s="144"/>
    </row>
    <row r="30" spans="1:19" s="29" customFormat="1" ht="14.1" customHeight="1">
      <c r="A30" s="133"/>
      <c r="B30" s="147"/>
      <c r="C30" s="38" t="s">
        <v>99</v>
      </c>
      <c r="D30" s="140"/>
      <c r="E30" s="144"/>
      <c r="F30" s="144"/>
      <c r="G30" s="144"/>
    </row>
    <row r="31" spans="1:19" s="29" customFormat="1" ht="14.1" customHeight="1">
      <c r="A31" s="133"/>
      <c r="B31" s="147"/>
      <c r="C31" s="38" t="s">
        <v>100</v>
      </c>
      <c r="D31" s="140"/>
      <c r="E31" s="144"/>
      <c r="F31" s="144"/>
      <c r="G31" s="144"/>
    </row>
    <row r="32" spans="1:19" s="29" customFormat="1" ht="14.1" customHeight="1">
      <c r="A32" s="133"/>
      <c r="B32" s="146">
        <v>2</v>
      </c>
      <c r="C32" s="38" t="s">
        <v>101</v>
      </c>
      <c r="D32" s="140">
        <f>ROUNDUP(12728*1.055,0)</f>
        <v>13429</v>
      </c>
      <c r="E32" s="144" t="s">
        <v>84</v>
      </c>
      <c r="F32" s="144" t="s">
        <v>84</v>
      </c>
      <c r="G32" s="144" t="s">
        <v>84</v>
      </c>
    </row>
    <row r="33" spans="1:7" s="29" customFormat="1" ht="14.1" customHeight="1">
      <c r="A33" s="133"/>
      <c r="B33" s="147"/>
      <c r="C33" s="38" t="s">
        <v>102</v>
      </c>
      <c r="D33" s="140"/>
      <c r="E33" s="144"/>
      <c r="F33" s="144"/>
      <c r="G33" s="144"/>
    </row>
    <row r="34" spans="1:7" s="29" customFormat="1" ht="14.1" customHeight="1">
      <c r="A34" s="133"/>
      <c r="B34" s="147"/>
      <c r="C34" s="38" t="s">
        <v>103</v>
      </c>
      <c r="D34" s="140"/>
      <c r="E34" s="144"/>
      <c r="F34" s="144"/>
      <c r="G34" s="144"/>
    </row>
    <row r="35" spans="1:7" s="29" customFormat="1" ht="14.1" customHeight="1">
      <c r="A35" s="133"/>
      <c r="B35" s="147"/>
      <c r="C35" s="38" t="s">
        <v>104</v>
      </c>
      <c r="D35" s="140"/>
      <c r="E35" s="144"/>
      <c r="F35" s="144"/>
      <c r="G35" s="144"/>
    </row>
    <row r="36" spans="1:7" s="29" customFormat="1" ht="14.1" customHeight="1">
      <c r="A36" s="133"/>
      <c r="B36" s="114">
        <v>3</v>
      </c>
      <c r="C36" s="38" t="s">
        <v>105</v>
      </c>
      <c r="D36" s="112">
        <f>ROUNDUP(13936*1.055,0)</f>
        <v>14703</v>
      </c>
      <c r="E36" s="42" t="s">
        <v>84</v>
      </c>
      <c r="F36" s="42" t="s">
        <v>84</v>
      </c>
      <c r="G36" s="42" t="s">
        <v>84</v>
      </c>
    </row>
    <row r="37" spans="1:7" s="29" customFormat="1" ht="14.1" customHeight="1">
      <c r="A37" s="133"/>
      <c r="B37" s="112">
        <v>4</v>
      </c>
      <c r="C37" s="38" t="s">
        <v>106</v>
      </c>
      <c r="D37" s="112">
        <f>ROUNDUP(13978*1.055,0)</f>
        <v>14747</v>
      </c>
      <c r="E37" s="42" t="s">
        <v>84</v>
      </c>
      <c r="F37" s="42" t="s">
        <v>84</v>
      </c>
      <c r="G37" s="42" t="s">
        <v>84</v>
      </c>
    </row>
    <row r="38" spans="1:7" s="29" customFormat="1" ht="14.1" customHeight="1">
      <c r="A38" s="133"/>
      <c r="B38" s="146">
        <v>5</v>
      </c>
      <c r="C38" s="38" t="s">
        <v>338</v>
      </c>
      <c r="D38" s="148">
        <f>ROUNDUP(14924*1.055,0)</f>
        <v>15745</v>
      </c>
      <c r="E38" s="166" t="s">
        <v>84</v>
      </c>
      <c r="F38" s="166" t="s">
        <v>84</v>
      </c>
      <c r="G38" s="166" t="s">
        <v>84</v>
      </c>
    </row>
    <row r="39" spans="1:7" s="29" customFormat="1" ht="15.6" customHeight="1">
      <c r="A39" s="133"/>
      <c r="B39" s="153"/>
      <c r="C39" s="38" t="s">
        <v>107</v>
      </c>
      <c r="D39" s="150"/>
      <c r="E39" s="167"/>
      <c r="F39" s="167"/>
      <c r="G39" s="167"/>
    </row>
    <row r="40" spans="1:7" s="29" customFormat="1" ht="13.15" customHeight="1">
      <c r="A40" s="133" t="s">
        <v>108</v>
      </c>
      <c r="B40" s="146">
        <v>1</v>
      </c>
      <c r="C40" s="38" t="s">
        <v>109</v>
      </c>
      <c r="D40" s="140">
        <f>ROUNDUP(12927*1.055,0)</f>
        <v>13638</v>
      </c>
      <c r="E40" s="144" t="s">
        <v>84</v>
      </c>
      <c r="F40" s="144" t="s">
        <v>84</v>
      </c>
      <c r="G40" s="144" t="s">
        <v>84</v>
      </c>
    </row>
    <row r="41" spans="1:7" s="29" customFormat="1" ht="14.25" hidden="1" customHeight="1" outlineLevel="1">
      <c r="A41" s="133"/>
      <c r="B41" s="147"/>
      <c r="C41" s="38" t="s">
        <v>110</v>
      </c>
      <c r="D41" s="140"/>
      <c r="E41" s="144"/>
      <c r="F41" s="144"/>
      <c r="G41" s="144"/>
    </row>
    <row r="42" spans="1:7" s="29" customFormat="1" ht="14.1" customHeight="1" collapsed="1">
      <c r="A42" s="133"/>
      <c r="B42" s="147"/>
      <c r="C42" s="38" t="s">
        <v>111</v>
      </c>
      <c r="D42" s="140"/>
      <c r="E42" s="144"/>
      <c r="F42" s="144"/>
      <c r="G42" s="144"/>
    </row>
    <row r="43" spans="1:7" s="29" customFormat="1" ht="14.1" customHeight="1">
      <c r="A43" s="133"/>
      <c r="B43" s="147"/>
      <c r="C43" s="38" t="s">
        <v>112</v>
      </c>
      <c r="D43" s="140"/>
      <c r="E43" s="144"/>
      <c r="F43" s="144"/>
      <c r="G43" s="144"/>
    </row>
    <row r="44" spans="1:7" s="29" customFormat="1" ht="12.6" hidden="1" customHeight="1" outlineLevel="1">
      <c r="A44" s="133"/>
      <c r="B44" s="147"/>
      <c r="C44" s="38" t="s">
        <v>113</v>
      </c>
      <c r="D44" s="140"/>
      <c r="E44" s="144"/>
      <c r="F44" s="144"/>
      <c r="G44" s="144"/>
    </row>
    <row r="45" spans="1:7" s="29" customFormat="1" ht="13.15" customHeight="1" collapsed="1">
      <c r="A45" s="133"/>
      <c r="B45" s="147"/>
      <c r="C45" s="38" t="s">
        <v>114</v>
      </c>
      <c r="D45" s="140"/>
      <c r="E45" s="144"/>
      <c r="F45" s="144"/>
      <c r="G45" s="144"/>
    </row>
    <row r="46" spans="1:7" s="29" customFormat="1" ht="14.1" customHeight="1">
      <c r="A46" s="133"/>
      <c r="B46" s="147"/>
      <c r="C46" s="38" t="s">
        <v>115</v>
      </c>
      <c r="D46" s="140"/>
      <c r="E46" s="144"/>
      <c r="F46" s="144"/>
      <c r="G46" s="144"/>
    </row>
    <row r="47" spans="1:7" s="29" customFormat="1" ht="14.25" customHeight="1">
      <c r="A47" s="133"/>
      <c r="B47" s="162" t="s">
        <v>93</v>
      </c>
      <c r="C47" s="38" t="s">
        <v>116</v>
      </c>
      <c r="D47" s="140">
        <f>ROUNDUP(12927*1.055,0)</f>
        <v>13638</v>
      </c>
      <c r="E47" s="140" t="s">
        <v>84</v>
      </c>
      <c r="F47" s="140">
        <f>ROUNDUP(13574*1.055,0)</f>
        <v>14321</v>
      </c>
      <c r="G47" s="140">
        <f>ROUNDUP(14866*1.055,0)</f>
        <v>15684</v>
      </c>
    </row>
    <row r="48" spans="1:7" s="29" customFormat="1" ht="14.1" customHeight="1">
      <c r="A48" s="133"/>
      <c r="B48" s="163"/>
      <c r="C48" s="38" t="s">
        <v>339</v>
      </c>
      <c r="D48" s="140"/>
      <c r="E48" s="140"/>
      <c r="F48" s="140"/>
      <c r="G48" s="140"/>
    </row>
    <row r="49" spans="1:7" s="29" customFormat="1" ht="14.1" customHeight="1">
      <c r="A49" s="133"/>
      <c r="B49" s="163"/>
      <c r="C49" s="38" t="s">
        <v>117</v>
      </c>
      <c r="D49" s="140"/>
      <c r="E49" s="140"/>
      <c r="F49" s="140"/>
      <c r="G49" s="140"/>
    </row>
    <row r="50" spans="1:7" s="29" customFormat="1" ht="14.1" customHeight="1">
      <c r="A50" s="133"/>
      <c r="B50" s="163"/>
      <c r="C50" s="38" t="s">
        <v>118</v>
      </c>
      <c r="D50" s="140"/>
      <c r="E50" s="140"/>
      <c r="F50" s="140"/>
      <c r="G50" s="140"/>
    </row>
    <row r="51" spans="1:7" s="29" customFormat="1" ht="14.1" customHeight="1">
      <c r="A51" s="133"/>
      <c r="B51" s="163"/>
      <c r="C51" s="38" t="s">
        <v>119</v>
      </c>
      <c r="D51" s="140"/>
      <c r="E51" s="140"/>
      <c r="F51" s="140"/>
      <c r="G51" s="140"/>
    </row>
    <row r="52" spans="1:7" s="29" customFormat="1" ht="14.1" customHeight="1">
      <c r="A52" s="133"/>
      <c r="B52" s="163"/>
      <c r="C52" s="38" t="s">
        <v>120</v>
      </c>
      <c r="D52" s="140"/>
      <c r="E52" s="140"/>
      <c r="F52" s="140"/>
      <c r="G52" s="140"/>
    </row>
    <row r="53" spans="1:7" s="29" customFormat="1" ht="14.1" customHeight="1">
      <c r="A53" s="133"/>
      <c r="B53" s="163"/>
      <c r="C53" s="38" t="s">
        <v>121</v>
      </c>
      <c r="D53" s="146">
        <f>ROUNDUP(12927*1.055,0)</f>
        <v>13638</v>
      </c>
      <c r="E53" s="146">
        <f>ROUNDUP(13316*1.055,0)</f>
        <v>14049</v>
      </c>
      <c r="F53" s="143">
        <f>ROUNDUP(13574*1.055,0)</f>
        <v>14321</v>
      </c>
      <c r="G53" s="143">
        <f>ROUNDUP(14866*1.055,0)</f>
        <v>15684</v>
      </c>
    </row>
    <row r="54" spans="1:7" s="29" customFormat="1" ht="14.1" customHeight="1">
      <c r="A54" s="133"/>
      <c r="B54" s="163"/>
      <c r="C54" s="38" t="s">
        <v>122</v>
      </c>
      <c r="D54" s="147"/>
      <c r="E54" s="147"/>
      <c r="F54" s="143"/>
      <c r="G54" s="143"/>
    </row>
    <row r="55" spans="1:7" s="29" customFormat="1" ht="14.1" customHeight="1">
      <c r="A55" s="133"/>
      <c r="B55" s="164"/>
      <c r="C55" s="38" t="s">
        <v>123</v>
      </c>
      <c r="D55" s="153"/>
      <c r="E55" s="153"/>
      <c r="F55" s="143"/>
      <c r="G55" s="143"/>
    </row>
    <row r="56" spans="1:7" s="29" customFormat="1" ht="17.45" customHeight="1">
      <c r="A56" s="165"/>
      <c r="B56" s="114">
        <v>5</v>
      </c>
      <c r="C56" s="98" t="s">
        <v>124</v>
      </c>
      <c r="D56" s="114">
        <f>ROUNDUP(15544*1.055,0)</f>
        <v>16399</v>
      </c>
      <c r="E56" s="99" t="s">
        <v>84</v>
      </c>
      <c r="F56" s="99" t="s">
        <v>84</v>
      </c>
      <c r="G56" s="99" t="s">
        <v>84</v>
      </c>
    </row>
    <row r="57" spans="1:7" s="29" customFormat="1" ht="42" customHeight="1">
      <c r="A57" s="109" t="s">
        <v>125</v>
      </c>
      <c r="B57" s="112">
        <v>2</v>
      </c>
      <c r="C57" s="38" t="s">
        <v>126</v>
      </c>
      <c r="D57" s="111">
        <f>ROUNDUP(16459*1.055,0)</f>
        <v>17365</v>
      </c>
      <c r="E57" s="113" t="s">
        <v>84</v>
      </c>
      <c r="F57" s="113" t="s">
        <v>84</v>
      </c>
      <c r="G57" s="113" t="s">
        <v>84</v>
      </c>
    </row>
    <row r="58" spans="1:7" s="29" customFormat="1">
      <c r="A58" s="47"/>
      <c r="B58" s="48"/>
      <c r="C58" s="49"/>
      <c r="D58" s="48"/>
      <c r="E58" s="28"/>
    </row>
    <row r="59" spans="1:7" s="29" customFormat="1">
      <c r="A59" s="47"/>
      <c r="B59" s="48"/>
      <c r="C59" s="27"/>
      <c r="D59" s="26"/>
      <c r="E59" s="28"/>
    </row>
    <row r="60" spans="1:7" s="29" customFormat="1">
      <c r="A60" s="50"/>
      <c r="B60" s="48"/>
      <c r="C60" s="49"/>
      <c r="D60" s="48"/>
      <c r="E60" s="28"/>
      <c r="G60" s="31" t="s">
        <v>340</v>
      </c>
    </row>
    <row r="61" spans="1:7" s="29" customFormat="1" ht="69" customHeight="1">
      <c r="A61" s="142" t="s">
        <v>341</v>
      </c>
      <c r="B61" s="142"/>
      <c r="C61" s="142"/>
      <c r="D61" s="142"/>
      <c r="E61" s="142"/>
      <c r="F61" s="142"/>
      <c r="G61" s="142"/>
    </row>
    <row r="63" spans="1:7" s="29" customFormat="1" ht="27" customHeight="1">
      <c r="A63" s="134" t="s">
        <v>128</v>
      </c>
      <c r="B63" s="135"/>
      <c r="C63" s="136"/>
      <c r="D63" s="140" t="s">
        <v>342</v>
      </c>
      <c r="E63" s="140"/>
      <c r="F63" s="140"/>
      <c r="G63" s="140"/>
    </row>
    <row r="64" spans="1:7" s="29" customFormat="1" ht="45">
      <c r="A64" s="137"/>
      <c r="B64" s="138"/>
      <c r="C64" s="139"/>
      <c r="D64" s="51" t="s">
        <v>78</v>
      </c>
      <c r="E64" s="51" t="s">
        <v>79</v>
      </c>
      <c r="F64" s="51" t="s">
        <v>80</v>
      </c>
      <c r="G64" s="51" t="s">
        <v>81</v>
      </c>
    </row>
    <row r="65" spans="1:7" s="29" customFormat="1">
      <c r="A65" s="125">
        <v>1</v>
      </c>
      <c r="B65" s="141"/>
      <c r="C65" s="126"/>
      <c r="D65" s="119">
        <v>2</v>
      </c>
      <c r="E65" s="119">
        <v>3</v>
      </c>
      <c r="F65" s="119">
        <v>4</v>
      </c>
      <c r="G65" s="119">
        <v>5</v>
      </c>
    </row>
    <row r="66" spans="1:7" s="29" customFormat="1">
      <c r="A66" s="130" t="s">
        <v>343</v>
      </c>
      <c r="B66" s="131"/>
      <c r="C66" s="132"/>
      <c r="D66" s="111" t="s">
        <v>364</v>
      </c>
      <c r="E66" s="53" t="s">
        <v>84</v>
      </c>
      <c r="F66" s="53" t="s">
        <v>84</v>
      </c>
      <c r="G66" s="53" t="s">
        <v>84</v>
      </c>
    </row>
    <row r="67" spans="1:7" s="29" customFormat="1">
      <c r="A67" s="130" t="s">
        <v>130</v>
      </c>
      <c r="B67" s="131"/>
      <c r="C67" s="132"/>
      <c r="D67" s="111">
        <f>ROUNDUP(18287*1.055,0)</f>
        <v>19293</v>
      </c>
      <c r="E67" s="53" t="s">
        <v>84</v>
      </c>
      <c r="F67" s="53" t="s">
        <v>84</v>
      </c>
      <c r="G67" s="53" t="s">
        <v>84</v>
      </c>
    </row>
    <row r="68" spans="1:7" s="29" customFormat="1">
      <c r="A68" s="130" t="s">
        <v>131</v>
      </c>
      <c r="B68" s="131"/>
      <c r="C68" s="132"/>
      <c r="D68" s="111">
        <f>ROUNDUP(15271*1.055,0)</f>
        <v>16111</v>
      </c>
      <c r="E68" s="53" t="s">
        <v>84</v>
      </c>
      <c r="F68" s="53" t="s">
        <v>84</v>
      </c>
      <c r="G68" s="53" t="s">
        <v>84</v>
      </c>
    </row>
    <row r="69" spans="1:7" s="29" customFormat="1">
      <c r="A69" s="130" t="s">
        <v>132</v>
      </c>
      <c r="B69" s="131"/>
      <c r="C69" s="132"/>
      <c r="D69" s="111">
        <f>ROUNDUP(14924*1.055,0)</f>
        <v>15745</v>
      </c>
      <c r="E69" s="53" t="s">
        <v>84</v>
      </c>
      <c r="F69" s="53" t="s">
        <v>84</v>
      </c>
      <c r="G69" s="53" t="s">
        <v>84</v>
      </c>
    </row>
    <row r="70" spans="1:7" s="29" customFormat="1" ht="15.6" customHeight="1">
      <c r="A70" s="133" t="s">
        <v>133</v>
      </c>
      <c r="B70" s="133"/>
      <c r="C70" s="133"/>
      <c r="D70" s="112">
        <f>ROUNDUP(11803*1.055,0)</f>
        <v>12453</v>
      </c>
      <c r="E70" s="53">
        <f>ROUNDUP(12160*1.055,0)</f>
        <v>12829</v>
      </c>
      <c r="F70" s="53">
        <f>ROUNDUP(12391*1.055,0)</f>
        <v>13073</v>
      </c>
      <c r="G70" s="53">
        <f>ROUNDUP(13574*1.055,0)</f>
        <v>14321</v>
      </c>
    </row>
    <row r="71" spans="1:7" s="29" customFormat="1" ht="15" customHeight="1">
      <c r="A71" s="127" t="s">
        <v>134</v>
      </c>
      <c r="B71" s="129"/>
      <c r="C71" s="128"/>
      <c r="D71" s="111">
        <f>ROUNDUP(13936*1.055,0)</f>
        <v>14703</v>
      </c>
      <c r="E71" s="53" t="s">
        <v>84</v>
      </c>
      <c r="F71" s="53" t="s">
        <v>84</v>
      </c>
      <c r="G71" s="53" t="s">
        <v>84</v>
      </c>
    </row>
    <row r="72" spans="1:7" s="29" customFormat="1" ht="15" customHeight="1">
      <c r="A72" s="106" t="s">
        <v>135</v>
      </c>
      <c r="B72" s="108"/>
      <c r="C72" s="107"/>
      <c r="D72" s="111">
        <f>ROUNDUP(13936*1.055,0)</f>
        <v>14703</v>
      </c>
      <c r="E72" s="53" t="s">
        <v>84</v>
      </c>
      <c r="F72" s="53" t="s">
        <v>84</v>
      </c>
      <c r="G72" s="53" t="s">
        <v>84</v>
      </c>
    </row>
    <row r="73" spans="1:7" s="29" customFormat="1" ht="15.6" customHeight="1">
      <c r="A73" s="127" t="s">
        <v>136</v>
      </c>
      <c r="B73" s="129"/>
      <c r="C73" s="128"/>
      <c r="D73" s="112">
        <f>ROUNDUP(12927*1.055,0)</f>
        <v>13638</v>
      </c>
      <c r="E73" s="53" t="s">
        <v>84</v>
      </c>
      <c r="F73" s="53" t="s">
        <v>84</v>
      </c>
      <c r="G73" s="53" t="s">
        <v>84</v>
      </c>
    </row>
    <row r="74" spans="1:7" s="29" customFormat="1" ht="15.6" customHeight="1">
      <c r="A74" s="127" t="s">
        <v>344</v>
      </c>
      <c r="B74" s="129"/>
      <c r="C74" s="128"/>
      <c r="D74" s="112">
        <f>ROUNDUP(12927*1.055,0)</f>
        <v>13638</v>
      </c>
      <c r="E74" s="53" t="s">
        <v>84</v>
      </c>
      <c r="F74" s="53">
        <f>ROUNDUP(13574*1.055,0)</f>
        <v>14321</v>
      </c>
      <c r="G74" s="53">
        <f>ROUNDUP(14866*1.055,0)</f>
        <v>15684</v>
      </c>
    </row>
    <row r="75" spans="1:7" s="29" customFormat="1" ht="15.6" customHeight="1">
      <c r="A75" s="127" t="s">
        <v>138</v>
      </c>
      <c r="B75" s="129"/>
      <c r="C75" s="128"/>
      <c r="D75" s="112">
        <f>ROUNDUP(12927*1.055,0)</f>
        <v>13638</v>
      </c>
      <c r="E75" s="53" t="s">
        <v>84</v>
      </c>
      <c r="F75" s="53">
        <f>ROUNDUP(13574*1.055,0)</f>
        <v>14321</v>
      </c>
      <c r="G75" s="53">
        <f>ROUNDUP(14866*1.055,0)</f>
        <v>15684</v>
      </c>
    </row>
    <row r="76" spans="1:7" s="29" customFormat="1" ht="15.6" customHeight="1">
      <c r="A76" s="127" t="s">
        <v>139</v>
      </c>
      <c r="B76" s="129"/>
      <c r="C76" s="128"/>
      <c r="D76" s="112">
        <f>ROUNDUP(14866*1.055,0)</f>
        <v>15684</v>
      </c>
      <c r="E76" s="53" t="s">
        <v>84</v>
      </c>
      <c r="F76" s="53" t="s">
        <v>84</v>
      </c>
      <c r="G76" s="53" t="s">
        <v>84</v>
      </c>
    </row>
    <row r="77" spans="1:7" s="29" customFormat="1" ht="15.6" customHeight="1">
      <c r="A77" s="127" t="s">
        <v>140</v>
      </c>
      <c r="B77" s="129"/>
      <c r="C77" s="128"/>
      <c r="D77" s="112">
        <f>ROUNDUP(14866*1.055,0)</f>
        <v>15684</v>
      </c>
      <c r="E77" s="53" t="s">
        <v>84</v>
      </c>
      <c r="F77" s="53" t="s">
        <v>84</v>
      </c>
      <c r="G77" s="53" t="s">
        <v>84</v>
      </c>
    </row>
    <row r="78" spans="1:7" s="29" customFormat="1">
      <c r="A78" s="127" t="s">
        <v>141</v>
      </c>
      <c r="B78" s="129"/>
      <c r="C78" s="128"/>
      <c r="D78" s="112">
        <f>ROUNDUP(15818*1.055,0)</f>
        <v>16688</v>
      </c>
      <c r="E78" s="42" t="s">
        <v>84</v>
      </c>
      <c r="F78" s="42" t="s">
        <v>84</v>
      </c>
      <c r="G78" s="42" t="s">
        <v>84</v>
      </c>
    </row>
    <row r="79" spans="1:7" s="29" customFormat="1">
      <c r="A79" s="49"/>
      <c r="B79" s="18"/>
      <c r="C79" s="49"/>
      <c r="D79" s="18"/>
      <c r="E79" s="28"/>
    </row>
    <row r="80" spans="1:7" s="29" customFormat="1">
      <c r="A80" s="50"/>
      <c r="B80" s="48"/>
      <c r="C80" s="49"/>
      <c r="D80" s="48"/>
      <c r="E80" s="28"/>
    </row>
    <row r="81" spans="1:19" s="29" customFormat="1">
      <c r="A81" s="50"/>
      <c r="B81" s="48"/>
      <c r="C81" s="57"/>
      <c r="D81" s="58"/>
      <c r="E81" s="28"/>
    </row>
    <row r="82" spans="1:19" s="29" customFormat="1">
      <c r="A82" s="50"/>
      <c r="B82" s="48"/>
      <c r="C82" s="49"/>
      <c r="D82" s="48"/>
      <c r="E82" s="28"/>
    </row>
    <row r="83" spans="1:19" s="29" customFormat="1">
      <c r="A83" s="50"/>
      <c r="B83" s="48"/>
      <c r="C83" s="49"/>
      <c r="D83" s="48"/>
      <c r="E83" s="28"/>
    </row>
    <row r="84" spans="1:19" s="29" customFormat="1">
      <c r="A84" s="50"/>
      <c r="B84" s="48"/>
      <c r="C84" s="49"/>
      <c r="D84" s="48"/>
      <c r="E84" s="28"/>
    </row>
    <row r="85" spans="1:19" s="28" customFormat="1">
      <c r="A85" s="50"/>
      <c r="B85" s="48"/>
      <c r="C85" s="49"/>
      <c r="D85" s="48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</row>
    <row r="86" spans="1:19" s="28" customFormat="1">
      <c r="A86" s="50"/>
      <c r="B86" s="48"/>
      <c r="C86" s="49"/>
      <c r="D86" s="48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</row>
    <row r="87" spans="1:19" s="28" customFormat="1">
      <c r="A87" s="50"/>
      <c r="B87" s="48"/>
      <c r="C87" s="49"/>
      <c r="D87" s="48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</row>
    <row r="88" spans="1:19" s="28" customFormat="1">
      <c r="A88" s="50"/>
      <c r="B88" s="48"/>
      <c r="C88" s="49"/>
      <c r="D88" s="48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</row>
    <row r="89" spans="1:19" s="28" customFormat="1">
      <c r="A89" s="50"/>
      <c r="B89" s="48"/>
      <c r="C89" s="49"/>
      <c r="D89" s="48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</row>
    <row r="90" spans="1:19" s="28" customFormat="1">
      <c r="A90" s="50"/>
      <c r="B90" s="48"/>
      <c r="C90" s="49"/>
      <c r="D90" s="48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</row>
    <row r="91" spans="1:19" s="28" customFormat="1">
      <c r="A91" s="50"/>
      <c r="B91" s="48"/>
      <c r="C91" s="49"/>
      <c r="D91" s="48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</row>
    <row r="92" spans="1:19" s="28" customFormat="1">
      <c r="A92" s="50"/>
      <c r="B92" s="48"/>
      <c r="C92" s="49"/>
      <c r="D92" s="48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</row>
    <row r="93" spans="1:19" s="28" customFormat="1">
      <c r="A93" s="50"/>
      <c r="B93" s="48"/>
      <c r="C93" s="49"/>
      <c r="D93" s="48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</row>
    <row r="94" spans="1:19" s="28" customFormat="1">
      <c r="A94" s="50"/>
      <c r="B94" s="48"/>
      <c r="C94" s="49"/>
      <c r="D94" s="48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</row>
    <row r="95" spans="1:19" s="28" customFormat="1">
      <c r="A95" s="50"/>
      <c r="B95" s="48"/>
      <c r="C95" s="49"/>
      <c r="D95" s="48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</row>
    <row r="96" spans="1:19" s="28" customFormat="1">
      <c r="A96" s="50"/>
      <c r="B96" s="48"/>
      <c r="C96" s="49"/>
      <c r="D96" s="48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</row>
    <row r="97" spans="1:19" s="28" customFormat="1">
      <c r="A97" s="50"/>
      <c r="B97" s="48"/>
      <c r="C97" s="49"/>
      <c r="D97" s="48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</row>
    <row r="98" spans="1:19" s="28" customFormat="1">
      <c r="A98" s="50"/>
      <c r="B98" s="48"/>
      <c r="C98" s="49"/>
      <c r="D98" s="48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</row>
    <row r="99" spans="1:19" s="28" customFormat="1">
      <c r="A99" s="50"/>
      <c r="B99" s="48"/>
      <c r="C99" s="49"/>
      <c r="D99" s="48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</row>
    <row r="100" spans="1:19" s="28" customFormat="1">
      <c r="A100" s="50"/>
      <c r="B100" s="48"/>
      <c r="C100" s="49"/>
      <c r="D100" s="48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</row>
    <row r="101" spans="1:19" s="28" customFormat="1">
      <c r="A101" s="50"/>
      <c r="B101" s="48"/>
      <c r="C101" s="49"/>
      <c r="D101" s="48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</row>
    <row r="102" spans="1:19" s="28" customFormat="1">
      <c r="A102" s="50"/>
      <c r="B102" s="48"/>
      <c r="C102" s="49"/>
      <c r="D102" s="48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</row>
    <row r="103" spans="1:19" s="28" customFormat="1">
      <c r="A103" s="50"/>
      <c r="B103" s="48"/>
      <c r="C103" s="49"/>
      <c r="D103" s="48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</row>
    <row r="104" spans="1:19" s="28" customFormat="1">
      <c r="A104" s="50"/>
      <c r="B104" s="48"/>
      <c r="C104" s="49"/>
      <c r="D104" s="48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</row>
    <row r="105" spans="1:19" s="28" customFormat="1">
      <c r="A105" s="50"/>
      <c r="B105" s="48"/>
      <c r="C105" s="49"/>
      <c r="D105" s="48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</row>
    <row r="106" spans="1:19" s="28" customFormat="1">
      <c r="A106" s="50"/>
      <c r="B106" s="48"/>
      <c r="C106" s="49"/>
      <c r="D106" s="48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</row>
    <row r="107" spans="1:19" s="28" customFormat="1">
      <c r="A107" s="50"/>
      <c r="B107" s="48"/>
      <c r="C107" s="49"/>
      <c r="D107" s="48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</row>
    <row r="108" spans="1:19" s="28" customFormat="1">
      <c r="A108" s="50"/>
      <c r="B108" s="48"/>
      <c r="C108" s="49"/>
      <c r="D108" s="48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</row>
    <row r="109" spans="1:19" s="28" customFormat="1">
      <c r="A109" s="50"/>
      <c r="B109" s="48"/>
      <c r="C109" s="49"/>
      <c r="D109" s="48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</row>
    <row r="110" spans="1:19" s="28" customFormat="1">
      <c r="A110" s="50"/>
      <c r="B110" s="48"/>
      <c r="C110" s="49"/>
      <c r="D110" s="48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</row>
    <row r="111" spans="1:19" s="28" customFormat="1">
      <c r="A111" s="50"/>
      <c r="B111" s="48"/>
      <c r="C111" s="49"/>
      <c r="D111" s="48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</row>
    <row r="112" spans="1:19" s="28" customFormat="1">
      <c r="A112" s="50"/>
      <c r="B112" s="48"/>
      <c r="C112" s="49"/>
      <c r="D112" s="48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</row>
    <row r="113" spans="1:19" s="28" customFormat="1">
      <c r="A113" s="50"/>
      <c r="B113" s="48"/>
      <c r="C113" s="49"/>
      <c r="D113" s="48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</row>
    <row r="114" spans="1:19" s="28" customFormat="1">
      <c r="A114" s="50"/>
      <c r="B114" s="48"/>
      <c r="C114" s="49"/>
      <c r="D114" s="48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</row>
    <row r="115" spans="1:19" s="28" customFormat="1">
      <c r="A115" s="50"/>
      <c r="B115" s="48"/>
      <c r="C115" s="49"/>
      <c r="D115" s="48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</row>
    <row r="116" spans="1:19" s="28" customFormat="1">
      <c r="A116" s="50"/>
      <c r="B116" s="48"/>
      <c r="C116" s="49"/>
      <c r="D116" s="48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</row>
    <row r="117" spans="1:19" s="28" customFormat="1">
      <c r="A117" s="50"/>
      <c r="B117" s="48"/>
      <c r="C117" s="49"/>
      <c r="D117" s="48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</row>
    <row r="118" spans="1:19" s="28" customFormat="1">
      <c r="A118" s="50"/>
      <c r="B118" s="48"/>
      <c r="C118" s="49"/>
      <c r="D118" s="48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</row>
    <row r="119" spans="1:19" s="28" customFormat="1">
      <c r="A119" s="50"/>
      <c r="B119" s="48"/>
      <c r="C119" s="49"/>
      <c r="D119" s="48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</row>
    <row r="120" spans="1:19" s="28" customFormat="1">
      <c r="A120" s="50"/>
      <c r="B120" s="48"/>
      <c r="C120" s="49"/>
      <c r="D120" s="48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</row>
    <row r="121" spans="1:19" s="28" customFormat="1">
      <c r="A121" s="50"/>
      <c r="B121" s="48"/>
      <c r="C121" s="49"/>
      <c r="D121" s="48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</row>
    <row r="122" spans="1:19" s="28" customFormat="1">
      <c r="A122" s="50"/>
      <c r="B122" s="48"/>
      <c r="C122" s="49"/>
      <c r="D122" s="48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</row>
    <row r="123" spans="1:19" s="28" customFormat="1">
      <c r="A123" s="50"/>
      <c r="B123" s="48"/>
      <c r="C123" s="49"/>
      <c r="D123" s="48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</row>
    <row r="124" spans="1:19" s="28" customFormat="1">
      <c r="A124" s="50"/>
      <c r="B124" s="48"/>
      <c r="C124" s="49"/>
      <c r="D124" s="48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</row>
    <row r="125" spans="1:19" s="28" customFormat="1">
      <c r="A125" s="50"/>
      <c r="B125" s="48"/>
      <c r="C125" s="49"/>
      <c r="D125" s="48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</row>
    <row r="126" spans="1:19" s="28" customFormat="1">
      <c r="A126" s="50"/>
      <c r="B126" s="48"/>
      <c r="C126" s="49"/>
      <c r="D126" s="48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</row>
    <row r="127" spans="1:19" s="28" customFormat="1">
      <c r="A127" s="50"/>
      <c r="B127" s="48"/>
      <c r="C127" s="49"/>
      <c r="D127" s="48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</row>
    <row r="128" spans="1:19" s="28" customFormat="1">
      <c r="A128" s="50"/>
      <c r="B128" s="48"/>
      <c r="C128" s="49"/>
      <c r="D128" s="48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</row>
    <row r="129" spans="1:19" s="28" customFormat="1">
      <c r="A129" s="50"/>
      <c r="B129" s="48"/>
      <c r="C129" s="49"/>
      <c r="D129" s="48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</row>
    <row r="130" spans="1:19" s="28" customFormat="1">
      <c r="A130" s="50"/>
      <c r="B130" s="48"/>
      <c r="C130" s="49"/>
      <c r="D130" s="48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</row>
    <row r="131" spans="1:19" s="28" customFormat="1">
      <c r="A131" s="50"/>
      <c r="B131" s="48"/>
      <c r="C131" s="49"/>
      <c r="D131" s="48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</row>
    <row r="132" spans="1:19" s="28" customFormat="1">
      <c r="A132" s="50"/>
      <c r="B132" s="48"/>
      <c r="C132" s="49"/>
      <c r="D132" s="48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</row>
    <row r="133" spans="1:19" s="28" customFormat="1">
      <c r="A133" s="50"/>
      <c r="B133" s="48"/>
      <c r="C133" s="49"/>
      <c r="D133" s="48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</row>
    <row r="134" spans="1:19" s="28" customFormat="1">
      <c r="A134" s="50"/>
      <c r="B134" s="48"/>
      <c r="C134" s="49"/>
      <c r="D134" s="48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</row>
  </sheetData>
  <mergeCells count="63">
    <mergeCell ref="A13:G13"/>
    <mergeCell ref="A15:A16"/>
    <mergeCell ref="B15:B16"/>
    <mergeCell ref="C15:C16"/>
    <mergeCell ref="D15:G15"/>
    <mergeCell ref="G18:G23"/>
    <mergeCell ref="A25:A39"/>
    <mergeCell ref="B25:B26"/>
    <mergeCell ref="D25:D26"/>
    <mergeCell ref="E25:E26"/>
    <mergeCell ref="F25:F26"/>
    <mergeCell ref="G25:G26"/>
    <mergeCell ref="B27:B31"/>
    <mergeCell ref="D27:D31"/>
    <mergeCell ref="E27:E31"/>
    <mergeCell ref="A18:A24"/>
    <mergeCell ref="B18:B23"/>
    <mergeCell ref="D18:D23"/>
    <mergeCell ref="E18:E23"/>
    <mergeCell ref="F18:F23"/>
    <mergeCell ref="F27:F31"/>
    <mergeCell ref="G27:G31"/>
    <mergeCell ref="B32:B35"/>
    <mergeCell ref="D32:D35"/>
    <mergeCell ref="E32:E35"/>
    <mergeCell ref="F32:F35"/>
    <mergeCell ref="G32:G35"/>
    <mergeCell ref="B38:B39"/>
    <mergeCell ref="D38:D39"/>
    <mergeCell ref="E38:E39"/>
    <mergeCell ref="F38:F39"/>
    <mergeCell ref="G38:G39"/>
    <mergeCell ref="A67:C67"/>
    <mergeCell ref="G40:G46"/>
    <mergeCell ref="B47:B55"/>
    <mergeCell ref="D47:D52"/>
    <mergeCell ref="E47:E52"/>
    <mergeCell ref="F47:F52"/>
    <mergeCell ref="G47:G52"/>
    <mergeCell ref="D53:D55"/>
    <mergeCell ref="E53:E55"/>
    <mergeCell ref="F53:F55"/>
    <mergeCell ref="G53:G55"/>
    <mergeCell ref="A40:A56"/>
    <mergeCell ref="B40:B46"/>
    <mergeCell ref="D40:D46"/>
    <mergeCell ref="E40:E46"/>
    <mergeCell ref="F40:F46"/>
    <mergeCell ref="A61:G61"/>
    <mergeCell ref="A63:C64"/>
    <mergeCell ref="D63:G63"/>
    <mergeCell ref="A65:C65"/>
    <mergeCell ref="A66:C66"/>
    <mergeCell ref="A75:C75"/>
    <mergeCell ref="A76:C76"/>
    <mergeCell ref="A77:C77"/>
    <mergeCell ref="A78:C78"/>
    <mergeCell ref="A68:C68"/>
    <mergeCell ref="A69:C69"/>
    <mergeCell ref="A70:C70"/>
    <mergeCell ref="A71:C71"/>
    <mergeCell ref="A73:C73"/>
    <mergeCell ref="A74:C74"/>
  </mergeCells>
  <printOptions horizontalCentered="1"/>
  <pageMargins left="0" right="0" top="0.78740157480314965" bottom="0.59055118110236227" header="0.51181102362204722" footer="0.51181102362204722"/>
  <pageSetup paperSize="9" scale="95" firstPageNumber="15" orientation="portrait" useFirstPageNumber="1" r:id="rId1"/>
  <headerFooter alignWithMargins="0">
    <oddHeader>&amp;C&amp;"Times New Roman,обычный"&amp;P</oddHeader>
    <evenHeader>&amp;C6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G44"/>
  <sheetViews>
    <sheetView topLeftCell="A14" zoomScale="70" zoomScaleNormal="70" workbookViewId="0">
      <selection activeCell="G25" sqref="G25:G26"/>
    </sheetView>
  </sheetViews>
  <sheetFormatPr defaultColWidth="9.140625" defaultRowHeight="12.75"/>
  <cols>
    <col min="1" max="1" width="38.42578125" style="27" customWidth="1"/>
    <col min="2" max="2" width="9.140625" style="78"/>
    <col min="3" max="3" width="15.85546875" style="78" customWidth="1"/>
    <col min="4" max="4" width="35.140625" style="79" customWidth="1"/>
    <col min="5" max="5" width="12.42578125" style="80" customWidth="1"/>
    <col min="6" max="6" width="12.140625" style="5" customWidth="1"/>
    <col min="7" max="7" width="13.5703125" style="5" customWidth="1"/>
    <col min="8" max="16384" width="9.140625" style="5"/>
  </cols>
  <sheetData>
    <row r="1" spans="1:7">
      <c r="G1" s="2" t="s">
        <v>273</v>
      </c>
    </row>
    <row r="2" spans="1:7">
      <c r="G2" s="2" t="s">
        <v>1</v>
      </c>
    </row>
    <row r="3" spans="1:7">
      <c r="G3" s="2" t="s">
        <v>2</v>
      </c>
    </row>
    <row r="4" spans="1:7">
      <c r="G4" s="2" t="s">
        <v>272</v>
      </c>
    </row>
    <row r="6" spans="1:7">
      <c r="G6" s="2" t="s">
        <v>273</v>
      </c>
    </row>
    <row r="7" spans="1:7">
      <c r="G7" s="2" t="s">
        <v>4</v>
      </c>
    </row>
    <row r="8" spans="1:7">
      <c r="G8" s="2" t="s">
        <v>5</v>
      </c>
    </row>
    <row r="9" spans="1:7">
      <c r="G9" s="2" t="s">
        <v>6</v>
      </c>
    </row>
    <row r="10" spans="1:7">
      <c r="G10" s="2" t="s">
        <v>7</v>
      </c>
    </row>
    <row r="11" spans="1:7" ht="14.45" customHeight="1">
      <c r="G11" s="2"/>
    </row>
    <row r="12" spans="1:7" ht="70.900000000000006" customHeight="1">
      <c r="A12" s="123" t="s">
        <v>362</v>
      </c>
      <c r="B12" s="123"/>
      <c r="C12" s="123"/>
      <c r="D12" s="123"/>
      <c r="E12" s="123"/>
      <c r="F12" s="123"/>
      <c r="G12" s="123"/>
    </row>
    <row r="14" spans="1:7" ht="28.9" customHeight="1">
      <c r="A14" s="148" t="s">
        <v>74</v>
      </c>
      <c r="B14" s="148" t="s">
        <v>75</v>
      </c>
      <c r="C14" s="134" t="s">
        <v>76</v>
      </c>
      <c r="D14" s="136"/>
      <c r="E14" s="125" t="s">
        <v>77</v>
      </c>
      <c r="F14" s="141"/>
      <c r="G14" s="126"/>
    </row>
    <row r="15" spans="1:7" ht="34.9" customHeight="1">
      <c r="A15" s="150"/>
      <c r="B15" s="150"/>
      <c r="C15" s="137"/>
      <c r="D15" s="139"/>
      <c r="E15" s="119" t="s">
        <v>78</v>
      </c>
      <c r="F15" s="119" t="s">
        <v>274</v>
      </c>
      <c r="G15" s="119" t="s">
        <v>345</v>
      </c>
    </row>
    <row r="16" spans="1:7" ht="12.75" customHeight="1">
      <c r="A16" s="116">
        <v>1</v>
      </c>
      <c r="B16" s="116">
        <v>2</v>
      </c>
      <c r="C16" s="125">
        <v>3</v>
      </c>
      <c r="D16" s="126"/>
      <c r="E16" s="111">
        <v>4</v>
      </c>
      <c r="F16" s="111">
        <v>5</v>
      </c>
      <c r="G16" s="111">
        <v>6</v>
      </c>
    </row>
    <row r="17" spans="1:7" ht="39" customHeight="1">
      <c r="A17" s="109" t="s">
        <v>275</v>
      </c>
      <c r="B17" s="112"/>
      <c r="C17" s="176" t="s">
        <v>276</v>
      </c>
      <c r="D17" s="177"/>
      <c r="E17" s="81">
        <f>ROUNDUP(11666*1.055,0)</f>
        <v>12308</v>
      </c>
      <c r="F17" s="10" t="s">
        <v>84</v>
      </c>
      <c r="G17" s="10" t="s">
        <v>84</v>
      </c>
    </row>
    <row r="18" spans="1:7" ht="28.9" customHeight="1">
      <c r="A18" s="120" t="s">
        <v>277</v>
      </c>
      <c r="B18" s="112">
        <v>2</v>
      </c>
      <c r="C18" s="176" t="s">
        <v>278</v>
      </c>
      <c r="D18" s="177"/>
      <c r="E18" s="10">
        <f>ROUNDUP(11803*1.055,0)</f>
        <v>12453</v>
      </c>
      <c r="F18" s="10" t="s">
        <v>84</v>
      </c>
      <c r="G18" s="10" t="s">
        <v>84</v>
      </c>
    </row>
    <row r="19" spans="1:7" ht="18" customHeight="1">
      <c r="A19" s="165" t="s">
        <v>279</v>
      </c>
      <c r="B19" s="146">
        <v>2</v>
      </c>
      <c r="C19" s="174" t="s">
        <v>280</v>
      </c>
      <c r="D19" s="175"/>
      <c r="E19" s="168">
        <f>ROUNDUP(11306*1.25,0)</f>
        <v>14133</v>
      </c>
      <c r="F19" s="168">
        <f>ROUNDUP(12957*1.2,0)</f>
        <v>15549</v>
      </c>
      <c r="G19" s="168">
        <f>ROUNDUP(14606*1.2,0)</f>
        <v>17528</v>
      </c>
    </row>
    <row r="20" spans="1:7" ht="14.25" customHeight="1">
      <c r="A20" s="151"/>
      <c r="B20" s="147"/>
      <c r="C20" s="130" t="s">
        <v>281</v>
      </c>
      <c r="D20" s="132"/>
      <c r="E20" s="171"/>
      <c r="F20" s="171"/>
      <c r="G20" s="171"/>
    </row>
    <row r="21" spans="1:7" ht="12.75" customHeight="1">
      <c r="A21" s="151"/>
      <c r="B21" s="153"/>
      <c r="C21" s="127" t="s">
        <v>282</v>
      </c>
      <c r="D21" s="128"/>
      <c r="E21" s="169"/>
      <c r="F21" s="169"/>
      <c r="G21" s="169"/>
    </row>
    <row r="22" spans="1:7" ht="15.75" customHeight="1">
      <c r="A22" s="151"/>
      <c r="B22" s="146">
        <v>3</v>
      </c>
      <c r="C22" s="174" t="s">
        <v>283</v>
      </c>
      <c r="D22" s="175"/>
      <c r="E22" s="168">
        <f>ROUNDUP(12132*1.25,0)</f>
        <v>15165</v>
      </c>
      <c r="F22" s="168">
        <f>ROUNDUP(13905*1.2,0)</f>
        <v>16686</v>
      </c>
      <c r="G22" s="168">
        <f>ROUNDUP(15678*1.2,0)</f>
        <v>18814</v>
      </c>
    </row>
    <row r="23" spans="1:7" ht="13.7" customHeight="1">
      <c r="A23" s="151"/>
      <c r="B23" s="147"/>
      <c r="C23" s="130" t="s">
        <v>284</v>
      </c>
      <c r="D23" s="132"/>
      <c r="E23" s="171"/>
      <c r="F23" s="171"/>
      <c r="G23" s="171"/>
    </row>
    <row r="24" spans="1:7" ht="14.25" customHeight="1">
      <c r="A24" s="151"/>
      <c r="B24" s="153"/>
      <c r="C24" s="130" t="s">
        <v>285</v>
      </c>
      <c r="D24" s="132"/>
      <c r="E24" s="169"/>
      <c r="F24" s="169"/>
      <c r="G24" s="169"/>
    </row>
    <row r="25" spans="1:7" ht="18" customHeight="1">
      <c r="A25" s="151"/>
      <c r="B25" s="146">
        <v>4</v>
      </c>
      <c r="C25" s="174" t="s">
        <v>286</v>
      </c>
      <c r="D25" s="175"/>
      <c r="E25" s="168">
        <f>ROUNDUP(12957*1.25,0)</f>
        <v>16197</v>
      </c>
      <c r="F25" s="168">
        <f>ROUNDUP(14856*1.2,0)</f>
        <v>17828</v>
      </c>
      <c r="G25" s="168">
        <f>ROUNDUP(16753*1.2,0)</f>
        <v>20104</v>
      </c>
    </row>
    <row r="26" spans="1:7" ht="18" customHeight="1">
      <c r="A26" s="152"/>
      <c r="B26" s="153"/>
      <c r="C26" s="130" t="s">
        <v>287</v>
      </c>
      <c r="D26" s="132"/>
      <c r="E26" s="169"/>
      <c r="F26" s="169"/>
      <c r="G26" s="169"/>
    </row>
    <row r="27" spans="1:7" ht="16.899999999999999" customHeight="1">
      <c r="A27" s="133" t="s">
        <v>288</v>
      </c>
      <c r="B27" s="143">
        <v>1</v>
      </c>
      <c r="C27" s="170" t="s">
        <v>289</v>
      </c>
      <c r="D27" s="170"/>
      <c r="E27" s="168">
        <f>ROUNDUP(15818*1.055,0)</f>
        <v>16688</v>
      </c>
      <c r="F27" s="172" t="s">
        <v>84</v>
      </c>
      <c r="G27" s="172" t="s">
        <v>84</v>
      </c>
    </row>
    <row r="28" spans="1:7" ht="30.6" customHeight="1">
      <c r="A28" s="133"/>
      <c r="B28" s="143"/>
      <c r="C28" s="173" t="s">
        <v>290</v>
      </c>
      <c r="D28" s="173"/>
      <c r="E28" s="171"/>
      <c r="F28" s="172"/>
      <c r="G28" s="172"/>
    </row>
    <row r="29" spans="1:7">
      <c r="A29" s="82"/>
      <c r="B29" s="110"/>
      <c r="C29" s="83"/>
      <c r="D29" s="83"/>
      <c r="E29" s="84"/>
      <c r="F29" s="84"/>
      <c r="G29" s="84"/>
    </row>
    <row r="30" spans="1:7">
      <c r="A30" s="85"/>
      <c r="B30" s="86"/>
      <c r="C30" s="87"/>
      <c r="D30" s="88"/>
      <c r="E30" s="89"/>
      <c r="F30" s="89"/>
      <c r="G30" s="89"/>
    </row>
    <row r="31" spans="1:7">
      <c r="A31" s="85"/>
      <c r="B31" s="86"/>
      <c r="C31" s="87"/>
      <c r="D31" s="87"/>
      <c r="E31" s="89"/>
      <c r="F31" s="89"/>
      <c r="G31" s="89"/>
    </row>
    <row r="32" spans="1:7">
      <c r="A32" s="85"/>
      <c r="B32" s="86"/>
      <c r="C32" s="87"/>
      <c r="D32" s="87"/>
      <c r="E32" s="89"/>
      <c r="F32" s="89"/>
      <c r="G32" s="89"/>
    </row>
    <row r="33" spans="1:7">
      <c r="A33" s="85"/>
      <c r="B33" s="86"/>
      <c r="C33" s="87"/>
      <c r="D33" s="87"/>
      <c r="E33" s="89"/>
      <c r="F33" s="89"/>
      <c r="G33" s="89"/>
    </row>
    <row r="34" spans="1:7">
      <c r="A34" s="85"/>
      <c r="B34" s="86"/>
      <c r="C34" s="87"/>
      <c r="D34" s="87"/>
      <c r="E34" s="89"/>
      <c r="F34" s="89"/>
      <c r="G34" s="89"/>
    </row>
    <row r="35" spans="1:7">
      <c r="A35" s="85"/>
      <c r="B35" s="86"/>
      <c r="C35" s="87"/>
      <c r="D35" s="87"/>
      <c r="E35" s="89"/>
      <c r="F35" s="89"/>
      <c r="G35" s="89"/>
    </row>
    <row r="36" spans="1:7">
      <c r="A36" s="85"/>
      <c r="B36" s="86"/>
      <c r="C36" s="87"/>
      <c r="D36" s="87"/>
      <c r="E36" s="89"/>
      <c r="F36" s="89"/>
      <c r="G36" s="89"/>
    </row>
    <row r="37" spans="1:7">
      <c r="A37" s="85"/>
      <c r="B37" s="86"/>
      <c r="C37" s="87"/>
      <c r="D37" s="87"/>
      <c r="E37" s="89"/>
      <c r="F37" s="89"/>
      <c r="G37" s="89"/>
    </row>
    <row r="38" spans="1:7">
      <c r="A38" s="85"/>
      <c r="B38" s="86"/>
      <c r="C38" s="87"/>
      <c r="D38" s="87"/>
      <c r="E38" s="89"/>
      <c r="F38" s="89"/>
      <c r="G38" s="89"/>
    </row>
    <row r="39" spans="1:7">
      <c r="A39" s="85"/>
      <c r="B39" s="86"/>
      <c r="C39" s="87"/>
      <c r="D39" s="87"/>
      <c r="E39" s="89"/>
      <c r="F39" s="89"/>
      <c r="G39" s="89"/>
    </row>
    <row r="40" spans="1:7">
      <c r="A40" s="85"/>
      <c r="B40" s="86"/>
      <c r="C40" s="87"/>
      <c r="D40" s="87"/>
      <c r="E40" s="89"/>
      <c r="F40" s="89"/>
      <c r="G40" s="89"/>
    </row>
    <row r="41" spans="1:7">
      <c r="A41" s="85"/>
      <c r="B41" s="86"/>
      <c r="C41" s="87"/>
      <c r="D41" s="87"/>
      <c r="E41" s="89"/>
      <c r="F41" s="89"/>
      <c r="G41" s="89"/>
    </row>
    <row r="42" spans="1:7">
      <c r="A42" s="85"/>
      <c r="B42" s="86"/>
      <c r="C42" s="87"/>
      <c r="D42" s="87"/>
      <c r="E42" s="89"/>
      <c r="F42" s="89"/>
      <c r="G42" s="89"/>
    </row>
    <row r="43" spans="1:7">
      <c r="A43" s="85"/>
      <c r="B43" s="86"/>
      <c r="C43" s="87"/>
      <c r="D43" s="87"/>
      <c r="E43" s="89"/>
      <c r="F43" s="89"/>
      <c r="G43" s="89"/>
    </row>
    <row r="44" spans="1:7">
      <c r="A44" s="85"/>
      <c r="B44" s="86"/>
      <c r="C44" s="87"/>
      <c r="D44" s="87"/>
      <c r="E44" s="89"/>
      <c r="F44" s="89"/>
      <c r="G44" s="89"/>
    </row>
  </sheetData>
  <mergeCells count="36">
    <mergeCell ref="C16:D16"/>
    <mergeCell ref="A12:G12"/>
    <mergeCell ref="A14:A15"/>
    <mergeCell ref="B14:B15"/>
    <mergeCell ref="C14:D15"/>
    <mergeCell ref="E14:G14"/>
    <mergeCell ref="C17:D17"/>
    <mergeCell ref="C18:D18"/>
    <mergeCell ref="A19:A26"/>
    <mergeCell ref="B19:B21"/>
    <mergeCell ref="C19:D19"/>
    <mergeCell ref="C24:D24"/>
    <mergeCell ref="B25:B26"/>
    <mergeCell ref="C25:D25"/>
    <mergeCell ref="F19:F21"/>
    <mergeCell ref="G19:G21"/>
    <mergeCell ref="C20:D20"/>
    <mergeCell ref="C21:D21"/>
    <mergeCell ref="B22:B24"/>
    <mergeCell ref="C22:D22"/>
    <mergeCell ref="E22:E24"/>
    <mergeCell ref="F22:F24"/>
    <mergeCell ref="G22:G24"/>
    <mergeCell ref="C23:D23"/>
    <mergeCell ref="E19:E21"/>
    <mergeCell ref="F25:F26"/>
    <mergeCell ref="G25:G26"/>
    <mergeCell ref="C26:D26"/>
    <mergeCell ref="A27:A28"/>
    <mergeCell ref="B27:B28"/>
    <mergeCell ref="C27:D27"/>
    <mergeCell ref="E27:E28"/>
    <mergeCell ref="F27:F28"/>
    <mergeCell ref="G27:G28"/>
    <mergeCell ref="C28:D28"/>
    <mergeCell ref="E25:E26"/>
  </mergeCells>
  <printOptions horizontalCentered="1"/>
  <pageMargins left="0.59055118110236227" right="0.59055118110236227" top="0.59055118110236227" bottom="0" header="0.51181102362204722" footer="0.51181102362204722"/>
  <pageSetup paperSize="9" scale="95" firstPageNumber="17" orientation="landscape" useFirstPageNumber="1" r:id="rId1"/>
  <headerFooter alignWithMargins="0">
    <oddHeader>&amp;C&amp;"Times New Roman,обычный"&amp;P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H40"/>
  <sheetViews>
    <sheetView tabSelected="1" view="pageBreakPreview" topLeftCell="A10" zoomScale="85" zoomScaleSheetLayoutView="85" workbookViewId="0">
      <selection activeCell="A18" sqref="A18"/>
    </sheetView>
  </sheetViews>
  <sheetFormatPr defaultColWidth="9.140625" defaultRowHeight="12.75" outlineLevelCol="1"/>
  <cols>
    <col min="1" max="1" width="4" style="1" customWidth="1" outlineLevel="1"/>
    <col min="2" max="2" width="65.42578125" style="1" customWidth="1"/>
    <col min="3" max="3" width="26.85546875" style="59" customWidth="1"/>
    <col min="4" max="4" width="9.85546875" style="60" customWidth="1"/>
    <col min="5" max="5" width="7.7109375" style="60" customWidth="1"/>
    <col min="6" max="6" width="8.42578125" style="60" customWidth="1"/>
    <col min="7" max="7" width="9" style="60" customWidth="1"/>
    <col min="8" max="8" width="2.7109375" style="1" customWidth="1"/>
    <col min="9" max="222" width="9.140625" style="1"/>
    <col min="223" max="223" width="20.7109375" style="1" customWidth="1"/>
    <col min="224" max="224" width="7.5703125" style="1" customWidth="1"/>
    <col min="225" max="225" width="56.7109375" style="1" customWidth="1"/>
    <col min="226" max="226" width="17.5703125" style="1" customWidth="1"/>
    <col min="227" max="227" width="8.140625" style="1" customWidth="1"/>
    <col min="228" max="228" width="8.28515625" style="1" customWidth="1"/>
    <col min="229" max="229" width="8.42578125" style="1" customWidth="1"/>
    <col min="230" max="230" width="9" style="1" customWidth="1"/>
    <col min="231" max="231" width="8.42578125" style="1" customWidth="1"/>
    <col min="232" max="478" width="9.140625" style="1"/>
    <col min="479" max="479" width="20.7109375" style="1" customWidth="1"/>
    <col min="480" max="480" width="7.5703125" style="1" customWidth="1"/>
    <col min="481" max="481" width="56.7109375" style="1" customWidth="1"/>
    <col min="482" max="482" width="17.5703125" style="1" customWidth="1"/>
    <col min="483" max="483" width="8.140625" style="1" customWidth="1"/>
    <col min="484" max="484" width="8.28515625" style="1" customWidth="1"/>
    <col min="485" max="485" width="8.42578125" style="1" customWidth="1"/>
    <col min="486" max="486" width="9" style="1" customWidth="1"/>
    <col min="487" max="487" width="8.42578125" style="1" customWidth="1"/>
    <col min="488" max="734" width="9.140625" style="1"/>
    <col min="735" max="735" width="20.7109375" style="1" customWidth="1"/>
    <col min="736" max="736" width="7.5703125" style="1" customWidth="1"/>
    <col min="737" max="737" width="56.7109375" style="1" customWidth="1"/>
    <col min="738" max="738" width="17.5703125" style="1" customWidth="1"/>
    <col min="739" max="739" width="8.140625" style="1" customWidth="1"/>
    <col min="740" max="740" width="8.28515625" style="1" customWidth="1"/>
    <col min="741" max="741" width="8.42578125" style="1" customWidth="1"/>
    <col min="742" max="742" width="9" style="1" customWidth="1"/>
    <col min="743" max="743" width="8.42578125" style="1" customWidth="1"/>
    <col min="744" max="990" width="9.140625" style="1"/>
    <col min="991" max="991" width="20.7109375" style="1" customWidth="1"/>
    <col min="992" max="992" width="7.5703125" style="1" customWidth="1"/>
    <col min="993" max="993" width="56.7109375" style="1" customWidth="1"/>
    <col min="994" max="994" width="17.5703125" style="1" customWidth="1"/>
    <col min="995" max="995" width="8.140625" style="1" customWidth="1"/>
    <col min="996" max="996" width="8.28515625" style="1" customWidth="1"/>
    <col min="997" max="997" width="8.42578125" style="1" customWidth="1"/>
    <col min="998" max="998" width="9" style="1" customWidth="1"/>
    <col min="999" max="999" width="8.42578125" style="1" customWidth="1"/>
    <col min="1000" max="1246" width="9.140625" style="1"/>
    <col min="1247" max="1247" width="20.7109375" style="1" customWidth="1"/>
    <col min="1248" max="1248" width="7.5703125" style="1" customWidth="1"/>
    <col min="1249" max="1249" width="56.7109375" style="1" customWidth="1"/>
    <col min="1250" max="1250" width="17.5703125" style="1" customWidth="1"/>
    <col min="1251" max="1251" width="8.140625" style="1" customWidth="1"/>
    <col min="1252" max="1252" width="8.28515625" style="1" customWidth="1"/>
    <col min="1253" max="1253" width="8.42578125" style="1" customWidth="1"/>
    <col min="1254" max="1254" width="9" style="1" customWidth="1"/>
    <col min="1255" max="1255" width="8.42578125" style="1" customWidth="1"/>
    <col min="1256" max="1502" width="9.140625" style="1"/>
    <col min="1503" max="1503" width="20.7109375" style="1" customWidth="1"/>
    <col min="1504" max="1504" width="7.5703125" style="1" customWidth="1"/>
    <col min="1505" max="1505" width="56.7109375" style="1" customWidth="1"/>
    <col min="1506" max="1506" width="17.5703125" style="1" customWidth="1"/>
    <col min="1507" max="1507" width="8.140625" style="1" customWidth="1"/>
    <col min="1508" max="1508" width="8.28515625" style="1" customWidth="1"/>
    <col min="1509" max="1509" width="8.42578125" style="1" customWidth="1"/>
    <col min="1510" max="1510" width="9" style="1" customWidth="1"/>
    <col min="1511" max="1511" width="8.42578125" style="1" customWidth="1"/>
    <col min="1512" max="1758" width="9.140625" style="1"/>
    <col min="1759" max="1759" width="20.7109375" style="1" customWidth="1"/>
    <col min="1760" max="1760" width="7.5703125" style="1" customWidth="1"/>
    <col min="1761" max="1761" width="56.7109375" style="1" customWidth="1"/>
    <col min="1762" max="1762" width="17.5703125" style="1" customWidth="1"/>
    <col min="1763" max="1763" width="8.140625" style="1" customWidth="1"/>
    <col min="1764" max="1764" width="8.28515625" style="1" customWidth="1"/>
    <col min="1765" max="1765" width="8.42578125" style="1" customWidth="1"/>
    <col min="1766" max="1766" width="9" style="1" customWidth="1"/>
    <col min="1767" max="1767" width="8.42578125" style="1" customWidth="1"/>
    <col min="1768" max="2014" width="9.140625" style="1"/>
    <col min="2015" max="2015" width="20.7109375" style="1" customWidth="1"/>
    <col min="2016" max="2016" width="7.5703125" style="1" customWidth="1"/>
    <col min="2017" max="2017" width="56.7109375" style="1" customWidth="1"/>
    <col min="2018" max="2018" width="17.5703125" style="1" customWidth="1"/>
    <col min="2019" max="2019" width="8.140625" style="1" customWidth="1"/>
    <col min="2020" max="2020" width="8.28515625" style="1" customWidth="1"/>
    <col min="2021" max="2021" width="8.42578125" style="1" customWidth="1"/>
    <col min="2022" max="2022" width="9" style="1" customWidth="1"/>
    <col min="2023" max="2023" width="8.42578125" style="1" customWidth="1"/>
    <col min="2024" max="2270" width="9.140625" style="1"/>
    <col min="2271" max="2271" width="20.7109375" style="1" customWidth="1"/>
    <col min="2272" max="2272" width="7.5703125" style="1" customWidth="1"/>
    <col min="2273" max="2273" width="56.7109375" style="1" customWidth="1"/>
    <col min="2274" max="2274" width="17.5703125" style="1" customWidth="1"/>
    <col min="2275" max="2275" width="8.140625" style="1" customWidth="1"/>
    <col min="2276" max="2276" width="8.28515625" style="1" customWidth="1"/>
    <col min="2277" max="2277" width="8.42578125" style="1" customWidth="1"/>
    <col min="2278" max="2278" width="9" style="1" customWidth="1"/>
    <col min="2279" max="2279" width="8.42578125" style="1" customWidth="1"/>
    <col min="2280" max="2526" width="9.140625" style="1"/>
    <col min="2527" max="2527" width="20.7109375" style="1" customWidth="1"/>
    <col min="2528" max="2528" width="7.5703125" style="1" customWidth="1"/>
    <col min="2529" max="2529" width="56.7109375" style="1" customWidth="1"/>
    <col min="2530" max="2530" width="17.5703125" style="1" customWidth="1"/>
    <col min="2531" max="2531" width="8.140625" style="1" customWidth="1"/>
    <col min="2532" max="2532" width="8.28515625" style="1" customWidth="1"/>
    <col min="2533" max="2533" width="8.42578125" style="1" customWidth="1"/>
    <col min="2534" max="2534" width="9" style="1" customWidth="1"/>
    <col min="2535" max="2535" width="8.42578125" style="1" customWidth="1"/>
    <col min="2536" max="2782" width="9.140625" style="1"/>
    <col min="2783" max="2783" width="20.7109375" style="1" customWidth="1"/>
    <col min="2784" max="2784" width="7.5703125" style="1" customWidth="1"/>
    <col min="2785" max="2785" width="56.7109375" style="1" customWidth="1"/>
    <col min="2786" max="2786" width="17.5703125" style="1" customWidth="1"/>
    <col min="2787" max="2787" width="8.140625" style="1" customWidth="1"/>
    <col min="2788" max="2788" width="8.28515625" style="1" customWidth="1"/>
    <col min="2789" max="2789" width="8.42578125" style="1" customWidth="1"/>
    <col min="2790" max="2790" width="9" style="1" customWidth="1"/>
    <col min="2791" max="2791" width="8.42578125" style="1" customWidth="1"/>
    <col min="2792" max="3038" width="9.140625" style="1"/>
    <col min="3039" max="3039" width="20.7109375" style="1" customWidth="1"/>
    <col min="3040" max="3040" width="7.5703125" style="1" customWidth="1"/>
    <col min="3041" max="3041" width="56.7109375" style="1" customWidth="1"/>
    <col min="3042" max="3042" width="17.5703125" style="1" customWidth="1"/>
    <col min="3043" max="3043" width="8.140625" style="1" customWidth="1"/>
    <col min="3044" max="3044" width="8.28515625" style="1" customWidth="1"/>
    <col min="3045" max="3045" width="8.42578125" style="1" customWidth="1"/>
    <col min="3046" max="3046" width="9" style="1" customWidth="1"/>
    <col min="3047" max="3047" width="8.42578125" style="1" customWidth="1"/>
    <col min="3048" max="3294" width="9.140625" style="1"/>
    <col min="3295" max="3295" width="20.7109375" style="1" customWidth="1"/>
    <col min="3296" max="3296" width="7.5703125" style="1" customWidth="1"/>
    <col min="3297" max="3297" width="56.7109375" style="1" customWidth="1"/>
    <col min="3298" max="3298" width="17.5703125" style="1" customWidth="1"/>
    <col min="3299" max="3299" width="8.140625" style="1" customWidth="1"/>
    <col min="3300" max="3300" width="8.28515625" style="1" customWidth="1"/>
    <col min="3301" max="3301" width="8.42578125" style="1" customWidth="1"/>
    <col min="3302" max="3302" width="9" style="1" customWidth="1"/>
    <col min="3303" max="3303" width="8.42578125" style="1" customWidth="1"/>
    <col min="3304" max="3550" width="9.140625" style="1"/>
    <col min="3551" max="3551" width="20.7109375" style="1" customWidth="1"/>
    <col min="3552" max="3552" width="7.5703125" style="1" customWidth="1"/>
    <col min="3553" max="3553" width="56.7109375" style="1" customWidth="1"/>
    <col min="3554" max="3554" width="17.5703125" style="1" customWidth="1"/>
    <col min="3555" max="3555" width="8.140625" style="1" customWidth="1"/>
    <col min="3556" max="3556" width="8.28515625" style="1" customWidth="1"/>
    <col min="3557" max="3557" width="8.42578125" style="1" customWidth="1"/>
    <col min="3558" max="3558" width="9" style="1" customWidth="1"/>
    <col min="3559" max="3559" width="8.42578125" style="1" customWidth="1"/>
    <col min="3560" max="3806" width="9.140625" style="1"/>
    <col min="3807" max="3807" width="20.7109375" style="1" customWidth="1"/>
    <col min="3808" max="3808" width="7.5703125" style="1" customWidth="1"/>
    <col min="3809" max="3809" width="56.7109375" style="1" customWidth="1"/>
    <col min="3810" max="3810" width="17.5703125" style="1" customWidth="1"/>
    <col min="3811" max="3811" width="8.140625" style="1" customWidth="1"/>
    <col min="3812" max="3812" width="8.28515625" style="1" customWidth="1"/>
    <col min="3813" max="3813" width="8.42578125" style="1" customWidth="1"/>
    <col min="3814" max="3814" width="9" style="1" customWidth="1"/>
    <col min="3815" max="3815" width="8.42578125" style="1" customWidth="1"/>
    <col min="3816" max="4062" width="9.140625" style="1"/>
    <col min="4063" max="4063" width="20.7109375" style="1" customWidth="1"/>
    <col min="4064" max="4064" width="7.5703125" style="1" customWidth="1"/>
    <col min="4065" max="4065" width="56.7109375" style="1" customWidth="1"/>
    <col min="4066" max="4066" width="17.5703125" style="1" customWidth="1"/>
    <col min="4067" max="4067" width="8.140625" style="1" customWidth="1"/>
    <col min="4068" max="4068" width="8.28515625" style="1" customWidth="1"/>
    <col min="4069" max="4069" width="8.42578125" style="1" customWidth="1"/>
    <col min="4070" max="4070" width="9" style="1" customWidth="1"/>
    <col min="4071" max="4071" width="8.42578125" style="1" customWidth="1"/>
    <col min="4072" max="4318" width="9.140625" style="1"/>
    <col min="4319" max="4319" width="20.7109375" style="1" customWidth="1"/>
    <col min="4320" max="4320" width="7.5703125" style="1" customWidth="1"/>
    <col min="4321" max="4321" width="56.7109375" style="1" customWidth="1"/>
    <col min="4322" max="4322" width="17.5703125" style="1" customWidth="1"/>
    <col min="4323" max="4323" width="8.140625" style="1" customWidth="1"/>
    <col min="4324" max="4324" width="8.28515625" style="1" customWidth="1"/>
    <col min="4325" max="4325" width="8.42578125" style="1" customWidth="1"/>
    <col min="4326" max="4326" width="9" style="1" customWidth="1"/>
    <col min="4327" max="4327" width="8.42578125" style="1" customWidth="1"/>
    <col min="4328" max="4574" width="9.140625" style="1"/>
    <col min="4575" max="4575" width="20.7109375" style="1" customWidth="1"/>
    <col min="4576" max="4576" width="7.5703125" style="1" customWidth="1"/>
    <col min="4577" max="4577" width="56.7109375" style="1" customWidth="1"/>
    <col min="4578" max="4578" width="17.5703125" style="1" customWidth="1"/>
    <col min="4579" max="4579" width="8.140625" style="1" customWidth="1"/>
    <col min="4580" max="4580" width="8.28515625" style="1" customWidth="1"/>
    <col min="4581" max="4581" width="8.42578125" style="1" customWidth="1"/>
    <col min="4582" max="4582" width="9" style="1" customWidth="1"/>
    <col min="4583" max="4583" width="8.42578125" style="1" customWidth="1"/>
    <col min="4584" max="4830" width="9.140625" style="1"/>
    <col min="4831" max="4831" width="20.7109375" style="1" customWidth="1"/>
    <col min="4832" max="4832" width="7.5703125" style="1" customWidth="1"/>
    <col min="4833" max="4833" width="56.7109375" style="1" customWidth="1"/>
    <col min="4834" max="4834" width="17.5703125" style="1" customWidth="1"/>
    <col min="4835" max="4835" width="8.140625" style="1" customWidth="1"/>
    <col min="4836" max="4836" width="8.28515625" style="1" customWidth="1"/>
    <col min="4837" max="4837" width="8.42578125" style="1" customWidth="1"/>
    <col min="4838" max="4838" width="9" style="1" customWidth="1"/>
    <col min="4839" max="4839" width="8.42578125" style="1" customWidth="1"/>
    <col min="4840" max="5086" width="9.140625" style="1"/>
    <col min="5087" max="5087" width="20.7109375" style="1" customWidth="1"/>
    <col min="5088" max="5088" width="7.5703125" style="1" customWidth="1"/>
    <col min="5089" max="5089" width="56.7109375" style="1" customWidth="1"/>
    <col min="5090" max="5090" width="17.5703125" style="1" customWidth="1"/>
    <col min="5091" max="5091" width="8.140625" style="1" customWidth="1"/>
    <col min="5092" max="5092" width="8.28515625" style="1" customWidth="1"/>
    <col min="5093" max="5093" width="8.42578125" style="1" customWidth="1"/>
    <col min="5094" max="5094" width="9" style="1" customWidth="1"/>
    <col min="5095" max="5095" width="8.42578125" style="1" customWidth="1"/>
    <col min="5096" max="5342" width="9.140625" style="1"/>
    <col min="5343" max="5343" width="20.7109375" style="1" customWidth="1"/>
    <col min="5344" max="5344" width="7.5703125" style="1" customWidth="1"/>
    <col min="5345" max="5345" width="56.7109375" style="1" customWidth="1"/>
    <col min="5346" max="5346" width="17.5703125" style="1" customWidth="1"/>
    <col min="5347" max="5347" width="8.140625" style="1" customWidth="1"/>
    <col min="5348" max="5348" width="8.28515625" style="1" customWidth="1"/>
    <col min="5349" max="5349" width="8.42578125" style="1" customWidth="1"/>
    <col min="5350" max="5350" width="9" style="1" customWidth="1"/>
    <col min="5351" max="5351" width="8.42578125" style="1" customWidth="1"/>
    <col min="5352" max="5598" width="9.140625" style="1"/>
    <col min="5599" max="5599" width="20.7109375" style="1" customWidth="1"/>
    <col min="5600" max="5600" width="7.5703125" style="1" customWidth="1"/>
    <col min="5601" max="5601" width="56.7109375" style="1" customWidth="1"/>
    <col min="5602" max="5602" width="17.5703125" style="1" customWidth="1"/>
    <col min="5603" max="5603" width="8.140625" style="1" customWidth="1"/>
    <col min="5604" max="5604" width="8.28515625" style="1" customWidth="1"/>
    <col min="5605" max="5605" width="8.42578125" style="1" customWidth="1"/>
    <col min="5606" max="5606" width="9" style="1" customWidth="1"/>
    <col min="5607" max="5607" width="8.42578125" style="1" customWidth="1"/>
    <col min="5608" max="5854" width="9.140625" style="1"/>
    <col min="5855" max="5855" width="20.7109375" style="1" customWidth="1"/>
    <col min="5856" max="5856" width="7.5703125" style="1" customWidth="1"/>
    <col min="5857" max="5857" width="56.7109375" style="1" customWidth="1"/>
    <col min="5858" max="5858" width="17.5703125" style="1" customWidth="1"/>
    <col min="5859" max="5859" width="8.140625" style="1" customWidth="1"/>
    <col min="5860" max="5860" width="8.28515625" style="1" customWidth="1"/>
    <col min="5861" max="5861" width="8.42578125" style="1" customWidth="1"/>
    <col min="5862" max="5862" width="9" style="1" customWidth="1"/>
    <col min="5863" max="5863" width="8.42578125" style="1" customWidth="1"/>
    <col min="5864" max="6110" width="9.140625" style="1"/>
    <col min="6111" max="6111" width="20.7109375" style="1" customWidth="1"/>
    <col min="6112" max="6112" width="7.5703125" style="1" customWidth="1"/>
    <col min="6113" max="6113" width="56.7109375" style="1" customWidth="1"/>
    <col min="6114" max="6114" width="17.5703125" style="1" customWidth="1"/>
    <col min="6115" max="6115" width="8.140625" style="1" customWidth="1"/>
    <col min="6116" max="6116" width="8.28515625" style="1" customWidth="1"/>
    <col min="6117" max="6117" width="8.42578125" style="1" customWidth="1"/>
    <col min="6118" max="6118" width="9" style="1" customWidth="1"/>
    <col min="6119" max="6119" width="8.42578125" style="1" customWidth="1"/>
    <col min="6120" max="6366" width="9.140625" style="1"/>
    <col min="6367" max="6367" width="20.7109375" style="1" customWidth="1"/>
    <col min="6368" max="6368" width="7.5703125" style="1" customWidth="1"/>
    <col min="6369" max="6369" width="56.7109375" style="1" customWidth="1"/>
    <col min="6370" max="6370" width="17.5703125" style="1" customWidth="1"/>
    <col min="6371" max="6371" width="8.140625" style="1" customWidth="1"/>
    <col min="6372" max="6372" width="8.28515625" style="1" customWidth="1"/>
    <col min="6373" max="6373" width="8.42578125" style="1" customWidth="1"/>
    <col min="6374" max="6374" width="9" style="1" customWidth="1"/>
    <col min="6375" max="6375" width="8.42578125" style="1" customWidth="1"/>
    <col min="6376" max="6622" width="9.140625" style="1"/>
    <col min="6623" max="6623" width="20.7109375" style="1" customWidth="1"/>
    <col min="6624" max="6624" width="7.5703125" style="1" customWidth="1"/>
    <col min="6625" max="6625" width="56.7109375" style="1" customWidth="1"/>
    <col min="6626" max="6626" width="17.5703125" style="1" customWidth="1"/>
    <col min="6627" max="6627" width="8.140625" style="1" customWidth="1"/>
    <col min="6628" max="6628" width="8.28515625" style="1" customWidth="1"/>
    <col min="6629" max="6629" width="8.42578125" style="1" customWidth="1"/>
    <col min="6630" max="6630" width="9" style="1" customWidth="1"/>
    <col min="6631" max="6631" width="8.42578125" style="1" customWidth="1"/>
    <col min="6632" max="6878" width="9.140625" style="1"/>
    <col min="6879" max="6879" width="20.7109375" style="1" customWidth="1"/>
    <col min="6880" max="6880" width="7.5703125" style="1" customWidth="1"/>
    <col min="6881" max="6881" width="56.7109375" style="1" customWidth="1"/>
    <col min="6882" max="6882" width="17.5703125" style="1" customWidth="1"/>
    <col min="6883" max="6883" width="8.140625" style="1" customWidth="1"/>
    <col min="6884" max="6884" width="8.28515625" style="1" customWidth="1"/>
    <col min="6885" max="6885" width="8.42578125" style="1" customWidth="1"/>
    <col min="6886" max="6886" width="9" style="1" customWidth="1"/>
    <col min="6887" max="6887" width="8.42578125" style="1" customWidth="1"/>
    <col min="6888" max="7134" width="9.140625" style="1"/>
    <col min="7135" max="7135" width="20.7109375" style="1" customWidth="1"/>
    <col min="7136" max="7136" width="7.5703125" style="1" customWidth="1"/>
    <col min="7137" max="7137" width="56.7109375" style="1" customWidth="1"/>
    <col min="7138" max="7138" width="17.5703125" style="1" customWidth="1"/>
    <col min="7139" max="7139" width="8.140625" style="1" customWidth="1"/>
    <col min="7140" max="7140" width="8.28515625" style="1" customWidth="1"/>
    <col min="7141" max="7141" width="8.42578125" style="1" customWidth="1"/>
    <col min="7142" max="7142" width="9" style="1" customWidth="1"/>
    <col min="7143" max="7143" width="8.42578125" style="1" customWidth="1"/>
    <col min="7144" max="7390" width="9.140625" style="1"/>
    <col min="7391" max="7391" width="20.7109375" style="1" customWidth="1"/>
    <col min="7392" max="7392" width="7.5703125" style="1" customWidth="1"/>
    <col min="7393" max="7393" width="56.7109375" style="1" customWidth="1"/>
    <col min="7394" max="7394" width="17.5703125" style="1" customWidth="1"/>
    <col min="7395" max="7395" width="8.140625" style="1" customWidth="1"/>
    <col min="7396" max="7396" width="8.28515625" style="1" customWidth="1"/>
    <col min="7397" max="7397" width="8.42578125" style="1" customWidth="1"/>
    <col min="7398" max="7398" width="9" style="1" customWidth="1"/>
    <col min="7399" max="7399" width="8.42578125" style="1" customWidth="1"/>
    <col min="7400" max="7646" width="9.140625" style="1"/>
    <col min="7647" max="7647" width="20.7109375" style="1" customWidth="1"/>
    <col min="7648" max="7648" width="7.5703125" style="1" customWidth="1"/>
    <col min="7649" max="7649" width="56.7109375" style="1" customWidth="1"/>
    <col min="7650" max="7650" width="17.5703125" style="1" customWidth="1"/>
    <col min="7651" max="7651" width="8.140625" style="1" customWidth="1"/>
    <col min="7652" max="7652" width="8.28515625" style="1" customWidth="1"/>
    <col min="7653" max="7653" width="8.42578125" style="1" customWidth="1"/>
    <col min="7654" max="7654" width="9" style="1" customWidth="1"/>
    <col min="7655" max="7655" width="8.42578125" style="1" customWidth="1"/>
    <col min="7656" max="7902" width="9.140625" style="1"/>
    <col min="7903" max="7903" width="20.7109375" style="1" customWidth="1"/>
    <col min="7904" max="7904" width="7.5703125" style="1" customWidth="1"/>
    <col min="7905" max="7905" width="56.7109375" style="1" customWidth="1"/>
    <col min="7906" max="7906" width="17.5703125" style="1" customWidth="1"/>
    <col min="7907" max="7907" width="8.140625" style="1" customWidth="1"/>
    <col min="7908" max="7908" width="8.28515625" style="1" customWidth="1"/>
    <col min="7909" max="7909" width="8.42578125" style="1" customWidth="1"/>
    <col min="7910" max="7910" width="9" style="1" customWidth="1"/>
    <col min="7911" max="7911" width="8.42578125" style="1" customWidth="1"/>
    <col min="7912" max="8158" width="9.140625" style="1"/>
    <col min="8159" max="8159" width="20.7109375" style="1" customWidth="1"/>
    <col min="8160" max="8160" width="7.5703125" style="1" customWidth="1"/>
    <col min="8161" max="8161" width="56.7109375" style="1" customWidth="1"/>
    <col min="8162" max="8162" width="17.5703125" style="1" customWidth="1"/>
    <col min="8163" max="8163" width="8.140625" style="1" customWidth="1"/>
    <col min="8164" max="8164" width="8.28515625" style="1" customWidth="1"/>
    <col min="8165" max="8165" width="8.42578125" style="1" customWidth="1"/>
    <col min="8166" max="8166" width="9" style="1" customWidth="1"/>
    <col min="8167" max="8167" width="8.42578125" style="1" customWidth="1"/>
    <col min="8168" max="8414" width="9.140625" style="1"/>
    <col min="8415" max="8415" width="20.7109375" style="1" customWidth="1"/>
    <col min="8416" max="8416" width="7.5703125" style="1" customWidth="1"/>
    <col min="8417" max="8417" width="56.7109375" style="1" customWidth="1"/>
    <col min="8418" max="8418" width="17.5703125" style="1" customWidth="1"/>
    <col min="8419" max="8419" width="8.140625" style="1" customWidth="1"/>
    <col min="8420" max="8420" width="8.28515625" style="1" customWidth="1"/>
    <col min="8421" max="8421" width="8.42578125" style="1" customWidth="1"/>
    <col min="8422" max="8422" width="9" style="1" customWidth="1"/>
    <col min="8423" max="8423" width="8.42578125" style="1" customWidth="1"/>
    <col min="8424" max="8670" width="9.140625" style="1"/>
    <col min="8671" max="8671" width="20.7109375" style="1" customWidth="1"/>
    <col min="8672" max="8672" width="7.5703125" style="1" customWidth="1"/>
    <col min="8673" max="8673" width="56.7109375" style="1" customWidth="1"/>
    <col min="8674" max="8674" width="17.5703125" style="1" customWidth="1"/>
    <col min="8675" max="8675" width="8.140625" style="1" customWidth="1"/>
    <col min="8676" max="8676" width="8.28515625" style="1" customWidth="1"/>
    <col min="8677" max="8677" width="8.42578125" style="1" customWidth="1"/>
    <col min="8678" max="8678" width="9" style="1" customWidth="1"/>
    <col min="8679" max="8679" width="8.42578125" style="1" customWidth="1"/>
    <col min="8680" max="8926" width="9.140625" style="1"/>
    <col min="8927" max="8927" width="20.7109375" style="1" customWidth="1"/>
    <col min="8928" max="8928" width="7.5703125" style="1" customWidth="1"/>
    <col min="8929" max="8929" width="56.7109375" style="1" customWidth="1"/>
    <col min="8930" max="8930" width="17.5703125" style="1" customWidth="1"/>
    <col min="8931" max="8931" width="8.140625" style="1" customWidth="1"/>
    <col min="8932" max="8932" width="8.28515625" style="1" customWidth="1"/>
    <col min="8933" max="8933" width="8.42578125" style="1" customWidth="1"/>
    <col min="8934" max="8934" width="9" style="1" customWidth="1"/>
    <col min="8935" max="8935" width="8.42578125" style="1" customWidth="1"/>
    <col min="8936" max="9182" width="9.140625" style="1"/>
    <col min="9183" max="9183" width="20.7109375" style="1" customWidth="1"/>
    <col min="9184" max="9184" width="7.5703125" style="1" customWidth="1"/>
    <col min="9185" max="9185" width="56.7109375" style="1" customWidth="1"/>
    <col min="9186" max="9186" width="17.5703125" style="1" customWidth="1"/>
    <col min="9187" max="9187" width="8.140625" style="1" customWidth="1"/>
    <col min="9188" max="9188" width="8.28515625" style="1" customWidth="1"/>
    <col min="9189" max="9189" width="8.42578125" style="1" customWidth="1"/>
    <col min="9190" max="9190" width="9" style="1" customWidth="1"/>
    <col min="9191" max="9191" width="8.42578125" style="1" customWidth="1"/>
    <col min="9192" max="9438" width="9.140625" style="1"/>
    <col min="9439" max="9439" width="20.7109375" style="1" customWidth="1"/>
    <col min="9440" max="9440" width="7.5703125" style="1" customWidth="1"/>
    <col min="9441" max="9441" width="56.7109375" style="1" customWidth="1"/>
    <col min="9442" max="9442" width="17.5703125" style="1" customWidth="1"/>
    <col min="9443" max="9443" width="8.140625" style="1" customWidth="1"/>
    <col min="9444" max="9444" width="8.28515625" style="1" customWidth="1"/>
    <col min="9445" max="9445" width="8.42578125" style="1" customWidth="1"/>
    <col min="9446" max="9446" width="9" style="1" customWidth="1"/>
    <col min="9447" max="9447" width="8.42578125" style="1" customWidth="1"/>
    <col min="9448" max="9694" width="9.140625" style="1"/>
    <col min="9695" max="9695" width="20.7109375" style="1" customWidth="1"/>
    <col min="9696" max="9696" width="7.5703125" style="1" customWidth="1"/>
    <col min="9697" max="9697" width="56.7109375" style="1" customWidth="1"/>
    <col min="9698" max="9698" width="17.5703125" style="1" customWidth="1"/>
    <col min="9699" max="9699" width="8.140625" style="1" customWidth="1"/>
    <col min="9700" max="9700" width="8.28515625" style="1" customWidth="1"/>
    <col min="9701" max="9701" width="8.42578125" style="1" customWidth="1"/>
    <col min="9702" max="9702" width="9" style="1" customWidth="1"/>
    <col min="9703" max="9703" width="8.42578125" style="1" customWidth="1"/>
    <col min="9704" max="9950" width="9.140625" style="1"/>
    <col min="9951" max="9951" width="20.7109375" style="1" customWidth="1"/>
    <col min="9952" max="9952" width="7.5703125" style="1" customWidth="1"/>
    <col min="9953" max="9953" width="56.7109375" style="1" customWidth="1"/>
    <col min="9954" max="9954" width="17.5703125" style="1" customWidth="1"/>
    <col min="9955" max="9955" width="8.140625" style="1" customWidth="1"/>
    <col min="9956" max="9956" width="8.28515625" style="1" customWidth="1"/>
    <col min="9957" max="9957" width="8.42578125" style="1" customWidth="1"/>
    <col min="9958" max="9958" width="9" style="1" customWidth="1"/>
    <col min="9959" max="9959" width="8.42578125" style="1" customWidth="1"/>
    <col min="9960" max="10206" width="9.140625" style="1"/>
    <col min="10207" max="10207" width="20.7109375" style="1" customWidth="1"/>
    <col min="10208" max="10208" width="7.5703125" style="1" customWidth="1"/>
    <col min="10209" max="10209" width="56.7109375" style="1" customWidth="1"/>
    <col min="10210" max="10210" width="17.5703125" style="1" customWidth="1"/>
    <col min="10211" max="10211" width="8.140625" style="1" customWidth="1"/>
    <col min="10212" max="10212" width="8.28515625" style="1" customWidth="1"/>
    <col min="10213" max="10213" width="8.42578125" style="1" customWidth="1"/>
    <col min="10214" max="10214" width="9" style="1" customWidth="1"/>
    <col min="10215" max="10215" width="8.42578125" style="1" customWidth="1"/>
    <col min="10216" max="10462" width="9.140625" style="1"/>
    <col min="10463" max="10463" width="20.7109375" style="1" customWidth="1"/>
    <col min="10464" max="10464" width="7.5703125" style="1" customWidth="1"/>
    <col min="10465" max="10465" width="56.7109375" style="1" customWidth="1"/>
    <col min="10466" max="10466" width="17.5703125" style="1" customWidth="1"/>
    <col min="10467" max="10467" width="8.140625" style="1" customWidth="1"/>
    <col min="10468" max="10468" width="8.28515625" style="1" customWidth="1"/>
    <col min="10469" max="10469" width="8.42578125" style="1" customWidth="1"/>
    <col min="10470" max="10470" width="9" style="1" customWidth="1"/>
    <col min="10471" max="10471" width="8.42578125" style="1" customWidth="1"/>
    <col min="10472" max="10718" width="9.140625" style="1"/>
    <col min="10719" max="10719" width="20.7109375" style="1" customWidth="1"/>
    <col min="10720" max="10720" width="7.5703125" style="1" customWidth="1"/>
    <col min="10721" max="10721" width="56.7109375" style="1" customWidth="1"/>
    <col min="10722" max="10722" width="17.5703125" style="1" customWidth="1"/>
    <col min="10723" max="10723" width="8.140625" style="1" customWidth="1"/>
    <col min="10724" max="10724" width="8.28515625" style="1" customWidth="1"/>
    <col min="10725" max="10725" width="8.42578125" style="1" customWidth="1"/>
    <col min="10726" max="10726" width="9" style="1" customWidth="1"/>
    <col min="10727" max="10727" width="8.42578125" style="1" customWidth="1"/>
    <col min="10728" max="10974" width="9.140625" style="1"/>
    <col min="10975" max="10975" width="20.7109375" style="1" customWidth="1"/>
    <col min="10976" max="10976" width="7.5703125" style="1" customWidth="1"/>
    <col min="10977" max="10977" width="56.7109375" style="1" customWidth="1"/>
    <col min="10978" max="10978" width="17.5703125" style="1" customWidth="1"/>
    <col min="10979" max="10979" width="8.140625" style="1" customWidth="1"/>
    <col min="10980" max="10980" width="8.28515625" style="1" customWidth="1"/>
    <col min="10981" max="10981" width="8.42578125" style="1" customWidth="1"/>
    <col min="10982" max="10982" width="9" style="1" customWidth="1"/>
    <col min="10983" max="10983" width="8.42578125" style="1" customWidth="1"/>
    <col min="10984" max="11230" width="9.140625" style="1"/>
    <col min="11231" max="11231" width="20.7109375" style="1" customWidth="1"/>
    <col min="11232" max="11232" width="7.5703125" style="1" customWidth="1"/>
    <col min="11233" max="11233" width="56.7109375" style="1" customWidth="1"/>
    <col min="11234" max="11234" width="17.5703125" style="1" customWidth="1"/>
    <col min="11235" max="11235" width="8.140625" style="1" customWidth="1"/>
    <col min="11236" max="11236" width="8.28515625" style="1" customWidth="1"/>
    <col min="11237" max="11237" width="8.42578125" style="1" customWidth="1"/>
    <col min="11238" max="11238" width="9" style="1" customWidth="1"/>
    <col min="11239" max="11239" width="8.42578125" style="1" customWidth="1"/>
    <col min="11240" max="11486" width="9.140625" style="1"/>
    <col min="11487" max="11487" width="20.7109375" style="1" customWidth="1"/>
    <col min="11488" max="11488" width="7.5703125" style="1" customWidth="1"/>
    <col min="11489" max="11489" width="56.7109375" style="1" customWidth="1"/>
    <col min="11490" max="11490" width="17.5703125" style="1" customWidth="1"/>
    <col min="11491" max="11491" width="8.140625" style="1" customWidth="1"/>
    <col min="11492" max="11492" width="8.28515625" style="1" customWidth="1"/>
    <col min="11493" max="11493" width="8.42578125" style="1" customWidth="1"/>
    <col min="11494" max="11494" width="9" style="1" customWidth="1"/>
    <col min="11495" max="11495" width="8.42578125" style="1" customWidth="1"/>
    <col min="11496" max="11742" width="9.140625" style="1"/>
    <col min="11743" max="11743" width="20.7109375" style="1" customWidth="1"/>
    <col min="11744" max="11744" width="7.5703125" style="1" customWidth="1"/>
    <col min="11745" max="11745" width="56.7109375" style="1" customWidth="1"/>
    <col min="11746" max="11746" width="17.5703125" style="1" customWidth="1"/>
    <col min="11747" max="11747" width="8.140625" style="1" customWidth="1"/>
    <col min="11748" max="11748" width="8.28515625" style="1" customWidth="1"/>
    <col min="11749" max="11749" width="8.42578125" style="1" customWidth="1"/>
    <col min="11750" max="11750" width="9" style="1" customWidth="1"/>
    <col min="11751" max="11751" width="8.42578125" style="1" customWidth="1"/>
    <col min="11752" max="11998" width="9.140625" style="1"/>
    <col min="11999" max="11999" width="20.7109375" style="1" customWidth="1"/>
    <col min="12000" max="12000" width="7.5703125" style="1" customWidth="1"/>
    <col min="12001" max="12001" width="56.7109375" style="1" customWidth="1"/>
    <col min="12002" max="12002" width="17.5703125" style="1" customWidth="1"/>
    <col min="12003" max="12003" width="8.140625" style="1" customWidth="1"/>
    <col min="12004" max="12004" width="8.28515625" style="1" customWidth="1"/>
    <col min="12005" max="12005" width="8.42578125" style="1" customWidth="1"/>
    <col min="12006" max="12006" width="9" style="1" customWidth="1"/>
    <col min="12007" max="12007" width="8.42578125" style="1" customWidth="1"/>
    <col min="12008" max="12254" width="9.140625" style="1"/>
    <col min="12255" max="12255" width="20.7109375" style="1" customWidth="1"/>
    <col min="12256" max="12256" width="7.5703125" style="1" customWidth="1"/>
    <col min="12257" max="12257" width="56.7109375" style="1" customWidth="1"/>
    <col min="12258" max="12258" width="17.5703125" style="1" customWidth="1"/>
    <col min="12259" max="12259" width="8.140625" style="1" customWidth="1"/>
    <col min="12260" max="12260" width="8.28515625" style="1" customWidth="1"/>
    <col min="12261" max="12261" width="8.42578125" style="1" customWidth="1"/>
    <col min="12262" max="12262" width="9" style="1" customWidth="1"/>
    <col min="12263" max="12263" width="8.42578125" style="1" customWidth="1"/>
    <col min="12264" max="12510" width="9.140625" style="1"/>
    <col min="12511" max="12511" width="20.7109375" style="1" customWidth="1"/>
    <col min="12512" max="12512" width="7.5703125" style="1" customWidth="1"/>
    <col min="12513" max="12513" width="56.7109375" style="1" customWidth="1"/>
    <col min="12514" max="12514" width="17.5703125" style="1" customWidth="1"/>
    <col min="12515" max="12515" width="8.140625" style="1" customWidth="1"/>
    <col min="12516" max="12516" width="8.28515625" style="1" customWidth="1"/>
    <col min="12517" max="12517" width="8.42578125" style="1" customWidth="1"/>
    <col min="12518" max="12518" width="9" style="1" customWidth="1"/>
    <col min="12519" max="12519" width="8.42578125" style="1" customWidth="1"/>
    <col min="12520" max="12766" width="9.140625" style="1"/>
    <col min="12767" max="12767" width="20.7109375" style="1" customWidth="1"/>
    <col min="12768" max="12768" width="7.5703125" style="1" customWidth="1"/>
    <col min="12769" max="12769" width="56.7109375" style="1" customWidth="1"/>
    <col min="12770" max="12770" width="17.5703125" style="1" customWidth="1"/>
    <col min="12771" max="12771" width="8.140625" style="1" customWidth="1"/>
    <col min="12772" max="12772" width="8.28515625" style="1" customWidth="1"/>
    <col min="12773" max="12773" width="8.42578125" style="1" customWidth="1"/>
    <col min="12774" max="12774" width="9" style="1" customWidth="1"/>
    <col min="12775" max="12775" width="8.42578125" style="1" customWidth="1"/>
    <col min="12776" max="13022" width="9.140625" style="1"/>
    <col min="13023" max="13023" width="20.7109375" style="1" customWidth="1"/>
    <col min="13024" max="13024" width="7.5703125" style="1" customWidth="1"/>
    <col min="13025" max="13025" width="56.7109375" style="1" customWidth="1"/>
    <col min="13026" max="13026" width="17.5703125" style="1" customWidth="1"/>
    <col min="13027" max="13027" width="8.140625" style="1" customWidth="1"/>
    <col min="13028" max="13028" width="8.28515625" style="1" customWidth="1"/>
    <col min="13029" max="13029" width="8.42578125" style="1" customWidth="1"/>
    <col min="13030" max="13030" width="9" style="1" customWidth="1"/>
    <col min="13031" max="13031" width="8.42578125" style="1" customWidth="1"/>
    <col min="13032" max="13278" width="9.140625" style="1"/>
    <col min="13279" max="13279" width="20.7109375" style="1" customWidth="1"/>
    <col min="13280" max="13280" width="7.5703125" style="1" customWidth="1"/>
    <col min="13281" max="13281" width="56.7109375" style="1" customWidth="1"/>
    <col min="13282" max="13282" width="17.5703125" style="1" customWidth="1"/>
    <col min="13283" max="13283" width="8.140625" style="1" customWidth="1"/>
    <col min="13284" max="13284" width="8.28515625" style="1" customWidth="1"/>
    <col min="13285" max="13285" width="8.42578125" style="1" customWidth="1"/>
    <col min="13286" max="13286" width="9" style="1" customWidth="1"/>
    <col min="13287" max="13287" width="8.42578125" style="1" customWidth="1"/>
    <col min="13288" max="13534" width="9.140625" style="1"/>
    <col min="13535" max="13535" width="20.7109375" style="1" customWidth="1"/>
    <col min="13536" max="13536" width="7.5703125" style="1" customWidth="1"/>
    <col min="13537" max="13537" width="56.7109375" style="1" customWidth="1"/>
    <col min="13538" max="13538" width="17.5703125" style="1" customWidth="1"/>
    <col min="13539" max="13539" width="8.140625" style="1" customWidth="1"/>
    <col min="13540" max="13540" width="8.28515625" style="1" customWidth="1"/>
    <col min="13541" max="13541" width="8.42578125" style="1" customWidth="1"/>
    <col min="13542" max="13542" width="9" style="1" customWidth="1"/>
    <col min="13543" max="13543" width="8.42578125" style="1" customWidth="1"/>
    <col min="13544" max="13790" width="9.140625" style="1"/>
    <col min="13791" max="13791" width="20.7109375" style="1" customWidth="1"/>
    <col min="13792" max="13792" width="7.5703125" style="1" customWidth="1"/>
    <col min="13793" max="13793" width="56.7109375" style="1" customWidth="1"/>
    <col min="13794" max="13794" width="17.5703125" style="1" customWidth="1"/>
    <col min="13795" max="13795" width="8.140625" style="1" customWidth="1"/>
    <col min="13796" max="13796" width="8.28515625" style="1" customWidth="1"/>
    <col min="13797" max="13797" width="8.42578125" style="1" customWidth="1"/>
    <col min="13798" max="13798" width="9" style="1" customWidth="1"/>
    <col min="13799" max="13799" width="8.42578125" style="1" customWidth="1"/>
    <col min="13800" max="14046" width="9.140625" style="1"/>
    <col min="14047" max="14047" width="20.7109375" style="1" customWidth="1"/>
    <col min="14048" max="14048" width="7.5703125" style="1" customWidth="1"/>
    <col min="14049" max="14049" width="56.7109375" style="1" customWidth="1"/>
    <col min="14050" max="14050" width="17.5703125" style="1" customWidth="1"/>
    <col min="14051" max="14051" width="8.140625" style="1" customWidth="1"/>
    <col min="14052" max="14052" width="8.28515625" style="1" customWidth="1"/>
    <col min="14053" max="14053" width="8.42578125" style="1" customWidth="1"/>
    <col min="14054" max="14054" width="9" style="1" customWidth="1"/>
    <col min="14055" max="14055" width="8.42578125" style="1" customWidth="1"/>
    <col min="14056" max="14302" width="9.140625" style="1"/>
    <col min="14303" max="14303" width="20.7109375" style="1" customWidth="1"/>
    <col min="14304" max="14304" width="7.5703125" style="1" customWidth="1"/>
    <col min="14305" max="14305" width="56.7109375" style="1" customWidth="1"/>
    <col min="14306" max="14306" width="17.5703125" style="1" customWidth="1"/>
    <col min="14307" max="14307" width="8.140625" style="1" customWidth="1"/>
    <col min="14308" max="14308" width="8.28515625" style="1" customWidth="1"/>
    <col min="14309" max="14309" width="8.42578125" style="1" customWidth="1"/>
    <col min="14310" max="14310" width="9" style="1" customWidth="1"/>
    <col min="14311" max="14311" width="8.42578125" style="1" customWidth="1"/>
    <col min="14312" max="14558" width="9.140625" style="1"/>
    <col min="14559" max="14559" width="20.7109375" style="1" customWidth="1"/>
    <col min="14560" max="14560" width="7.5703125" style="1" customWidth="1"/>
    <col min="14561" max="14561" width="56.7109375" style="1" customWidth="1"/>
    <col min="14562" max="14562" width="17.5703125" style="1" customWidth="1"/>
    <col min="14563" max="14563" width="8.140625" style="1" customWidth="1"/>
    <col min="14564" max="14564" width="8.28515625" style="1" customWidth="1"/>
    <col min="14565" max="14565" width="8.42578125" style="1" customWidth="1"/>
    <col min="14566" max="14566" width="9" style="1" customWidth="1"/>
    <col min="14567" max="14567" width="8.42578125" style="1" customWidth="1"/>
    <col min="14568" max="14814" width="9.140625" style="1"/>
    <col min="14815" max="14815" width="20.7109375" style="1" customWidth="1"/>
    <col min="14816" max="14816" width="7.5703125" style="1" customWidth="1"/>
    <col min="14817" max="14817" width="56.7109375" style="1" customWidth="1"/>
    <col min="14818" max="14818" width="17.5703125" style="1" customWidth="1"/>
    <col min="14819" max="14819" width="8.140625" style="1" customWidth="1"/>
    <col min="14820" max="14820" width="8.28515625" style="1" customWidth="1"/>
    <col min="14821" max="14821" width="8.42578125" style="1" customWidth="1"/>
    <col min="14822" max="14822" width="9" style="1" customWidth="1"/>
    <col min="14823" max="14823" width="8.42578125" style="1" customWidth="1"/>
    <col min="14824" max="15070" width="9.140625" style="1"/>
    <col min="15071" max="15071" width="20.7109375" style="1" customWidth="1"/>
    <col min="15072" max="15072" width="7.5703125" style="1" customWidth="1"/>
    <col min="15073" max="15073" width="56.7109375" style="1" customWidth="1"/>
    <col min="15074" max="15074" width="17.5703125" style="1" customWidth="1"/>
    <col min="15075" max="15075" width="8.140625" style="1" customWidth="1"/>
    <col min="15076" max="15076" width="8.28515625" style="1" customWidth="1"/>
    <col min="15077" max="15077" width="8.42578125" style="1" customWidth="1"/>
    <col min="15078" max="15078" width="9" style="1" customWidth="1"/>
    <col min="15079" max="15079" width="8.42578125" style="1" customWidth="1"/>
    <col min="15080" max="15326" width="9.140625" style="1"/>
    <col min="15327" max="15327" width="20.7109375" style="1" customWidth="1"/>
    <col min="15328" max="15328" width="7.5703125" style="1" customWidth="1"/>
    <col min="15329" max="15329" width="56.7109375" style="1" customWidth="1"/>
    <col min="15330" max="15330" width="17.5703125" style="1" customWidth="1"/>
    <col min="15331" max="15331" width="8.140625" style="1" customWidth="1"/>
    <col min="15332" max="15332" width="8.28515625" style="1" customWidth="1"/>
    <col min="15333" max="15333" width="8.42578125" style="1" customWidth="1"/>
    <col min="15334" max="15334" width="9" style="1" customWidth="1"/>
    <col min="15335" max="15335" width="8.42578125" style="1" customWidth="1"/>
    <col min="15336" max="15582" width="9.140625" style="1"/>
    <col min="15583" max="15583" width="20.7109375" style="1" customWidth="1"/>
    <col min="15584" max="15584" width="7.5703125" style="1" customWidth="1"/>
    <col min="15585" max="15585" width="56.7109375" style="1" customWidth="1"/>
    <col min="15586" max="15586" width="17.5703125" style="1" customWidth="1"/>
    <col min="15587" max="15587" width="8.140625" style="1" customWidth="1"/>
    <col min="15588" max="15588" width="8.28515625" style="1" customWidth="1"/>
    <col min="15589" max="15589" width="8.42578125" style="1" customWidth="1"/>
    <col min="15590" max="15590" width="9" style="1" customWidth="1"/>
    <col min="15591" max="15591" width="8.42578125" style="1" customWidth="1"/>
    <col min="15592" max="15838" width="9.140625" style="1"/>
    <col min="15839" max="15839" width="20.7109375" style="1" customWidth="1"/>
    <col min="15840" max="15840" width="7.5703125" style="1" customWidth="1"/>
    <col min="15841" max="15841" width="56.7109375" style="1" customWidth="1"/>
    <col min="15842" max="15842" width="17.5703125" style="1" customWidth="1"/>
    <col min="15843" max="15843" width="8.140625" style="1" customWidth="1"/>
    <col min="15844" max="15844" width="8.28515625" style="1" customWidth="1"/>
    <col min="15845" max="15845" width="8.42578125" style="1" customWidth="1"/>
    <col min="15846" max="15846" width="9" style="1" customWidth="1"/>
    <col min="15847" max="15847" width="8.42578125" style="1" customWidth="1"/>
    <col min="15848" max="16094" width="9.140625" style="1"/>
    <col min="16095" max="16095" width="20.7109375" style="1" customWidth="1"/>
    <col min="16096" max="16096" width="7.5703125" style="1" customWidth="1"/>
    <col min="16097" max="16097" width="56.7109375" style="1" customWidth="1"/>
    <col min="16098" max="16098" width="17.5703125" style="1" customWidth="1"/>
    <col min="16099" max="16099" width="8.140625" style="1" customWidth="1"/>
    <col min="16100" max="16100" width="8.28515625" style="1" customWidth="1"/>
    <col min="16101" max="16101" width="8.42578125" style="1" customWidth="1"/>
    <col min="16102" max="16102" width="9" style="1" customWidth="1"/>
    <col min="16103" max="16103" width="8.42578125" style="1" customWidth="1"/>
    <col min="16104" max="16384" width="9.140625" style="1"/>
  </cols>
  <sheetData>
    <row r="1" spans="1:7">
      <c r="G1" s="2" t="s">
        <v>346</v>
      </c>
    </row>
    <row r="2" spans="1:7">
      <c r="G2" s="2" t="s">
        <v>1</v>
      </c>
    </row>
    <row r="3" spans="1:7">
      <c r="G3" s="2" t="s">
        <v>2</v>
      </c>
    </row>
    <row r="4" spans="1:7">
      <c r="G4" s="2" t="s">
        <v>272</v>
      </c>
    </row>
    <row r="6" spans="1:7" ht="12.75" customHeight="1">
      <c r="E6" s="6"/>
      <c r="F6" s="6"/>
      <c r="G6" s="2" t="s">
        <v>347</v>
      </c>
    </row>
    <row r="7" spans="1:7" ht="12.75" customHeight="1">
      <c r="E7" s="6"/>
      <c r="F7" s="6"/>
      <c r="G7" s="2" t="s">
        <v>4</v>
      </c>
    </row>
    <row r="8" spans="1:7" ht="10.35" customHeight="1">
      <c r="E8" s="6"/>
      <c r="F8" s="6"/>
      <c r="G8" s="2" t="s">
        <v>5</v>
      </c>
    </row>
    <row r="9" spans="1:7" ht="12.75" customHeight="1">
      <c r="E9" s="6"/>
      <c r="F9" s="6"/>
      <c r="G9" s="2" t="s">
        <v>6</v>
      </c>
    </row>
    <row r="10" spans="1:7" ht="12.75" customHeight="1">
      <c r="E10" s="6"/>
      <c r="F10" s="6"/>
      <c r="G10" s="2" t="s">
        <v>7</v>
      </c>
    </row>
    <row r="11" spans="1:7" ht="4.7" customHeight="1">
      <c r="E11" s="6"/>
      <c r="F11" s="6"/>
      <c r="G11" s="6"/>
    </row>
    <row r="12" spans="1:7" ht="33" customHeight="1">
      <c r="A12" s="154" t="s">
        <v>348</v>
      </c>
      <c r="B12" s="154"/>
      <c r="C12" s="154"/>
      <c r="D12" s="154"/>
      <c r="E12" s="154"/>
      <c r="F12" s="154"/>
      <c r="G12" s="154"/>
    </row>
    <row r="13" spans="1:7" ht="4.7" customHeight="1">
      <c r="A13" s="117"/>
      <c r="B13" s="117"/>
      <c r="C13" s="117"/>
      <c r="D13" s="117"/>
      <c r="E13" s="117"/>
      <c r="F13" s="117"/>
      <c r="G13" s="117"/>
    </row>
    <row r="14" spans="1:7" ht="24.75" customHeight="1">
      <c r="A14" s="155" t="s">
        <v>144</v>
      </c>
      <c r="B14" s="140" t="s">
        <v>145</v>
      </c>
      <c r="C14" s="157" t="s">
        <v>146</v>
      </c>
      <c r="D14" s="158" t="s">
        <v>147</v>
      </c>
      <c r="E14" s="158"/>
      <c r="F14" s="158"/>
      <c r="G14" s="158"/>
    </row>
    <row r="15" spans="1:7" ht="33.75">
      <c r="A15" s="156"/>
      <c r="B15" s="140"/>
      <c r="C15" s="157"/>
      <c r="D15" s="62" t="s">
        <v>78</v>
      </c>
      <c r="E15" s="119" t="s">
        <v>148</v>
      </c>
      <c r="F15" s="119" t="s">
        <v>149</v>
      </c>
      <c r="G15" s="119" t="s">
        <v>150</v>
      </c>
    </row>
    <row r="16" spans="1:7">
      <c r="A16" s="111">
        <v>1</v>
      </c>
      <c r="B16" s="111">
        <v>2</v>
      </c>
      <c r="C16" s="111">
        <v>3</v>
      </c>
      <c r="D16" s="111">
        <v>4</v>
      </c>
      <c r="E16" s="111">
        <v>5</v>
      </c>
      <c r="F16" s="111">
        <v>6</v>
      </c>
      <c r="G16" s="111">
        <v>7</v>
      </c>
    </row>
    <row r="17" spans="1:8">
      <c r="A17" s="51">
        <v>1</v>
      </c>
      <c r="B17" s="11" t="s">
        <v>152</v>
      </c>
      <c r="C17" s="63"/>
      <c r="D17" s="146">
        <f>ROUNDUP(11666*1.055,0)</f>
        <v>12308</v>
      </c>
      <c r="E17" s="146" t="s">
        <v>84</v>
      </c>
      <c r="F17" s="146" t="s">
        <v>84</v>
      </c>
      <c r="G17" s="146" t="s">
        <v>84</v>
      </c>
    </row>
    <row r="18" spans="1:8">
      <c r="A18" s="51">
        <v>2</v>
      </c>
      <c r="B18" s="11" t="s">
        <v>154</v>
      </c>
      <c r="C18" s="63"/>
      <c r="D18" s="153"/>
      <c r="E18" s="153"/>
      <c r="F18" s="153"/>
      <c r="G18" s="153"/>
    </row>
    <row r="19" spans="1:8">
      <c r="A19" s="51">
        <v>3</v>
      </c>
      <c r="B19" s="11" t="s">
        <v>158</v>
      </c>
      <c r="C19" s="63"/>
      <c r="D19" s="146">
        <f>ROUNDUP(12728*1.055,0)</f>
        <v>13429</v>
      </c>
      <c r="E19" s="146" t="s">
        <v>84</v>
      </c>
      <c r="F19" s="146" t="s">
        <v>84</v>
      </c>
      <c r="G19" s="146" t="s">
        <v>84</v>
      </c>
    </row>
    <row r="20" spans="1:8">
      <c r="A20" s="51">
        <v>4</v>
      </c>
      <c r="B20" s="109" t="s">
        <v>161</v>
      </c>
      <c r="C20" s="63"/>
      <c r="D20" s="153"/>
      <c r="E20" s="153"/>
      <c r="F20" s="153"/>
      <c r="G20" s="153"/>
    </row>
    <row r="21" spans="1:8">
      <c r="A21" s="51">
        <v>5</v>
      </c>
      <c r="B21" s="66" t="s">
        <v>178</v>
      </c>
      <c r="C21" s="65" t="s">
        <v>177</v>
      </c>
      <c r="D21" s="114">
        <f>ROUNDUP(12866*1.055,0)</f>
        <v>13574</v>
      </c>
      <c r="E21" s="114">
        <f>ROUNDUP(14332*1.055,0)</f>
        <v>15121</v>
      </c>
      <c r="F21" s="114">
        <f>ROUNDUP(15873*1.055,0)</f>
        <v>16747</v>
      </c>
      <c r="G21" s="114">
        <f>ROUNDUP(17670*1.055,0)</f>
        <v>18642</v>
      </c>
    </row>
    <row r="22" spans="1:8">
      <c r="A22" s="51">
        <v>6</v>
      </c>
      <c r="B22" s="109" t="s">
        <v>195</v>
      </c>
      <c r="C22" s="65" t="s">
        <v>165</v>
      </c>
      <c r="D22" s="112">
        <f>ROUNDUP(13533*1.055,0)</f>
        <v>14278</v>
      </c>
      <c r="E22" s="112">
        <f>ROUNDUP(15037*1.055,0)</f>
        <v>15865</v>
      </c>
      <c r="F22" s="112">
        <f>ROUNDUP(16790*1.055,0)</f>
        <v>17714</v>
      </c>
      <c r="G22" s="112" t="s">
        <v>84</v>
      </c>
    </row>
    <row r="23" spans="1:8">
      <c r="A23" s="51">
        <v>7</v>
      </c>
      <c r="B23" s="66" t="s">
        <v>198</v>
      </c>
      <c r="C23" s="65" t="s">
        <v>197</v>
      </c>
      <c r="D23" s="114" t="s">
        <v>84</v>
      </c>
      <c r="E23" s="114">
        <f>ROUNDUP(15037*1.055,0)</f>
        <v>15865</v>
      </c>
      <c r="F23" s="114">
        <f>ROUNDUP(16790*1.055,0)</f>
        <v>17714</v>
      </c>
      <c r="G23" s="114" t="s">
        <v>84</v>
      </c>
    </row>
    <row r="24" spans="1:8">
      <c r="A24" s="51">
        <v>8</v>
      </c>
      <c r="B24" s="109" t="s">
        <v>204</v>
      </c>
      <c r="C24" s="71" t="s">
        <v>205</v>
      </c>
      <c r="D24" s="146">
        <f>ROUNDUP(13934*1.055,0)</f>
        <v>14701</v>
      </c>
      <c r="E24" s="146">
        <f>ROUNDUP(15498*1.055,0)</f>
        <v>16351</v>
      </c>
      <c r="F24" s="146">
        <f>ROUNDUP(17141*1.055,0)</f>
        <v>18084</v>
      </c>
      <c r="G24" s="146">
        <f>ROUNDUP(19106*1.055,0)</f>
        <v>20157</v>
      </c>
      <c r="H24" s="70"/>
    </row>
    <row r="25" spans="1:8">
      <c r="A25" s="51">
        <v>9</v>
      </c>
      <c r="B25" s="109" t="s">
        <v>349</v>
      </c>
      <c r="C25" s="71" t="s">
        <v>205</v>
      </c>
      <c r="D25" s="147"/>
      <c r="E25" s="147"/>
      <c r="F25" s="147"/>
      <c r="G25" s="147"/>
      <c r="H25" s="70"/>
    </row>
    <row r="26" spans="1:8">
      <c r="A26" s="51">
        <v>10</v>
      </c>
      <c r="B26" s="109" t="s">
        <v>363</v>
      </c>
      <c r="C26" s="71" t="s">
        <v>205</v>
      </c>
      <c r="D26" s="147"/>
      <c r="E26" s="147"/>
      <c r="F26" s="147"/>
      <c r="G26" s="147"/>
      <c r="H26" s="70"/>
    </row>
    <row r="27" spans="1:8">
      <c r="A27" s="51">
        <v>11</v>
      </c>
      <c r="B27" s="109" t="s">
        <v>208</v>
      </c>
      <c r="C27" s="71" t="s">
        <v>205</v>
      </c>
      <c r="D27" s="147"/>
      <c r="E27" s="147"/>
      <c r="F27" s="147"/>
      <c r="G27" s="147"/>
      <c r="H27" s="70"/>
    </row>
    <row r="28" spans="1:8">
      <c r="A28" s="51">
        <v>12</v>
      </c>
      <c r="B28" s="109" t="s">
        <v>209</v>
      </c>
      <c r="C28" s="71" t="s">
        <v>205</v>
      </c>
      <c r="D28" s="147"/>
      <c r="E28" s="147"/>
      <c r="F28" s="147"/>
      <c r="G28" s="147"/>
      <c r="H28" s="70"/>
    </row>
    <row r="29" spans="1:8">
      <c r="A29" s="51">
        <v>13</v>
      </c>
      <c r="B29" s="109" t="s">
        <v>350</v>
      </c>
      <c r="C29" s="71" t="s">
        <v>205</v>
      </c>
      <c r="D29" s="153"/>
      <c r="E29" s="153"/>
      <c r="F29" s="153"/>
      <c r="G29" s="153"/>
      <c r="H29" s="70"/>
    </row>
    <row r="30" spans="1:8">
      <c r="A30" s="51">
        <v>14</v>
      </c>
      <c r="B30" s="109" t="s">
        <v>215</v>
      </c>
      <c r="C30" s="71" t="s">
        <v>212</v>
      </c>
      <c r="D30" s="114" t="s">
        <v>84</v>
      </c>
      <c r="E30" s="114">
        <f>ROUNDUP(15498*1.055,0)</f>
        <v>16351</v>
      </c>
      <c r="F30" s="114">
        <f>ROUNDUP(17141*1.055,0)</f>
        <v>18084</v>
      </c>
      <c r="G30" s="114">
        <f>ROUNDUP(19106*1.055,0)</f>
        <v>20157</v>
      </c>
    </row>
    <row r="31" spans="1:8">
      <c r="A31" s="51">
        <v>15</v>
      </c>
      <c r="B31" s="66" t="s">
        <v>227</v>
      </c>
      <c r="C31" s="65"/>
      <c r="D31" s="146">
        <f>ROUNDUP(16790*1.055,0)</f>
        <v>17714</v>
      </c>
      <c r="E31" s="146" t="s">
        <v>84</v>
      </c>
      <c r="F31" s="146" t="s">
        <v>84</v>
      </c>
      <c r="G31" s="146" t="s">
        <v>84</v>
      </c>
    </row>
    <row r="32" spans="1:8">
      <c r="A32" s="51">
        <v>16</v>
      </c>
      <c r="B32" s="66" t="s">
        <v>230</v>
      </c>
      <c r="C32" s="65"/>
      <c r="D32" s="153"/>
      <c r="E32" s="153"/>
      <c r="F32" s="153"/>
      <c r="G32" s="153"/>
    </row>
    <row r="33" spans="1:7">
      <c r="A33" s="51">
        <v>17</v>
      </c>
      <c r="B33" s="109" t="s">
        <v>240</v>
      </c>
      <c r="C33" s="73" t="s">
        <v>197</v>
      </c>
      <c r="D33" s="112" t="s">
        <v>84</v>
      </c>
      <c r="E33" s="112">
        <f>ROUNDUP(16278*1.055,0)</f>
        <v>17174</v>
      </c>
      <c r="F33" s="112">
        <f>ROUNDUP(17927*1.055,0)</f>
        <v>18913</v>
      </c>
      <c r="G33" s="112" t="s">
        <v>84</v>
      </c>
    </row>
    <row r="34" spans="1:7">
      <c r="A34" s="51">
        <v>18</v>
      </c>
      <c r="B34" s="109" t="s">
        <v>351</v>
      </c>
      <c r="C34" s="63"/>
      <c r="D34" s="146">
        <f>ROUNDUP(19121*1.055,0)</f>
        <v>20173</v>
      </c>
      <c r="E34" s="146" t="s">
        <v>84</v>
      </c>
      <c r="F34" s="146" t="s">
        <v>84</v>
      </c>
      <c r="G34" s="146" t="s">
        <v>84</v>
      </c>
    </row>
    <row r="35" spans="1:7">
      <c r="A35" s="51">
        <v>19</v>
      </c>
      <c r="B35" s="109" t="s">
        <v>243</v>
      </c>
      <c r="C35" s="63"/>
      <c r="D35" s="147"/>
      <c r="E35" s="147"/>
      <c r="F35" s="147"/>
      <c r="G35" s="147"/>
    </row>
    <row r="36" spans="1:7">
      <c r="A36" s="51">
        <v>20</v>
      </c>
      <c r="B36" s="109" t="s">
        <v>352</v>
      </c>
      <c r="C36" s="65"/>
      <c r="D36" s="147"/>
      <c r="E36" s="147"/>
      <c r="F36" s="147"/>
      <c r="G36" s="147"/>
    </row>
    <row r="37" spans="1:7">
      <c r="A37" s="51">
        <v>21</v>
      </c>
      <c r="B37" s="109" t="s">
        <v>246</v>
      </c>
      <c r="C37" s="118"/>
      <c r="D37" s="147"/>
      <c r="E37" s="147"/>
      <c r="F37" s="147"/>
      <c r="G37" s="147"/>
    </row>
    <row r="38" spans="1:7">
      <c r="A38" s="67">
        <v>22</v>
      </c>
      <c r="B38" s="120" t="s">
        <v>353</v>
      </c>
      <c r="C38" s="69"/>
      <c r="D38" s="147"/>
      <c r="E38" s="147"/>
      <c r="F38" s="147"/>
      <c r="G38" s="147"/>
    </row>
    <row r="39" spans="1:7">
      <c r="A39" s="100"/>
      <c r="B39" s="100"/>
      <c r="C39" s="101"/>
      <c r="D39" s="102"/>
      <c r="E39" s="102"/>
      <c r="F39" s="102"/>
      <c r="G39" s="102"/>
    </row>
    <row r="40" spans="1:7">
      <c r="A40" s="178" t="s">
        <v>354</v>
      </c>
      <c r="B40" s="178"/>
      <c r="C40" s="178"/>
      <c r="D40" s="178"/>
      <c r="E40" s="178"/>
      <c r="F40" s="178"/>
      <c r="G40" s="178"/>
    </row>
  </sheetData>
  <mergeCells count="26">
    <mergeCell ref="D17:D18"/>
    <mergeCell ref="E17:E18"/>
    <mergeCell ref="F17:F18"/>
    <mergeCell ref="G17:G18"/>
    <mergeCell ref="A12:G12"/>
    <mergeCell ref="A14:A15"/>
    <mergeCell ref="B14:B15"/>
    <mergeCell ref="C14:C15"/>
    <mergeCell ref="D14:G14"/>
    <mergeCell ref="D19:D20"/>
    <mergeCell ref="E19:E20"/>
    <mergeCell ref="F19:F20"/>
    <mergeCell ref="G19:G20"/>
    <mergeCell ref="D24:D29"/>
    <mergeCell ref="E24:E29"/>
    <mergeCell ref="F24:F29"/>
    <mergeCell ref="G24:G29"/>
    <mergeCell ref="A40:G40"/>
    <mergeCell ref="D31:D32"/>
    <mergeCell ref="E31:E32"/>
    <mergeCell ref="F31:F32"/>
    <mergeCell ref="G31:G32"/>
    <mergeCell ref="D34:D38"/>
    <mergeCell ref="E34:E38"/>
    <mergeCell ref="F34:F38"/>
    <mergeCell ref="G34:G38"/>
  </mergeCells>
  <printOptions horizontalCentered="1"/>
  <pageMargins left="0" right="0" top="0.78740157480314965" bottom="0" header="0.51181102362204722" footer="0.51181102362204722"/>
  <pageSetup paperSize="9" scale="95" firstPageNumber="18" fitToHeight="0" orientation="landscape" useFirstPageNumber="1" verticalDpi="0" r:id="rId1"/>
  <headerFooter alignWithMargins="0">
    <oddHeader>&amp;C&amp;"Times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1-1 раб культ</vt:lpstr>
      <vt:lpstr>2-2 общеотр. культ</vt:lpstr>
      <vt:lpstr>3-3 культура</vt:lpstr>
      <vt:lpstr>4-4 раб обр</vt:lpstr>
      <vt:lpstr>5-5 общеотр. образ</vt:lpstr>
      <vt:lpstr>6-6 образ школ</vt:lpstr>
      <vt:lpstr>7-15 культ в образ</vt:lpstr>
      <vt:lpstr>'2-2 общеотр. культ'!Заголовки_для_печати</vt:lpstr>
      <vt:lpstr>'3-3 культура'!Заголовки_для_печати</vt:lpstr>
      <vt:lpstr>'4-4 раб обр'!Заголовки_для_печати</vt:lpstr>
      <vt:lpstr>'5-5 общеотр. образ'!Заголовки_для_печати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yamshikova.oi</dc:creator>
  <cp:lastModifiedBy>karamysheva.ea</cp:lastModifiedBy>
  <cp:lastPrinted>2024-12-17T07:11:27Z</cp:lastPrinted>
  <dcterms:created xsi:type="dcterms:W3CDTF">2022-11-25T05:45:39Z</dcterms:created>
  <dcterms:modified xsi:type="dcterms:W3CDTF">2024-12-19T07:21:35Z</dcterms:modified>
</cp:coreProperties>
</file>