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31AF32A7-87D7-4F6F-AE8D-90DFD4BB78D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1.переченьПБДД" sheetId="5" r:id="rId1"/>
    <sheet name="2.переченьМРАД" sheetId="1" r:id="rId2"/>
    <sheet name="3.меропр." sheetId="4" r:id="rId3"/>
    <sheet name="4.индикаторы" sheetId="8" r:id="rId4"/>
    <sheet name="конечные результаты" sheetId="9" r:id="rId5"/>
    <sheet name="Лист1" sheetId="10" r:id="rId6"/>
  </sheets>
  <definedNames>
    <definedName name="_xlnm._FilterDatabase" localSheetId="0" hidden="1">'1.переченьПБДД'!#REF!</definedName>
    <definedName name="_xlnm._FilterDatabase" localSheetId="2" hidden="1">'3.меропр.'!#REF!</definedName>
    <definedName name="Aс1">'3.меропр.'!$AD$1</definedName>
    <definedName name="_xlnm.Print_Titles" localSheetId="0">'1.переченьПБДД'!$3:$6</definedName>
    <definedName name="_xlnm.Print_Titles" localSheetId="1">'2.переченьМРАД'!$9:$12</definedName>
    <definedName name="_xlnm.Print_Titles" localSheetId="2">'3.меропр.'!$7:$10</definedName>
    <definedName name="_xlnm.Print_Titles" localSheetId="3">'4.индикаторы'!$5:$9</definedName>
    <definedName name="_xlnm.Print_Area" localSheetId="0">'1.переченьПБДД'!$A$1:$AB$132</definedName>
    <definedName name="_xlnm.Print_Area" localSheetId="1">'2.переченьМРАД'!$A$1:$AC$389</definedName>
    <definedName name="_xlnm.Print_Area" localSheetId="2">'3.меропр.'!$A$1:$AD$65</definedName>
    <definedName name="_xlnm.Print_Area" localSheetId="3">'4.индикаторы'!$A$1:$J$69</definedName>
  </definedNames>
  <calcPr calcId="181029"/>
</workbook>
</file>

<file path=xl/calcChain.xml><?xml version="1.0" encoding="utf-8"?>
<calcChain xmlns="http://schemas.openxmlformats.org/spreadsheetml/2006/main">
  <c r="H7" i="5" l="1"/>
  <c r="F137" i="1" l="1"/>
  <c r="K17" i="4" l="1"/>
  <c r="F17" i="4"/>
  <c r="F16" i="4" l="1"/>
  <c r="E130" i="5"/>
  <c r="F130" i="5"/>
  <c r="G130" i="5"/>
  <c r="I130" i="5"/>
  <c r="J130" i="5"/>
  <c r="K130" i="5"/>
  <c r="L130" i="5"/>
  <c r="N130" i="5"/>
  <c r="O130" i="5"/>
  <c r="P130" i="5"/>
  <c r="Q130" i="5"/>
  <c r="T130" i="5"/>
  <c r="U130" i="5"/>
  <c r="V130" i="5"/>
  <c r="Y130" i="5"/>
  <c r="Z130" i="5"/>
  <c r="AA130" i="5"/>
  <c r="AH52" i="4"/>
  <c r="AG52" i="4"/>
  <c r="AF52" i="4"/>
  <c r="AH50" i="4"/>
  <c r="AG50" i="4"/>
  <c r="AF50" i="4"/>
  <c r="AH49" i="4"/>
  <c r="AG49" i="4"/>
  <c r="AF49" i="4"/>
  <c r="D7" i="5"/>
  <c r="D130" i="5" s="1"/>
  <c r="N68" i="1"/>
  <c r="F63" i="1"/>
  <c r="K68" i="1" l="1"/>
  <c r="K99" i="1"/>
  <c r="N101" i="1" l="1"/>
  <c r="M100" i="1"/>
  <c r="N100" i="1"/>
  <c r="M98" i="1"/>
  <c r="N98" i="1"/>
  <c r="M97" i="1"/>
  <c r="N97" i="1"/>
  <c r="M96" i="1"/>
  <c r="N96" i="1"/>
  <c r="N95" i="1"/>
  <c r="M95" i="1"/>
  <c r="S101" i="1" l="1"/>
  <c r="R101" i="1"/>
  <c r="S99" i="1"/>
  <c r="R99" i="1"/>
  <c r="I76" i="1"/>
  <c r="H76" i="1"/>
  <c r="AC81" i="1" l="1"/>
  <c r="AB81" i="1"/>
  <c r="U82" i="1" l="1"/>
  <c r="X81" i="1"/>
  <c r="W81" i="1"/>
  <c r="Z80" i="1"/>
  <c r="AC79" i="1"/>
  <c r="AB79" i="1"/>
  <c r="U78" i="1" l="1"/>
  <c r="D78" i="1" s="1"/>
  <c r="S72" i="1" l="1"/>
  <c r="R72" i="1"/>
  <c r="I70" i="1" l="1"/>
  <c r="H70" i="1"/>
  <c r="U64" i="1"/>
  <c r="P64" i="1"/>
  <c r="P63" i="1"/>
  <c r="P61" i="1"/>
  <c r="D53" i="1"/>
  <c r="C55" i="1"/>
  <c r="C54" i="1"/>
  <c r="C53" i="1"/>
  <c r="E52" i="1"/>
  <c r="F52" i="1"/>
  <c r="G52" i="1"/>
  <c r="H52" i="1"/>
  <c r="I52" i="1"/>
  <c r="J52" i="1"/>
  <c r="K52" i="1"/>
  <c r="L52" i="1"/>
  <c r="M52" i="1"/>
  <c r="N52" i="1"/>
  <c r="O52" i="1"/>
  <c r="Q52" i="1"/>
  <c r="T52" i="1"/>
  <c r="U52" i="1"/>
  <c r="V52" i="1"/>
  <c r="W52" i="1"/>
  <c r="X52" i="1"/>
  <c r="Y52" i="1"/>
  <c r="Z52" i="1"/>
  <c r="AA52" i="1"/>
  <c r="AB52" i="1"/>
  <c r="AC52" i="1"/>
  <c r="P55" i="1"/>
  <c r="D55" i="1" s="1"/>
  <c r="P54" i="1"/>
  <c r="D54" i="1" s="1"/>
  <c r="S53" i="1"/>
  <c r="S52" i="1" s="1"/>
  <c r="R53" i="1"/>
  <c r="R52" i="1" s="1"/>
  <c r="P51" i="1"/>
  <c r="P50" i="1"/>
  <c r="P52" i="1" l="1"/>
  <c r="D52" i="1" s="1"/>
  <c r="U47" i="1"/>
  <c r="U46" i="1"/>
  <c r="X45" i="1"/>
  <c r="W45" i="1"/>
  <c r="S35" i="1"/>
  <c r="R35" i="1"/>
  <c r="P33" i="1"/>
  <c r="P32" i="1"/>
  <c r="S31" i="1"/>
  <c r="R31" i="1"/>
  <c r="J26" i="1"/>
  <c r="L26" i="1"/>
  <c r="N26" i="1"/>
  <c r="K26" i="1"/>
  <c r="G26" i="1"/>
  <c r="H26" i="1"/>
  <c r="I26" i="1"/>
  <c r="P29" i="1"/>
  <c r="P28" i="1"/>
  <c r="S27" i="1"/>
  <c r="R27" i="1"/>
  <c r="U25" i="1"/>
  <c r="U24" i="1"/>
  <c r="X23" i="1"/>
  <c r="W23" i="1"/>
  <c r="C52" i="1" l="1"/>
  <c r="N19" i="1"/>
  <c r="M19" i="1"/>
  <c r="S15" i="1" l="1"/>
  <c r="R15" i="1"/>
  <c r="F22" i="1" l="1"/>
  <c r="G22" i="1"/>
  <c r="H22" i="1"/>
  <c r="I22" i="1"/>
  <c r="L22" i="1"/>
  <c r="M22" i="1"/>
  <c r="O22" i="1"/>
  <c r="P22" i="1"/>
  <c r="Q22" i="1"/>
  <c r="R22" i="1"/>
  <c r="S22" i="1"/>
  <c r="T22" i="1"/>
  <c r="U22" i="1"/>
  <c r="V22" i="1"/>
  <c r="W22" i="1"/>
  <c r="X22" i="1"/>
  <c r="AA22" i="1"/>
  <c r="E22" i="1"/>
  <c r="C20" i="1"/>
  <c r="C19" i="1"/>
  <c r="R18" i="1"/>
  <c r="S18" i="1"/>
  <c r="T18" i="1"/>
  <c r="U18" i="1"/>
  <c r="V18" i="1"/>
  <c r="W18" i="1"/>
  <c r="X18" i="1"/>
  <c r="Y18" i="1"/>
  <c r="Z18" i="1"/>
  <c r="AA18" i="1"/>
  <c r="AB18" i="1"/>
  <c r="AC18" i="1"/>
  <c r="F18" i="1"/>
  <c r="G18" i="1"/>
  <c r="H18" i="1"/>
  <c r="I18" i="1"/>
  <c r="J18" i="1"/>
  <c r="L18" i="1"/>
  <c r="O18" i="1"/>
  <c r="P18" i="1"/>
  <c r="Q18" i="1"/>
  <c r="E21" i="1"/>
  <c r="E18" i="1" s="1"/>
  <c r="C15" i="1"/>
  <c r="C16" i="1"/>
  <c r="C17" i="1"/>
  <c r="G14" i="1"/>
  <c r="H14" i="1"/>
  <c r="I14" i="1"/>
  <c r="J14" i="1"/>
  <c r="L14" i="1"/>
  <c r="M14" i="1"/>
  <c r="N14" i="1"/>
  <c r="O14" i="1"/>
  <c r="Q14" i="1"/>
  <c r="R14" i="1"/>
  <c r="S14" i="1"/>
  <c r="T14" i="1"/>
  <c r="V14" i="1"/>
  <c r="W14" i="1"/>
  <c r="X14" i="1"/>
  <c r="Y14" i="1"/>
  <c r="AA14" i="1"/>
  <c r="AB14" i="1"/>
  <c r="AC14" i="1"/>
  <c r="E14" i="1"/>
  <c r="C18" i="1" l="1"/>
  <c r="C21" i="1"/>
  <c r="C14" i="1"/>
  <c r="F60" i="1"/>
  <c r="F59" i="1"/>
  <c r="D59" i="1" s="1"/>
  <c r="AB44" i="1"/>
  <c r="AC44" i="1"/>
  <c r="T44" i="1"/>
  <c r="U44" i="1"/>
  <c r="U56" i="1" s="1"/>
  <c r="V44" i="1"/>
  <c r="W44" i="1"/>
  <c r="X44" i="1"/>
  <c r="Y44" i="1"/>
  <c r="Z44" i="1"/>
  <c r="AA44" i="1"/>
  <c r="E44" i="1"/>
  <c r="F44" i="1"/>
  <c r="G44" i="1"/>
  <c r="H44" i="1"/>
  <c r="I44" i="1"/>
  <c r="J44" i="1"/>
  <c r="L44" i="1"/>
  <c r="O44" i="1"/>
  <c r="P44" i="1"/>
  <c r="Q44" i="1"/>
  <c r="K47" i="1"/>
  <c r="D47" i="1" s="1"/>
  <c r="E48" i="1"/>
  <c r="F48" i="1"/>
  <c r="G48" i="1"/>
  <c r="H48" i="1"/>
  <c r="I48" i="1"/>
  <c r="J48" i="1"/>
  <c r="L48" i="1"/>
  <c r="O48" i="1"/>
  <c r="Q48" i="1"/>
  <c r="S48" i="1"/>
  <c r="T48" i="1"/>
  <c r="V48" i="1"/>
  <c r="W48" i="1"/>
  <c r="X48" i="1"/>
  <c r="Y48" i="1"/>
  <c r="Z48" i="1"/>
  <c r="AA48" i="1"/>
  <c r="AB48" i="1"/>
  <c r="AC48" i="1"/>
  <c r="T30" i="1"/>
  <c r="U30" i="1"/>
  <c r="V30" i="1"/>
  <c r="W30" i="1"/>
  <c r="X30" i="1"/>
  <c r="Y30" i="1"/>
  <c r="Z30" i="1"/>
  <c r="AA30" i="1"/>
  <c r="AB30" i="1"/>
  <c r="AC30" i="1"/>
  <c r="L30" i="1"/>
  <c r="O30" i="1"/>
  <c r="P30" i="1"/>
  <c r="Q30" i="1"/>
  <c r="R30" i="1"/>
  <c r="S30" i="1"/>
  <c r="E30" i="1"/>
  <c r="F30" i="1"/>
  <c r="G30" i="1"/>
  <c r="H30" i="1"/>
  <c r="I30" i="1"/>
  <c r="J30" i="1"/>
  <c r="D33" i="1"/>
  <c r="K51" i="1"/>
  <c r="D51" i="1" s="1"/>
  <c r="G66" i="1"/>
  <c r="H66" i="1"/>
  <c r="I66" i="1"/>
  <c r="J66" i="1"/>
  <c r="L66" i="1"/>
  <c r="M66" i="1"/>
  <c r="O66" i="1"/>
  <c r="Q66" i="1"/>
  <c r="R66" i="1"/>
  <c r="S66" i="1"/>
  <c r="T66" i="1"/>
  <c r="V66" i="1"/>
  <c r="W66" i="1"/>
  <c r="X66" i="1"/>
  <c r="Y66" i="1"/>
  <c r="AA66" i="1"/>
  <c r="AB66" i="1"/>
  <c r="AC66" i="1"/>
  <c r="E66" i="1"/>
  <c r="D60" i="1"/>
  <c r="O56" i="1" l="1"/>
  <c r="H56" i="1"/>
  <c r="AA56" i="1"/>
  <c r="W56" i="1"/>
  <c r="AC56" i="1"/>
  <c r="J56" i="1"/>
  <c r="F56" i="1"/>
  <c r="L56" i="1"/>
  <c r="G56" i="1"/>
  <c r="Z56" i="1"/>
  <c r="V56" i="1"/>
  <c r="AB56" i="1"/>
  <c r="Q56" i="1"/>
  <c r="Y56" i="1"/>
  <c r="I56" i="1"/>
  <c r="E56" i="1"/>
  <c r="X56" i="1"/>
  <c r="T56" i="1"/>
  <c r="K385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2" i="1"/>
  <c r="K311" i="1"/>
  <c r="K310" i="1"/>
  <c r="K309" i="1"/>
  <c r="K308" i="1"/>
  <c r="K307" i="1"/>
  <c r="K305" i="1"/>
  <c r="K304" i="1"/>
  <c r="K303" i="1"/>
  <c r="K302" i="1"/>
  <c r="K301" i="1"/>
  <c r="K299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3" i="1"/>
  <c r="K272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37" i="1"/>
  <c r="K136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94" i="1"/>
  <c r="K93" i="1"/>
  <c r="K92" i="1"/>
  <c r="K91" i="1"/>
  <c r="K90" i="1"/>
  <c r="K89" i="1"/>
  <c r="K88" i="1"/>
  <c r="K87" i="1"/>
  <c r="K86" i="1"/>
  <c r="K83" i="1"/>
  <c r="K77" i="1"/>
  <c r="K76" i="1"/>
  <c r="K75" i="1"/>
  <c r="K74" i="1"/>
  <c r="K73" i="1"/>
  <c r="K72" i="1"/>
  <c r="K71" i="1"/>
  <c r="K70" i="1"/>
  <c r="AD68" i="1"/>
  <c r="AE68" i="1" s="1"/>
  <c r="K65" i="1"/>
  <c r="K64" i="1"/>
  <c r="K63" i="1"/>
  <c r="K62" i="1"/>
  <c r="K61" i="1"/>
  <c r="K41" i="1"/>
  <c r="K40" i="1"/>
  <c r="K39" i="1"/>
  <c r="K37" i="1"/>
  <c r="K36" i="1"/>
  <c r="K17" i="1"/>
  <c r="K16" i="1"/>
  <c r="K15" i="1"/>
  <c r="P52" i="4"/>
  <c r="P50" i="4"/>
  <c r="K80" i="1"/>
  <c r="N133" i="1"/>
  <c r="K133" i="1" s="1"/>
  <c r="C79" i="1"/>
  <c r="C80" i="1"/>
  <c r="C81" i="1"/>
  <c r="C82" i="1"/>
  <c r="Y23" i="1"/>
  <c r="Y22" i="1" s="1"/>
  <c r="AC25" i="1"/>
  <c r="AC24" i="1"/>
  <c r="AB23" i="1"/>
  <c r="AB22" i="1" s="1"/>
  <c r="AC23" i="1"/>
  <c r="K82" i="1"/>
  <c r="D82" i="1" s="1"/>
  <c r="K35" i="1"/>
  <c r="K50" i="1"/>
  <c r="D50" i="1" s="1"/>
  <c r="K46" i="1"/>
  <c r="K32" i="1"/>
  <c r="K21" i="1"/>
  <c r="D21" i="1" s="1"/>
  <c r="K20" i="1"/>
  <c r="D20" i="1" s="1"/>
  <c r="N58" i="1"/>
  <c r="M49" i="1"/>
  <c r="M48" i="1" s="1"/>
  <c r="M45" i="1"/>
  <c r="M44" i="1" s="1"/>
  <c r="M31" i="1"/>
  <c r="M30" i="1" s="1"/>
  <c r="M27" i="1"/>
  <c r="M26" i="1" s="1"/>
  <c r="N132" i="1"/>
  <c r="N69" i="1"/>
  <c r="I133" i="1"/>
  <c r="I134" i="1" s="1"/>
  <c r="AA134" i="1"/>
  <c r="Y134" i="1"/>
  <c r="V134" i="1"/>
  <c r="T134" i="1"/>
  <c r="Q134" i="1"/>
  <c r="O134" i="1"/>
  <c r="L134" i="1"/>
  <c r="J134" i="1"/>
  <c r="H134" i="1"/>
  <c r="G134" i="1"/>
  <c r="E134" i="1"/>
  <c r="C133" i="1"/>
  <c r="C88" i="1"/>
  <c r="AC32" i="4"/>
  <c r="AB32" i="4"/>
  <c r="AA32" i="4"/>
  <c r="X32" i="4"/>
  <c r="W32" i="4"/>
  <c r="V32" i="4"/>
  <c r="S32" i="4"/>
  <c r="R32" i="4"/>
  <c r="Q32" i="4"/>
  <c r="K32" i="4"/>
  <c r="F32" i="4"/>
  <c r="AC382" i="1"/>
  <c r="Z382" i="1" s="1"/>
  <c r="AC381" i="1"/>
  <c r="Z381" i="1" s="1"/>
  <c r="AC379" i="1"/>
  <c r="Z379" i="1" s="1"/>
  <c r="AC373" i="1"/>
  <c r="Z373" i="1" s="1"/>
  <c r="AC372" i="1"/>
  <c r="Z372" i="1" s="1"/>
  <c r="AC268" i="1"/>
  <c r="Z268" i="1" s="1"/>
  <c r="AC267" i="1"/>
  <c r="Z267" i="1" s="1"/>
  <c r="AC261" i="1"/>
  <c r="Z261" i="1" s="1"/>
  <c r="AC260" i="1"/>
  <c r="Z260" i="1" s="1"/>
  <c r="AC257" i="1"/>
  <c r="Z257" i="1" s="1"/>
  <c r="AC254" i="1"/>
  <c r="Z254" i="1" s="1"/>
  <c r="AC250" i="1"/>
  <c r="Z250" i="1" s="1"/>
  <c r="AC248" i="1"/>
  <c r="Z248" i="1" s="1"/>
  <c r="AC245" i="1"/>
  <c r="Z245" i="1" s="1"/>
  <c r="AC244" i="1"/>
  <c r="Z244" i="1" s="1"/>
  <c r="AC240" i="1"/>
  <c r="Z240" i="1" s="1"/>
  <c r="AC239" i="1"/>
  <c r="Z239" i="1" s="1"/>
  <c r="AC238" i="1"/>
  <c r="Z238" i="1" s="1"/>
  <c r="AC237" i="1"/>
  <c r="Z237" i="1" s="1"/>
  <c r="AC236" i="1"/>
  <c r="Z236" i="1" s="1"/>
  <c r="AC235" i="1"/>
  <c r="Z235" i="1" s="1"/>
  <c r="AC232" i="1"/>
  <c r="Z232" i="1" s="1"/>
  <c r="AC231" i="1"/>
  <c r="Z231" i="1" s="1"/>
  <c r="AC229" i="1"/>
  <c r="Z229" i="1" s="1"/>
  <c r="AC224" i="1"/>
  <c r="Z224" i="1" s="1"/>
  <c r="AC223" i="1"/>
  <c r="Z223" i="1" s="1"/>
  <c r="AC214" i="1"/>
  <c r="Z214" i="1" s="1"/>
  <c r="AC212" i="1"/>
  <c r="Z212" i="1" s="1"/>
  <c r="AC211" i="1"/>
  <c r="Z211" i="1" s="1"/>
  <c r="AC210" i="1"/>
  <c r="Z210" i="1" s="1"/>
  <c r="AC207" i="1"/>
  <c r="Z207" i="1" s="1"/>
  <c r="AC201" i="1"/>
  <c r="Z201" i="1" s="1"/>
  <c r="AC200" i="1"/>
  <c r="Z200" i="1" s="1"/>
  <c r="AC197" i="1"/>
  <c r="Z197" i="1" s="1"/>
  <c r="AC192" i="1"/>
  <c r="AC191" i="1"/>
  <c r="Z191" i="1" s="1"/>
  <c r="X301" i="1"/>
  <c r="X300" i="1" s="1"/>
  <c r="X189" i="1"/>
  <c r="U189" i="1" s="1"/>
  <c r="X187" i="1"/>
  <c r="U187" i="1" s="1"/>
  <c r="X186" i="1"/>
  <c r="U186" i="1" s="1"/>
  <c r="X184" i="1"/>
  <c r="U184" i="1" s="1"/>
  <c r="X183" i="1"/>
  <c r="U183" i="1" s="1"/>
  <c r="X180" i="1"/>
  <c r="U180" i="1" s="1"/>
  <c r="X179" i="1"/>
  <c r="U179" i="1" s="1"/>
  <c r="X176" i="1"/>
  <c r="U176" i="1" s="1"/>
  <c r="X174" i="1"/>
  <c r="U174" i="1" s="1"/>
  <c r="X173" i="1"/>
  <c r="U173" i="1" s="1"/>
  <c r="X170" i="1"/>
  <c r="U170" i="1" s="1"/>
  <c r="X169" i="1"/>
  <c r="U169" i="1" s="1"/>
  <c r="X167" i="1"/>
  <c r="U167" i="1" s="1"/>
  <c r="X164" i="1"/>
  <c r="U164" i="1" s="1"/>
  <c r="X162" i="1"/>
  <c r="U162" i="1" s="1"/>
  <c r="X157" i="1"/>
  <c r="U157" i="1" s="1"/>
  <c r="X156" i="1"/>
  <c r="U156" i="1" s="1"/>
  <c r="X149" i="1"/>
  <c r="U149" i="1" s="1"/>
  <c r="X148" i="1"/>
  <c r="U148" i="1" s="1"/>
  <c r="X147" i="1"/>
  <c r="U147" i="1" s="1"/>
  <c r="X145" i="1"/>
  <c r="U145" i="1" s="1"/>
  <c r="X144" i="1"/>
  <c r="U144" i="1" s="1"/>
  <c r="X142" i="1"/>
  <c r="U142" i="1" s="1"/>
  <c r="S368" i="1"/>
  <c r="S364" i="1" s="1"/>
  <c r="O368" i="1"/>
  <c r="C368" i="1" s="1"/>
  <c r="O360" i="1"/>
  <c r="C360" i="1" s="1"/>
  <c r="O357" i="1"/>
  <c r="C357" i="1" s="1"/>
  <c r="O356" i="1"/>
  <c r="C356" i="1" s="1"/>
  <c r="O355" i="1"/>
  <c r="C355" i="1" s="1"/>
  <c r="O354" i="1"/>
  <c r="C354" i="1" s="1"/>
  <c r="O353" i="1"/>
  <c r="C353" i="1" s="1"/>
  <c r="O347" i="1"/>
  <c r="C347" i="1" s="1"/>
  <c r="O345" i="1"/>
  <c r="C345" i="1" s="1"/>
  <c r="O342" i="1"/>
  <c r="C342" i="1" s="1"/>
  <c r="O341" i="1"/>
  <c r="C341" i="1" s="1"/>
  <c r="O340" i="1"/>
  <c r="C340" i="1" s="1"/>
  <c r="O335" i="1"/>
  <c r="C335" i="1" s="1"/>
  <c r="O334" i="1"/>
  <c r="C334" i="1" s="1"/>
  <c r="O333" i="1"/>
  <c r="C333" i="1" s="1"/>
  <c r="O332" i="1"/>
  <c r="C332" i="1" s="1"/>
  <c r="O327" i="1"/>
  <c r="C327" i="1" s="1"/>
  <c r="O322" i="1"/>
  <c r="C322" i="1" s="1"/>
  <c r="Y382" i="1"/>
  <c r="C382" i="1" s="1"/>
  <c r="Y381" i="1"/>
  <c r="C381" i="1" s="1"/>
  <c r="Y379" i="1"/>
  <c r="C379" i="1" s="1"/>
  <c r="Y373" i="1"/>
  <c r="C373" i="1" s="1"/>
  <c r="Y372" i="1"/>
  <c r="C372" i="1" s="1"/>
  <c r="Y268" i="1"/>
  <c r="C268" i="1" s="1"/>
  <c r="Y267" i="1"/>
  <c r="C267" i="1" s="1"/>
  <c r="Y261" i="1"/>
  <c r="C261" i="1" s="1"/>
  <c r="Y260" i="1"/>
  <c r="C260" i="1" s="1"/>
  <c r="Y257" i="1"/>
  <c r="C257" i="1" s="1"/>
  <c r="Y254" i="1"/>
  <c r="C254" i="1" s="1"/>
  <c r="Y250" i="1"/>
  <c r="C250" i="1" s="1"/>
  <c r="Y248" i="1"/>
  <c r="C248" i="1" s="1"/>
  <c r="Y245" i="1"/>
  <c r="C245" i="1" s="1"/>
  <c r="Y244" i="1"/>
  <c r="C244" i="1" s="1"/>
  <c r="Y240" i="1"/>
  <c r="C240" i="1" s="1"/>
  <c r="Y239" i="1"/>
  <c r="C239" i="1" s="1"/>
  <c r="Y238" i="1"/>
  <c r="C238" i="1" s="1"/>
  <c r="Y237" i="1"/>
  <c r="C237" i="1" s="1"/>
  <c r="Y236" i="1"/>
  <c r="C236" i="1" s="1"/>
  <c r="Y235" i="1"/>
  <c r="C235" i="1" s="1"/>
  <c r="Y232" i="1"/>
  <c r="C232" i="1" s="1"/>
  <c r="Y231" i="1"/>
  <c r="C231" i="1" s="1"/>
  <c r="Y229" i="1"/>
  <c r="C229" i="1" s="1"/>
  <c r="Y224" i="1"/>
  <c r="C224" i="1" s="1"/>
  <c r="Y223" i="1"/>
  <c r="C223" i="1" s="1"/>
  <c r="Y214" i="1"/>
  <c r="C214" i="1" s="1"/>
  <c r="Y212" i="1"/>
  <c r="C212" i="1" s="1"/>
  <c r="Y211" i="1"/>
  <c r="C211" i="1" s="1"/>
  <c r="Y210" i="1"/>
  <c r="C210" i="1" s="1"/>
  <c r="Y207" i="1"/>
  <c r="C207" i="1" s="1"/>
  <c r="Y201" i="1"/>
  <c r="C201" i="1" s="1"/>
  <c r="Y200" i="1"/>
  <c r="C200" i="1" s="1"/>
  <c r="Y197" i="1"/>
  <c r="C197" i="1" s="1"/>
  <c r="Y192" i="1"/>
  <c r="C192" i="1" s="1"/>
  <c r="Y191" i="1"/>
  <c r="T301" i="1"/>
  <c r="C301" i="1" s="1"/>
  <c r="T162" i="1"/>
  <c r="C162" i="1" s="1"/>
  <c r="T189" i="1"/>
  <c r="C189" i="1" s="1"/>
  <c r="T187" i="1"/>
  <c r="C187" i="1" s="1"/>
  <c r="T186" i="1"/>
  <c r="C186" i="1" s="1"/>
  <c r="T184" i="1"/>
  <c r="C184" i="1" s="1"/>
  <c r="T183" i="1"/>
  <c r="C183" i="1" s="1"/>
  <c r="T180" i="1"/>
  <c r="C180" i="1" s="1"/>
  <c r="T179" i="1"/>
  <c r="C179" i="1" s="1"/>
  <c r="T176" i="1"/>
  <c r="C176" i="1" s="1"/>
  <c r="T174" i="1"/>
  <c r="C174" i="1" s="1"/>
  <c r="T173" i="1"/>
  <c r="C173" i="1" s="1"/>
  <c r="T170" i="1"/>
  <c r="C170" i="1" s="1"/>
  <c r="T169" i="1"/>
  <c r="C169" i="1" s="1"/>
  <c r="T167" i="1"/>
  <c r="C167" i="1" s="1"/>
  <c r="T164" i="1"/>
  <c r="C164" i="1" s="1"/>
  <c r="T157" i="1"/>
  <c r="C157" i="1" s="1"/>
  <c r="T156" i="1"/>
  <c r="C156" i="1" s="1"/>
  <c r="T149" i="1"/>
  <c r="C149" i="1" s="1"/>
  <c r="T148" i="1"/>
  <c r="C148" i="1" s="1"/>
  <c r="T147" i="1"/>
  <c r="C147" i="1" s="1"/>
  <c r="T145" i="1"/>
  <c r="C145" i="1" s="1"/>
  <c r="T144" i="1"/>
  <c r="T142" i="1"/>
  <c r="C142" i="1" s="1"/>
  <c r="U272" i="1"/>
  <c r="U273" i="1"/>
  <c r="C385" i="1"/>
  <c r="C376" i="1"/>
  <c r="C377" i="1"/>
  <c r="C378" i="1"/>
  <c r="C380" i="1"/>
  <c r="C383" i="1"/>
  <c r="C366" i="1"/>
  <c r="C367" i="1"/>
  <c r="C369" i="1"/>
  <c r="C370" i="1"/>
  <c r="C371" i="1"/>
  <c r="C374" i="1"/>
  <c r="C375" i="1"/>
  <c r="C365" i="1"/>
  <c r="C315" i="1"/>
  <c r="C316" i="1"/>
  <c r="C317" i="1"/>
  <c r="C318" i="1"/>
  <c r="C319" i="1"/>
  <c r="C320" i="1"/>
  <c r="C321" i="1"/>
  <c r="C323" i="1"/>
  <c r="C324" i="1"/>
  <c r="C325" i="1"/>
  <c r="C326" i="1"/>
  <c r="C328" i="1"/>
  <c r="C329" i="1"/>
  <c r="C330" i="1"/>
  <c r="C331" i="1"/>
  <c r="C336" i="1"/>
  <c r="C337" i="1"/>
  <c r="C338" i="1"/>
  <c r="C339" i="1"/>
  <c r="C343" i="1"/>
  <c r="C344" i="1"/>
  <c r="C346" i="1"/>
  <c r="C348" i="1"/>
  <c r="C349" i="1"/>
  <c r="C350" i="1"/>
  <c r="C351" i="1"/>
  <c r="C352" i="1"/>
  <c r="C358" i="1"/>
  <c r="C359" i="1"/>
  <c r="C361" i="1"/>
  <c r="C362" i="1"/>
  <c r="C363" i="1"/>
  <c r="C314" i="1"/>
  <c r="C308" i="1"/>
  <c r="C309" i="1"/>
  <c r="C310" i="1"/>
  <c r="C311" i="1"/>
  <c r="C312" i="1"/>
  <c r="C307" i="1"/>
  <c r="C302" i="1"/>
  <c r="C303" i="1"/>
  <c r="C304" i="1"/>
  <c r="C30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75" i="1"/>
  <c r="C273" i="1"/>
  <c r="C272" i="1"/>
  <c r="C143" i="1"/>
  <c r="C146" i="1"/>
  <c r="C150" i="1"/>
  <c r="C151" i="1"/>
  <c r="C152" i="1"/>
  <c r="C153" i="1"/>
  <c r="C154" i="1"/>
  <c r="C155" i="1"/>
  <c r="C158" i="1"/>
  <c r="C159" i="1"/>
  <c r="C160" i="1"/>
  <c r="C161" i="1"/>
  <c r="C163" i="1"/>
  <c r="C165" i="1"/>
  <c r="C166" i="1"/>
  <c r="C168" i="1"/>
  <c r="C171" i="1"/>
  <c r="C172" i="1"/>
  <c r="C175" i="1"/>
  <c r="C177" i="1"/>
  <c r="C178" i="1"/>
  <c r="C181" i="1"/>
  <c r="C182" i="1"/>
  <c r="C185" i="1"/>
  <c r="C188" i="1"/>
  <c r="C190" i="1"/>
  <c r="C193" i="1"/>
  <c r="C194" i="1"/>
  <c r="C195" i="1"/>
  <c r="C196" i="1"/>
  <c r="C198" i="1"/>
  <c r="C199" i="1"/>
  <c r="C202" i="1"/>
  <c r="C203" i="1"/>
  <c r="C204" i="1"/>
  <c r="C205" i="1"/>
  <c r="C206" i="1"/>
  <c r="C208" i="1"/>
  <c r="C209" i="1"/>
  <c r="C213" i="1"/>
  <c r="C215" i="1"/>
  <c r="C216" i="1"/>
  <c r="C217" i="1"/>
  <c r="C218" i="1"/>
  <c r="C219" i="1"/>
  <c r="C220" i="1"/>
  <c r="C221" i="1"/>
  <c r="C222" i="1"/>
  <c r="C225" i="1"/>
  <c r="C226" i="1"/>
  <c r="C227" i="1"/>
  <c r="C228" i="1"/>
  <c r="C230" i="1"/>
  <c r="C233" i="1"/>
  <c r="C234" i="1"/>
  <c r="C241" i="1"/>
  <c r="C242" i="1"/>
  <c r="C243" i="1"/>
  <c r="C246" i="1"/>
  <c r="C247" i="1"/>
  <c r="C249" i="1"/>
  <c r="C251" i="1"/>
  <c r="C252" i="1"/>
  <c r="C253" i="1"/>
  <c r="C255" i="1"/>
  <c r="C256" i="1"/>
  <c r="C258" i="1"/>
  <c r="C259" i="1"/>
  <c r="C262" i="1"/>
  <c r="C263" i="1"/>
  <c r="C264" i="1"/>
  <c r="C265" i="1"/>
  <c r="C266" i="1"/>
  <c r="C269" i="1"/>
  <c r="C270" i="1"/>
  <c r="C68" i="1"/>
  <c r="U143" i="1"/>
  <c r="U146" i="1"/>
  <c r="U150" i="1"/>
  <c r="U151" i="1"/>
  <c r="U152" i="1"/>
  <c r="U153" i="1"/>
  <c r="U154" i="1"/>
  <c r="U155" i="1"/>
  <c r="U158" i="1"/>
  <c r="U159" i="1"/>
  <c r="U160" i="1"/>
  <c r="U161" i="1"/>
  <c r="U163" i="1"/>
  <c r="U165" i="1"/>
  <c r="U166" i="1"/>
  <c r="U168" i="1"/>
  <c r="U171" i="1"/>
  <c r="U172" i="1"/>
  <c r="U175" i="1"/>
  <c r="U177" i="1"/>
  <c r="U178" i="1"/>
  <c r="U181" i="1"/>
  <c r="U182" i="1"/>
  <c r="U185" i="1"/>
  <c r="U188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302" i="1"/>
  <c r="U303" i="1"/>
  <c r="U304" i="1"/>
  <c r="U305" i="1"/>
  <c r="U307" i="1"/>
  <c r="U308" i="1"/>
  <c r="U309" i="1"/>
  <c r="U310" i="1"/>
  <c r="U311" i="1"/>
  <c r="U312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5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2" i="1"/>
  <c r="P273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301" i="1"/>
  <c r="P302" i="1"/>
  <c r="P303" i="1"/>
  <c r="P304" i="1"/>
  <c r="P305" i="1"/>
  <c r="P307" i="1"/>
  <c r="P308" i="1"/>
  <c r="P309" i="1"/>
  <c r="P310" i="1"/>
  <c r="P311" i="1"/>
  <c r="P312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5" i="1"/>
  <c r="P366" i="1"/>
  <c r="P367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5" i="1"/>
  <c r="E364" i="1"/>
  <c r="G364" i="1"/>
  <c r="H364" i="1"/>
  <c r="I364" i="1"/>
  <c r="J364" i="1"/>
  <c r="L364" i="1"/>
  <c r="M364" i="1"/>
  <c r="N364" i="1"/>
  <c r="Q364" i="1"/>
  <c r="R364" i="1"/>
  <c r="T364" i="1"/>
  <c r="V364" i="1"/>
  <c r="W364" i="1"/>
  <c r="X364" i="1"/>
  <c r="AA364" i="1"/>
  <c r="AB364" i="1"/>
  <c r="E313" i="1"/>
  <c r="G313" i="1"/>
  <c r="H313" i="1"/>
  <c r="I313" i="1"/>
  <c r="J313" i="1"/>
  <c r="L313" i="1"/>
  <c r="M313" i="1"/>
  <c r="N313" i="1"/>
  <c r="Q313" i="1"/>
  <c r="R313" i="1"/>
  <c r="S313" i="1"/>
  <c r="T313" i="1"/>
  <c r="V313" i="1"/>
  <c r="W313" i="1"/>
  <c r="X313" i="1"/>
  <c r="Y313" i="1"/>
  <c r="AA313" i="1"/>
  <c r="AB313" i="1"/>
  <c r="AC313" i="1"/>
  <c r="E306" i="1"/>
  <c r="G306" i="1"/>
  <c r="H306" i="1"/>
  <c r="I306" i="1"/>
  <c r="J306" i="1"/>
  <c r="L306" i="1"/>
  <c r="M306" i="1"/>
  <c r="N306" i="1"/>
  <c r="O306" i="1"/>
  <c r="Q306" i="1"/>
  <c r="R306" i="1"/>
  <c r="S306" i="1"/>
  <c r="T306" i="1"/>
  <c r="V306" i="1"/>
  <c r="W306" i="1"/>
  <c r="X306" i="1"/>
  <c r="Y306" i="1"/>
  <c r="AA306" i="1"/>
  <c r="AB306" i="1"/>
  <c r="AC306" i="1"/>
  <c r="E300" i="1"/>
  <c r="G300" i="1"/>
  <c r="H300" i="1"/>
  <c r="I300" i="1"/>
  <c r="J300" i="1"/>
  <c r="L300" i="1"/>
  <c r="M300" i="1"/>
  <c r="N300" i="1"/>
  <c r="O300" i="1"/>
  <c r="Q300" i="1"/>
  <c r="R300" i="1"/>
  <c r="R384" i="1" s="1"/>
  <c r="S300" i="1"/>
  <c r="V300" i="1"/>
  <c r="W300" i="1"/>
  <c r="Y300" i="1"/>
  <c r="AA300" i="1"/>
  <c r="AB300" i="1"/>
  <c r="AC300" i="1"/>
  <c r="E274" i="1"/>
  <c r="G274" i="1"/>
  <c r="H274" i="1"/>
  <c r="I274" i="1"/>
  <c r="J274" i="1"/>
  <c r="L274" i="1"/>
  <c r="M274" i="1"/>
  <c r="N274" i="1"/>
  <c r="O274" i="1"/>
  <c r="Q274" i="1"/>
  <c r="R274" i="1"/>
  <c r="S274" i="1"/>
  <c r="T274" i="1"/>
  <c r="V274" i="1"/>
  <c r="W274" i="1"/>
  <c r="X274" i="1"/>
  <c r="Y274" i="1"/>
  <c r="AA274" i="1"/>
  <c r="AB274" i="1"/>
  <c r="Q271" i="1"/>
  <c r="R271" i="1"/>
  <c r="S271" i="1"/>
  <c r="T271" i="1"/>
  <c r="V271" i="1"/>
  <c r="W271" i="1"/>
  <c r="X271" i="1"/>
  <c r="Y271" i="1"/>
  <c r="AA271" i="1"/>
  <c r="AB271" i="1"/>
  <c r="AC271" i="1"/>
  <c r="E271" i="1"/>
  <c r="G271" i="1"/>
  <c r="H271" i="1"/>
  <c r="I271" i="1"/>
  <c r="J271" i="1"/>
  <c r="L271" i="1"/>
  <c r="M271" i="1"/>
  <c r="N271" i="1"/>
  <c r="O271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2" i="1"/>
  <c r="F273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301" i="1"/>
  <c r="F302" i="1"/>
  <c r="F303" i="1"/>
  <c r="F304" i="1"/>
  <c r="F305" i="1"/>
  <c r="F307" i="1"/>
  <c r="F308" i="1"/>
  <c r="F309" i="1"/>
  <c r="F310" i="1"/>
  <c r="F311" i="1"/>
  <c r="F312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5" i="1"/>
  <c r="F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3" i="1"/>
  <c r="Z194" i="1"/>
  <c r="Z195" i="1"/>
  <c r="Z196" i="1"/>
  <c r="Z198" i="1"/>
  <c r="Z199" i="1"/>
  <c r="Z202" i="1"/>
  <c r="Z203" i="1"/>
  <c r="Z204" i="1"/>
  <c r="Z205" i="1"/>
  <c r="Z206" i="1"/>
  <c r="Z208" i="1"/>
  <c r="Z209" i="1"/>
  <c r="Z213" i="1"/>
  <c r="Z215" i="1"/>
  <c r="Z216" i="1"/>
  <c r="Z217" i="1"/>
  <c r="Z218" i="1"/>
  <c r="Z219" i="1"/>
  <c r="Z220" i="1"/>
  <c r="Z221" i="1"/>
  <c r="Z222" i="1"/>
  <c r="Z225" i="1"/>
  <c r="Z226" i="1"/>
  <c r="Z227" i="1"/>
  <c r="Z228" i="1"/>
  <c r="Z230" i="1"/>
  <c r="Z233" i="1"/>
  <c r="Z234" i="1"/>
  <c r="Z241" i="1"/>
  <c r="Z242" i="1"/>
  <c r="Z243" i="1"/>
  <c r="Z246" i="1"/>
  <c r="Z247" i="1"/>
  <c r="Z249" i="1"/>
  <c r="Z251" i="1"/>
  <c r="Z252" i="1"/>
  <c r="Z253" i="1"/>
  <c r="Z255" i="1"/>
  <c r="Z256" i="1"/>
  <c r="Z258" i="1"/>
  <c r="Z259" i="1"/>
  <c r="Z262" i="1"/>
  <c r="Z263" i="1"/>
  <c r="Z264" i="1"/>
  <c r="Z265" i="1"/>
  <c r="Z266" i="1"/>
  <c r="Z269" i="1"/>
  <c r="Z270" i="1"/>
  <c r="Z272" i="1"/>
  <c r="Z273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301" i="1"/>
  <c r="Z302" i="1"/>
  <c r="Z303" i="1"/>
  <c r="Z304" i="1"/>
  <c r="Z305" i="1"/>
  <c r="Z307" i="1"/>
  <c r="Z308" i="1"/>
  <c r="Z309" i="1"/>
  <c r="Z310" i="1"/>
  <c r="Z311" i="1"/>
  <c r="Z312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5" i="1"/>
  <c r="Z366" i="1"/>
  <c r="Z367" i="1"/>
  <c r="Z368" i="1"/>
  <c r="Z369" i="1"/>
  <c r="Z370" i="1"/>
  <c r="Z371" i="1"/>
  <c r="Z374" i="1"/>
  <c r="Z375" i="1"/>
  <c r="Z376" i="1"/>
  <c r="Z377" i="1"/>
  <c r="Z378" i="1"/>
  <c r="Z380" i="1"/>
  <c r="Z383" i="1"/>
  <c r="Z385" i="1"/>
  <c r="E141" i="1"/>
  <c r="G141" i="1"/>
  <c r="H141" i="1"/>
  <c r="I141" i="1"/>
  <c r="J141" i="1"/>
  <c r="L141" i="1"/>
  <c r="M141" i="1"/>
  <c r="N141" i="1"/>
  <c r="O141" i="1"/>
  <c r="Q141" i="1"/>
  <c r="R141" i="1"/>
  <c r="S141" i="1"/>
  <c r="V141" i="1"/>
  <c r="W141" i="1"/>
  <c r="AA141" i="1"/>
  <c r="AB141" i="1"/>
  <c r="Z142" i="1"/>
  <c r="AC274" i="1"/>
  <c r="K69" i="1" l="1"/>
  <c r="N84" i="1"/>
  <c r="K132" i="1"/>
  <c r="N134" i="1"/>
  <c r="U50" i="4"/>
  <c r="Z50" i="4" s="1"/>
  <c r="Y50" i="4" s="1"/>
  <c r="U52" i="4"/>
  <c r="Z52" i="4" s="1"/>
  <c r="AC22" i="1"/>
  <c r="C22" i="1"/>
  <c r="K14" i="1"/>
  <c r="N44" i="1"/>
  <c r="K45" i="1"/>
  <c r="K44" i="1" s="1"/>
  <c r="M56" i="1"/>
  <c r="N48" i="1"/>
  <c r="K49" i="1"/>
  <c r="K48" i="1" s="1"/>
  <c r="AB298" i="1"/>
  <c r="W384" i="1"/>
  <c r="K58" i="1"/>
  <c r="K66" i="1" s="1"/>
  <c r="N66" i="1"/>
  <c r="P368" i="1"/>
  <c r="D368" i="1" s="1"/>
  <c r="O298" i="1"/>
  <c r="J298" i="1"/>
  <c r="E298" i="1"/>
  <c r="K274" i="1"/>
  <c r="T300" i="1"/>
  <c r="T384" i="1" s="1"/>
  <c r="K31" i="1"/>
  <c r="K30" i="1" s="1"/>
  <c r="S298" i="1"/>
  <c r="N298" i="1"/>
  <c r="K271" i="1"/>
  <c r="K313" i="1"/>
  <c r="K141" i="1"/>
  <c r="K300" i="1"/>
  <c r="K306" i="1"/>
  <c r="K364" i="1"/>
  <c r="AA298" i="1"/>
  <c r="R298" i="1"/>
  <c r="M298" i="1"/>
  <c r="H298" i="1"/>
  <c r="K23" i="1"/>
  <c r="K81" i="1"/>
  <c r="D81" i="1" s="1"/>
  <c r="L298" i="1"/>
  <c r="G298" i="1"/>
  <c r="O313" i="1"/>
  <c r="D80" i="1"/>
  <c r="D79" i="1"/>
  <c r="C271" i="1"/>
  <c r="F133" i="1"/>
  <c r="D272" i="1"/>
  <c r="M384" i="1"/>
  <c r="J384" i="1"/>
  <c r="AC364" i="1"/>
  <c r="AC384" i="1" s="1"/>
  <c r="AC141" i="1"/>
  <c r="AC298" i="1" s="1"/>
  <c r="Z192" i="1"/>
  <c r="D192" i="1" s="1"/>
  <c r="U301" i="1"/>
  <c r="D301" i="1" s="1"/>
  <c r="X141" i="1"/>
  <c r="X298" i="1" s="1"/>
  <c r="O364" i="1"/>
  <c r="C364" i="1"/>
  <c r="Y364" i="1"/>
  <c r="Y384" i="1" s="1"/>
  <c r="Y141" i="1"/>
  <c r="Y298" i="1" s="1"/>
  <c r="C191" i="1"/>
  <c r="T141" i="1"/>
  <c r="T298" i="1" s="1"/>
  <c r="C144" i="1"/>
  <c r="Z313" i="1"/>
  <c r="Z271" i="1"/>
  <c r="D361" i="1"/>
  <c r="D357" i="1"/>
  <c r="D353" i="1"/>
  <c r="D349" i="1"/>
  <c r="D345" i="1"/>
  <c r="D341" i="1"/>
  <c r="D337" i="1"/>
  <c r="D333" i="1"/>
  <c r="D329" i="1"/>
  <c r="D325" i="1"/>
  <c r="D321" i="1"/>
  <c r="D317" i="1"/>
  <c r="U300" i="1"/>
  <c r="U313" i="1"/>
  <c r="P313" i="1"/>
  <c r="U364" i="1"/>
  <c r="P364" i="1"/>
  <c r="C300" i="1"/>
  <c r="Z300" i="1"/>
  <c r="Z364" i="1"/>
  <c r="Z306" i="1"/>
  <c r="Z274" i="1"/>
  <c r="D385" i="1"/>
  <c r="D380" i="1"/>
  <c r="D376" i="1"/>
  <c r="D372" i="1"/>
  <c r="D363" i="1"/>
  <c r="D359" i="1"/>
  <c r="D355" i="1"/>
  <c r="D351" i="1"/>
  <c r="D347" i="1"/>
  <c r="D343" i="1"/>
  <c r="D339" i="1"/>
  <c r="D335" i="1"/>
  <c r="D331" i="1"/>
  <c r="D327" i="1"/>
  <c r="D323" i="1"/>
  <c r="D319" i="1"/>
  <c r="D315" i="1"/>
  <c r="P141" i="1"/>
  <c r="D382" i="1"/>
  <c r="D378" i="1"/>
  <c r="D374" i="1"/>
  <c r="D370" i="1"/>
  <c r="D366" i="1"/>
  <c r="D383" i="1"/>
  <c r="D379" i="1"/>
  <c r="D375" i="1"/>
  <c r="D371" i="1"/>
  <c r="D367" i="1"/>
  <c r="F364" i="1"/>
  <c r="D362" i="1"/>
  <c r="D358" i="1"/>
  <c r="D354" i="1"/>
  <c r="D350" i="1"/>
  <c r="D346" i="1"/>
  <c r="D342" i="1"/>
  <c r="D338" i="1"/>
  <c r="D334" i="1"/>
  <c r="D330" i="1"/>
  <c r="D326" i="1"/>
  <c r="D322" i="1"/>
  <c r="D318" i="1"/>
  <c r="D360" i="1"/>
  <c r="D356" i="1"/>
  <c r="D352" i="1"/>
  <c r="D348" i="1"/>
  <c r="D344" i="1"/>
  <c r="D340" i="1"/>
  <c r="D336" i="1"/>
  <c r="D332" i="1"/>
  <c r="D328" i="1"/>
  <c r="D324" i="1"/>
  <c r="D320" i="1"/>
  <c r="D316" i="1"/>
  <c r="F313" i="1"/>
  <c r="F271" i="1"/>
  <c r="D314" i="1"/>
  <c r="D310" i="1"/>
  <c r="U274" i="1"/>
  <c r="U306" i="1"/>
  <c r="P306" i="1"/>
  <c r="L384" i="1"/>
  <c r="G384" i="1"/>
  <c r="G386" i="1" s="1"/>
  <c r="H43" i="4" s="1"/>
  <c r="AA384" i="1"/>
  <c r="H384" i="1"/>
  <c r="H386" i="1" s="1"/>
  <c r="G43" i="4" s="1"/>
  <c r="D381" i="1"/>
  <c r="D377" i="1"/>
  <c r="D373" i="1"/>
  <c r="D369" i="1"/>
  <c r="D365" i="1"/>
  <c r="AB384" i="1"/>
  <c r="AB386" i="1" s="1"/>
  <c r="AA43" i="4" s="1"/>
  <c r="X384" i="1"/>
  <c r="S384" i="1"/>
  <c r="N384" i="1"/>
  <c r="D308" i="1"/>
  <c r="D312" i="1"/>
  <c r="I384" i="1"/>
  <c r="F306" i="1"/>
  <c r="D309" i="1"/>
  <c r="D302" i="1"/>
  <c r="D304" i="1"/>
  <c r="V384" i="1"/>
  <c r="R386" i="1"/>
  <c r="Q43" i="4" s="1"/>
  <c r="P300" i="1"/>
  <c r="Q384" i="1"/>
  <c r="D303" i="1"/>
  <c r="D305" i="1"/>
  <c r="F300" i="1"/>
  <c r="W298" i="1"/>
  <c r="P274" i="1"/>
  <c r="D297" i="1"/>
  <c r="D289" i="1"/>
  <c r="D281" i="1"/>
  <c r="D295" i="1"/>
  <c r="D291" i="1"/>
  <c r="D287" i="1"/>
  <c r="D283" i="1"/>
  <c r="D279" i="1"/>
  <c r="D275" i="1"/>
  <c r="D293" i="1"/>
  <c r="D285" i="1"/>
  <c r="D277" i="1"/>
  <c r="D296" i="1"/>
  <c r="D292" i="1"/>
  <c r="D288" i="1"/>
  <c r="D284" i="1"/>
  <c r="D280" i="1"/>
  <c r="D276" i="1"/>
  <c r="D294" i="1"/>
  <c r="D290" i="1"/>
  <c r="D286" i="1"/>
  <c r="D282" i="1"/>
  <c r="D278" i="1"/>
  <c r="I298" i="1"/>
  <c r="F274" i="1"/>
  <c r="U271" i="1"/>
  <c r="P271" i="1"/>
  <c r="D273" i="1"/>
  <c r="V298" i="1"/>
  <c r="Q298" i="1"/>
  <c r="D268" i="1"/>
  <c r="D264" i="1"/>
  <c r="D260" i="1"/>
  <c r="D256" i="1"/>
  <c r="D252" i="1"/>
  <c r="D248" i="1"/>
  <c r="D244" i="1"/>
  <c r="D240" i="1"/>
  <c r="D236" i="1"/>
  <c r="D232" i="1"/>
  <c r="D228" i="1"/>
  <c r="D224" i="1"/>
  <c r="D220" i="1"/>
  <c r="D216" i="1"/>
  <c r="D212" i="1"/>
  <c r="D208" i="1"/>
  <c r="D204" i="1"/>
  <c r="D200" i="1"/>
  <c r="D196" i="1"/>
  <c r="D188" i="1"/>
  <c r="D184" i="1"/>
  <c r="D180" i="1"/>
  <c r="D176" i="1"/>
  <c r="D172" i="1"/>
  <c r="D168" i="1"/>
  <c r="D164" i="1"/>
  <c r="D160" i="1"/>
  <c r="D156" i="1"/>
  <c r="D152" i="1"/>
  <c r="D148" i="1"/>
  <c r="D144" i="1"/>
  <c r="D270" i="1"/>
  <c r="D266" i="1"/>
  <c r="D262" i="1"/>
  <c r="D258" i="1"/>
  <c r="D254" i="1"/>
  <c r="D250" i="1"/>
  <c r="D246" i="1"/>
  <c r="D242" i="1"/>
  <c r="D238" i="1"/>
  <c r="D234" i="1"/>
  <c r="D230" i="1"/>
  <c r="D226" i="1"/>
  <c r="D222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170" i="1"/>
  <c r="D166" i="1"/>
  <c r="D162" i="1"/>
  <c r="D158" i="1"/>
  <c r="D154" i="1"/>
  <c r="D150" i="1"/>
  <c r="D146" i="1"/>
  <c r="D267" i="1"/>
  <c r="D263" i="1"/>
  <c r="D259" i="1"/>
  <c r="D255" i="1"/>
  <c r="D251" i="1"/>
  <c r="D247" i="1"/>
  <c r="D243" i="1"/>
  <c r="D239" i="1"/>
  <c r="D235" i="1"/>
  <c r="D231" i="1"/>
  <c r="D227" i="1"/>
  <c r="D223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171" i="1"/>
  <c r="D167" i="1"/>
  <c r="D163" i="1"/>
  <c r="D159" i="1"/>
  <c r="D155" i="1"/>
  <c r="D151" i="1"/>
  <c r="D147" i="1"/>
  <c r="D143" i="1"/>
  <c r="D142" i="1"/>
  <c r="D269" i="1"/>
  <c r="D265" i="1"/>
  <c r="D261" i="1"/>
  <c r="D257" i="1"/>
  <c r="D253" i="1"/>
  <c r="D249" i="1"/>
  <c r="D245" i="1"/>
  <c r="D241" i="1"/>
  <c r="D237" i="1"/>
  <c r="D233" i="1"/>
  <c r="D229" i="1"/>
  <c r="D225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165" i="1"/>
  <c r="D161" i="1"/>
  <c r="D157" i="1"/>
  <c r="D153" i="1"/>
  <c r="D149" i="1"/>
  <c r="D145" i="1"/>
  <c r="F141" i="1"/>
  <c r="C313" i="1"/>
  <c r="E384" i="1"/>
  <c r="C306" i="1"/>
  <c r="C274" i="1"/>
  <c r="D311" i="1"/>
  <c r="D307" i="1"/>
  <c r="E386" i="1" l="1"/>
  <c r="S386" i="1"/>
  <c r="P43" i="4" s="1"/>
  <c r="O43" i="4" s="1"/>
  <c r="AE50" i="4"/>
  <c r="P298" i="1"/>
  <c r="AE52" i="4"/>
  <c r="N56" i="1"/>
  <c r="K56" i="1"/>
  <c r="W386" i="1"/>
  <c r="V43" i="4" s="1"/>
  <c r="J386" i="1"/>
  <c r="N386" i="1"/>
  <c r="K43" i="4" s="1"/>
  <c r="AA386" i="1"/>
  <c r="M386" i="1"/>
  <c r="L43" i="4" s="1"/>
  <c r="T386" i="1"/>
  <c r="K298" i="1"/>
  <c r="C141" i="1"/>
  <c r="C298" i="1" s="1"/>
  <c r="L386" i="1"/>
  <c r="K386" i="1" s="1"/>
  <c r="K384" i="1"/>
  <c r="O384" i="1"/>
  <c r="O386" i="1" s="1"/>
  <c r="D271" i="1"/>
  <c r="D133" i="1"/>
  <c r="P384" i="1"/>
  <c r="Z384" i="1"/>
  <c r="AC386" i="1"/>
  <c r="Z43" i="4" s="1"/>
  <c r="Y43" i="4" s="1"/>
  <c r="Z141" i="1"/>
  <c r="Z298" i="1" s="1"/>
  <c r="X386" i="1"/>
  <c r="U43" i="4" s="1"/>
  <c r="U141" i="1"/>
  <c r="Y386" i="1"/>
  <c r="D313" i="1"/>
  <c r="U384" i="1"/>
  <c r="D364" i="1"/>
  <c r="I386" i="1"/>
  <c r="F43" i="4" s="1"/>
  <c r="E43" i="4" s="1"/>
  <c r="F384" i="1"/>
  <c r="D306" i="1"/>
  <c r="D300" i="1"/>
  <c r="D274" i="1"/>
  <c r="U298" i="1"/>
  <c r="V386" i="1"/>
  <c r="Q386" i="1"/>
  <c r="F298" i="1"/>
  <c r="C384" i="1"/>
  <c r="P386" i="1" l="1"/>
  <c r="C386" i="1"/>
  <c r="T43" i="4"/>
  <c r="J43" i="4"/>
  <c r="F386" i="1"/>
  <c r="Z386" i="1"/>
  <c r="D141" i="1"/>
  <c r="D298" i="1" s="1"/>
  <c r="U386" i="1"/>
  <c r="D384" i="1"/>
  <c r="AD43" i="4" l="1"/>
  <c r="D386" i="1"/>
  <c r="AC53" i="4"/>
  <c r="AB53" i="4"/>
  <c r="AA53" i="4"/>
  <c r="X53" i="4"/>
  <c r="W53" i="4"/>
  <c r="V53" i="4"/>
  <c r="S53" i="4"/>
  <c r="R53" i="4"/>
  <c r="Q53" i="4"/>
  <c r="N53" i="4"/>
  <c r="M53" i="4"/>
  <c r="L53" i="4"/>
  <c r="I53" i="4"/>
  <c r="H53" i="4"/>
  <c r="G53" i="4"/>
  <c r="Y52" i="4"/>
  <c r="T52" i="4"/>
  <c r="O52" i="4"/>
  <c r="J52" i="4"/>
  <c r="E52" i="4"/>
  <c r="T50" i="4"/>
  <c r="O50" i="4"/>
  <c r="J50" i="4"/>
  <c r="K49" i="4"/>
  <c r="F49" i="4"/>
  <c r="AD50" i="4" l="1"/>
  <c r="F53" i="4"/>
  <c r="K53" i="4"/>
  <c r="P49" i="4"/>
  <c r="AF53" i="4"/>
  <c r="AH53" i="4"/>
  <c r="AG53" i="4"/>
  <c r="AD52" i="4"/>
  <c r="J49" i="4"/>
  <c r="J53" i="4" s="1"/>
  <c r="E49" i="4"/>
  <c r="U49" i="4" l="1"/>
  <c r="O49" i="4"/>
  <c r="O53" i="4" s="1"/>
  <c r="P53" i="4"/>
  <c r="E53" i="4"/>
  <c r="Z49" i="4" l="1"/>
  <c r="AE49" i="4" s="1"/>
  <c r="U53" i="4"/>
  <c r="T49" i="4"/>
  <c r="AC44" i="4"/>
  <c r="AB44" i="4"/>
  <c r="X44" i="4"/>
  <c r="W44" i="4"/>
  <c r="S44" i="4"/>
  <c r="R44" i="4"/>
  <c r="N44" i="4"/>
  <c r="M44" i="4"/>
  <c r="I44" i="4"/>
  <c r="H41" i="4"/>
  <c r="H40" i="4"/>
  <c r="H38" i="4"/>
  <c r="N32" i="4"/>
  <c r="M32" i="4"/>
  <c r="L32" i="4"/>
  <c r="I32" i="4"/>
  <c r="H32" i="4"/>
  <c r="G32" i="4"/>
  <c r="Z31" i="4"/>
  <c r="U31" i="4"/>
  <c r="P31" i="4"/>
  <c r="J31" i="4"/>
  <c r="E31" i="4"/>
  <c r="Y29" i="4"/>
  <c r="T29" i="4"/>
  <c r="O29" i="4"/>
  <c r="J29" i="4"/>
  <c r="E29" i="4"/>
  <c r="Y28" i="4"/>
  <c r="T28" i="4"/>
  <c r="O28" i="4"/>
  <c r="J28" i="4"/>
  <c r="E28" i="4"/>
  <c r="Y27" i="4"/>
  <c r="T27" i="4"/>
  <c r="O27" i="4"/>
  <c r="J27" i="4"/>
  <c r="E27" i="4"/>
  <c r="J26" i="4"/>
  <c r="E26" i="4"/>
  <c r="J25" i="4"/>
  <c r="E25" i="4"/>
  <c r="J24" i="4"/>
  <c r="E24" i="4"/>
  <c r="J23" i="4"/>
  <c r="E23" i="4"/>
  <c r="J22" i="4"/>
  <c r="E22" i="4"/>
  <c r="J20" i="4"/>
  <c r="E20" i="4"/>
  <c r="E19" i="4"/>
  <c r="AD19" i="4" s="1"/>
  <c r="J18" i="4"/>
  <c r="E18" i="4"/>
  <c r="Y17" i="4"/>
  <c r="T17" i="4"/>
  <c r="O17" i="4"/>
  <c r="J17" i="4"/>
  <c r="E17" i="4"/>
  <c r="J16" i="4"/>
  <c r="E16" i="4"/>
  <c r="X129" i="5"/>
  <c r="X130" i="5" s="1"/>
  <c r="S129" i="5"/>
  <c r="H129" i="5"/>
  <c r="W128" i="5"/>
  <c r="R128" i="5"/>
  <c r="M128" i="5"/>
  <c r="H128" i="5"/>
  <c r="C128" i="5"/>
  <c r="W127" i="5"/>
  <c r="R127" i="5"/>
  <c r="M127" i="5"/>
  <c r="H127" i="5"/>
  <c r="C127" i="5"/>
  <c r="W126" i="5"/>
  <c r="R126" i="5"/>
  <c r="M126" i="5"/>
  <c r="H126" i="5"/>
  <c r="C126" i="5"/>
  <c r="H123" i="5"/>
  <c r="C123" i="5"/>
  <c r="H117" i="5"/>
  <c r="C117" i="5"/>
  <c r="H113" i="5"/>
  <c r="C113" i="5"/>
  <c r="H103" i="5"/>
  <c r="C103" i="5"/>
  <c r="H42" i="5"/>
  <c r="C42" i="5"/>
  <c r="H32" i="5"/>
  <c r="C32" i="5"/>
  <c r="C27" i="5"/>
  <c r="AB27" i="5" s="1"/>
  <c r="H15" i="5"/>
  <c r="C15" i="5"/>
  <c r="W14" i="5"/>
  <c r="R14" i="5"/>
  <c r="M14" i="5"/>
  <c r="H14" i="5"/>
  <c r="C14" i="5"/>
  <c r="C7" i="5"/>
  <c r="E32" i="4" l="1"/>
  <c r="R129" i="5"/>
  <c r="R130" i="5" s="1"/>
  <c r="S130" i="5"/>
  <c r="H130" i="5"/>
  <c r="AB14" i="5"/>
  <c r="J32" i="4"/>
  <c r="Z53" i="4"/>
  <c r="AE53" i="4" s="1"/>
  <c r="Y49" i="4"/>
  <c r="Y53" i="4" s="1"/>
  <c r="Y31" i="4"/>
  <c r="Y32" i="4" s="1"/>
  <c r="Z32" i="4"/>
  <c r="T31" i="4"/>
  <c r="T32" i="4" s="1"/>
  <c r="U32" i="4"/>
  <c r="T53" i="4"/>
  <c r="O31" i="4"/>
  <c r="O32" i="4" s="1"/>
  <c r="P32" i="4"/>
  <c r="AB117" i="5"/>
  <c r="AB15" i="5"/>
  <c r="AB128" i="5"/>
  <c r="AB42" i="5"/>
  <c r="AB113" i="5"/>
  <c r="AB32" i="5"/>
  <c r="AB103" i="5"/>
  <c r="AF32" i="4"/>
  <c r="AG32" i="4"/>
  <c r="AB126" i="5"/>
  <c r="AB127" i="5"/>
  <c r="AH32" i="4"/>
  <c r="AB123" i="5"/>
  <c r="AH44" i="4"/>
  <c r="AD17" i="4"/>
  <c r="AD25" i="4"/>
  <c r="AD22" i="4"/>
  <c r="AD24" i="4"/>
  <c r="AD26" i="4"/>
  <c r="AD18" i="4"/>
  <c r="AD20" i="4"/>
  <c r="AD23" i="4"/>
  <c r="AD28" i="4"/>
  <c r="AD27" i="4"/>
  <c r="AD29" i="4"/>
  <c r="AD16" i="4"/>
  <c r="AB7" i="5"/>
  <c r="C129" i="5"/>
  <c r="C130" i="5" s="1"/>
  <c r="M129" i="5"/>
  <c r="M130" i="5" s="1"/>
  <c r="W129" i="5"/>
  <c r="W130" i="5" s="1"/>
  <c r="AD31" i="4" l="1"/>
  <c r="AE32" i="4"/>
  <c r="AD32" i="4"/>
  <c r="AD49" i="4"/>
  <c r="AD53" i="4" s="1"/>
  <c r="AB129" i="5"/>
  <c r="AB130" i="5" s="1"/>
  <c r="AC62" i="4" l="1"/>
  <c r="AC63" i="4" s="1"/>
  <c r="AB62" i="4"/>
  <c r="AB63" i="4" s="1"/>
  <c r="AA62" i="4"/>
  <c r="Z62" i="4"/>
  <c r="X62" i="4"/>
  <c r="X63" i="4" s="1"/>
  <c r="W62" i="4"/>
  <c r="W63" i="4" s="1"/>
  <c r="V62" i="4"/>
  <c r="U62" i="4"/>
  <c r="S62" i="4"/>
  <c r="S63" i="4" s="1"/>
  <c r="R62" i="4"/>
  <c r="R63" i="4" s="1"/>
  <c r="Q62" i="4"/>
  <c r="P62" i="4"/>
  <c r="N62" i="4"/>
  <c r="N63" i="4" s="1"/>
  <c r="M62" i="4"/>
  <c r="M63" i="4" s="1"/>
  <c r="L62" i="4"/>
  <c r="K62" i="4"/>
  <c r="I62" i="4"/>
  <c r="H62" i="4"/>
  <c r="G62" i="4"/>
  <c r="F62" i="4"/>
  <c r="Y61" i="4"/>
  <c r="T61" i="4"/>
  <c r="O61" i="4"/>
  <c r="J61" i="4"/>
  <c r="E61" i="4"/>
  <c r="Y60" i="4"/>
  <c r="T60" i="4"/>
  <c r="O60" i="4"/>
  <c r="J60" i="4"/>
  <c r="E60" i="4"/>
  <c r="Y58" i="4"/>
  <c r="T58" i="4"/>
  <c r="O58" i="4"/>
  <c r="J58" i="4"/>
  <c r="E58" i="4"/>
  <c r="AF62" i="4" l="1"/>
  <c r="AH62" i="4"/>
  <c r="AH63" i="4" s="1"/>
  <c r="I63" i="4"/>
  <c r="AG62" i="4"/>
  <c r="AE62" i="4"/>
  <c r="E62" i="4"/>
  <c r="AD60" i="4"/>
  <c r="J62" i="4"/>
  <c r="T62" i="4"/>
  <c r="O62" i="4"/>
  <c r="AD61" i="4"/>
  <c r="Y62" i="4"/>
  <c r="AD58" i="4"/>
  <c r="AD62" i="4" l="1"/>
  <c r="F16" i="1"/>
  <c r="F14" i="1" s="1"/>
  <c r="Z17" i="1"/>
  <c r="Z16" i="1"/>
  <c r="Z15" i="1"/>
  <c r="U17" i="1"/>
  <c r="U16" i="1"/>
  <c r="U15" i="1"/>
  <c r="P17" i="1"/>
  <c r="P16" i="1"/>
  <c r="P14" i="1" s="1"/>
  <c r="AB126" i="1"/>
  <c r="AC136" i="1"/>
  <c r="AB136" i="1"/>
  <c r="X136" i="1"/>
  <c r="W136" i="1"/>
  <c r="S136" i="1"/>
  <c r="R136" i="1"/>
  <c r="AB131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32" i="1"/>
  <c r="Z86" i="1"/>
  <c r="AC131" i="1"/>
  <c r="AC130" i="1"/>
  <c r="AB130" i="1"/>
  <c r="AC129" i="1"/>
  <c r="AB129" i="1"/>
  <c r="AC128" i="1"/>
  <c r="AB128" i="1"/>
  <c r="AC127" i="1"/>
  <c r="AB127" i="1"/>
  <c r="AC126" i="1"/>
  <c r="AC125" i="1"/>
  <c r="AB125" i="1"/>
  <c r="AC124" i="1"/>
  <c r="AB124" i="1"/>
  <c r="AC123" i="1"/>
  <c r="AB123" i="1"/>
  <c r="AC122" i="1"/>
  <c r="AB122" i="1"/>
  <c r="AC121" i="1"/>
  <c r="AB121" i="1"/>
  <c r="AC120" i="1"/>
  <c r="AB120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20" i="1"/>
  <c r="U121" i="1"/>
  <c r="U122" i="1"/>
  <c r="U123" i="1"/>
  <c r="U124" i="1"/>
  <c r="U125" i="1"/>
  <c r="U126" i="1"/>
  <c r="U127" i="1"/>
  <c r="U132" i="1"/>
  <c r="U86" i="1"/>
  <c r="X117" i="1"/>
  <c r="X131" i="1"/>
  <c r="W131" i="1"/>
  <c r="X130" i="1"/>
  <c r="W130" i="1"/>
  <c r="X129" i="1"/>
  <c r="W129" i="1"/>
  <c r="X128" i="1"/>
  <c r="W128" i="1"/>
  <c r="X119" i="1"/>
  <c r="W119" i="1"/>
  <c r="X118" i="1"/>
  <c r="W118" i="1"/>
  <c r="W117" i="1"/>
  <c r="X116" i="1"/>
  <c r="W116" i="1"/>
  <c r="X115" i="1"/>
  <c r="W115" i="1"/>
  <c r="X114" i="1"/>
  <c r="W114" i="1"/>
  <c r="X113" i="1"/>
  <c r="W113" i="1"/>
  <c r="P87" i="1"/>
  <c r="P88" i="1"/>
  <c r="P89" i="1"/>
  <c r="P90" i="1"/>
  <c r="P91" i="1"/>
  <c r="P92" i="1"/>
  <c r="P93" i="1"/>
  <c r="P94" i="1"/>
  <c r="P95" i="1"/>
  <c r="P96" i="1"/>
  <c r="P97" i="1"/>
  <c r="P98" i="1"/>
  <c r="P100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86" i="1"/>
  <c r="S106" i="1"/>
  <c r="S107" i="1"/>
  <c r="S112" i="1"/>
  <c r="R112" i="1"/>
  <c r="S111" i="1"/>
  <c r="R111" i="1"/>
  <c r="S110" i="1"/>
  <c r="R110" i="1"/>
  <c r="S109" i="1"/>
  <c r="R109" i="1"/>
  <c r="S108" i="1"/>
  <c r="R108" i="1"/>
  <c r="R107" i="1"/>
  <c r="R106" i="1"/>
  <c r="S105" i="1"/>
  <c r="R105" i="1"/>
  <c r="S104" i="1"/>
  <c r="R104" i="1"/>
  <c r="S103" i="1"/>
  <c r="R103" i="1"/>
  <c r="S102" i="1"/>
  <c r="R102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U70" i="1"/>
  <c r="U71" i="1"/>
  <c r="U73" i="1"/>
  <c r="X77" i="1"/>
  <c r="W77" i="1"/>
  <c r="U75" i="1"/>
  <c r="D75" i="1" s="1"/>
  <c r="X74" i="1"/>
  <c r="W74" i="1"/>
  <c r="AB39" i="1"/>
  <c r="AC39" i="1"/>
  <c r="U14" i="1" l="1"/>
  <c r="Z14" i="1"/>
  <c r="D14" i="1" s="1"/>
  <c r="Z126" i="1"/>
  <c r="D126" i="1" s="1"/>
  <c r="S134" i="1"/>
  <c r="X134" i="1"/>
  <c r="AC134" i="1"/>
  <c r="R134" i="1"/>
  <c r="AB134" i="1"/>
  <c r="W134" i="1"/>
  <c r="Z128" i="1"/>
  <c r="Z130" i="1"/>
  <c r="P107" i="1"/>
  <c r="U118" i="1"/>
  <c r="D118" i="1" s="1"/>
  <c r="U128" i="1"/>
  <c r="D128" i="1" s="1"/>
  <c r="U116" i="1"/>
  <c r="D116" i="1" s="1"/>
  <c r="Z23" i="1"/>
  <c r="D27" i="1"/>
  <c r="D35" i="1"/>
  <c r="D45" i="1"/>
  <c r="D76" i="1"/>
  <c r="D96" i="1"/>
  <c r="P103" i="1"/>
  <c r="D103" i="1" s="1"/>
  <c r="P110" i="1"/>
  <c r="D110" i="1" s="1"/>
  <c r="U117" i="1"/>
  <c r="D117" i="1" s="1"/>
  <c r="U136" i="1"/>
  <c r="D31" i="1"/>
  <c r="U74" i="1"/>
  <c r="D74" i="1" s="1"/>
  <c r="U77" i="1"/>
  <c r="D77" i="1" s="1"/>
  <c r="F86" i="1"/>
  <c r="F90" i="1"/>
  <c r="D90" i="1" s="1"/>
  <c r="P106" i="1"/>
  <c r="D106" i="1" s="1"/>
  <c r="Z120" i="1"/>
  <c r="D120" i="1" s="1"/>
  <c r="Z124" i="1"/>
  <c r="D124" i="1" s="1"/>
  <c r="Z136" i="1"/>
  <c r="U119" i="1"/>
  <c r="D119" i="1" s="1"/>
  <c r="U129" i="1"/>
  <c r="U131" i="1"/>
  <c r="P136" i="1"/>
  <c r="D16" i="1"/>
  <c r="P111" i="1"/>
  <c r="D111" i="1" s="1"/>
  <c r="U130" i="1"/>
  <c r="Z123" i="1"/>
  <c r="D123" i="1" s="1"/>
  <c r="F136" i="1"/>
  <c r="F138" i="1" s="1"/>
  <c r="D15" i="1"/>
  <c r="F87" i="1"/>
  <c r="D87" i="1" s="1"/>
  <c r="F89" i="1"/>
  <c r="D89" i="1" s="1"/>
  <c r="F91" i="1"/>
  <c r="D91" i="1" s="1"/>
  <c r="F93" i="1"/>
  <c r="D93" i="1" s="1"/>
  <c r="P102" i="1"/>
  <c r="D102" i="1" s="1"/>
  <c r="U114" i="1"/>
  <c r="D114" i="1" s="1"/>
  <c r="Z127" i="1"/>
  <c r="D127" i="1" s="1"/>
  <c r="F88" i="1"/>
  <c r="D88" i="1" s="1"/>
  <c r="F92" i="1"/>
  <c r="D92" i="1" s="1"/>
  <c r="F94" i="1"/>
  <c r="D94" i="1" s="1"/>
  <c r="P105" i="1"/>
  <c r="D105" i="1" s="1"/>
  <c r="P108" i="1"/>
  <c r="D108" i="1" s="1"/>
  <c r="P112" i="1"/>
  <c r="D112" i="1" s="1"/>
  <c r="U113" i="1"/>
  <c r="D113" i="1" s="1"/>
  <c r="U115" i="1"/>
  <c r="D115" i="1" s="1"/>
  <c r="Z122" i="1"/>
  <c r="D122" i="1" s="1"/>
  <c r="D97" i="1"/>
  <c r="D132" i="1"/>
  <c r="P104" i="1"/>
  <c r="D104" i="1" s="1"/>
  <c r="P109" i="1"/>
  <c r="D109" i="1" s="1"/>
  <c r="Z129" i="1"/>
  <c r="D107" i="1"/>
  <c r="Z121" i="1"/>
  <c r="D121" i="1" s="1"/>
  <c r="Z125" i="1"/>
  <c r="D125" i="1" s="1"/>
  <c r="D17" i="1"/>
  <c r="D100" i="1"/>
  <c r="Z39" i="1"/>
  <c r="D39" i="1" s="1"/>
  <c r="Z131" i="1"/>
  <c r="D101" i="1"/>
  <c r="C45" i="1"/>
  <c r="C44" i="1" s="1"/>
  <c r="D23" i="1" l="1"/>
  <c r="D130" i="1"/>
  <c r="D86" i="1"/>
  <c r="F134" i="1"/>
  <c r="P134" i="1"/>
  <c r="Z134" i="1"/>
  <c r="U134" i="1"/>
  <c r="D131" i="1"/>
  <c r="D72" i="1"/>
  <c r="D136" i="1"/>
  <c r="D129" i="1"/>
  <c r="G39" i="4"/>
  <c r="F39" i="4"/>
  <c r="L39" i="4"/>
  <c r="K39" i="4"/>
  <c r="Q39" i="4"/>
  <c r="P39" i="4"/>
  <c r="V39" i="4"/>
  <c r="U39" i="4"/>
  <c r="AA39" i="4"/>
  <c r="Z39" i="4"/>
  <c r="Z64" i="1"/>
  <c r="D64" i="1" s="1"/>
  <c r="Z63" i="1"/>
  <c r="D63" i="1" s="1"/>
  <c r="U62" i="1"/>
  <c r="D62" i="1" s="1"/>
  <c r="Z61" i="1"/>
  <c r="D61" i="1" s="1"/>
  <c r="Y39" i="4" l="1"/>
  <c r="O39" i="4"/>
  <c r="J39" i="4"/>
  <c r="T39" i="4"/>
  <c r="Z40" i="1"/>
  <c r="D40" i="1" s="1"/>
  <c r="C40" i="1"/>
  <c r="C41" i="1"/>
  <c r="C39" i="1"/>
  <c r="F38" i="1"/>
  <c r="G38" i="1"/>
  <c r="H38" i="1"/>
  <c r="I38" i="1"/>
  <c r="J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AA38" i="1"/>
  <c r="AC38" i="1"/>
  <c r="E38" i="1"/>
  <c r="Z41" i="1"/>
  <c r="D41" i="1" s="1"/>
  <c r="AB38" i="1"/>
  <c r="K38" i="1" l="1"/>
  <c r="C38" i="1"/>
  <c r="Z38" i="1"/>
  <c r="L34" i="1"/>
  <c r="L42" i="1" s="1"/>
  <c r="C37" i="1"/>
  <c r="C36" i="1"/>
  <c r="C35" i="1"/>
  <c r="E34" i="1"/>
  <c r="G34" i="1"/>
  <c r="G42" i="1" s="1"/>
  <c r="H34" i="1"/>
  <c r="H42" i="1" s="1"/>
  <c r="I34" i="1"/>
  <c r="I42" i="1" s="1"/>
  <c r="J34" i="1"/>
  <c r="J42" i="1" s="1"/>
  <c r="M34" i="1"/>
  <c r="N34" i="1"/>
  <c r="F34" i="1"/>
  <c r="Q34" i="1"/>
  <c r="T34" i="1"/>
  <c r="U34" i="1"/>
  <c r="V34" i="1"/>
  <c r="W34" i="1"/>
  <c r="X34" i="1"/>
  <c r="Y34" i="1"/>
  <c r="Z34" i="1"/>
  <c r="AA34" i="1"/>
  <c r="AB34" i="1"/>
  <c r="AC34" i="1"/>
  <c r="O34" i="1"/>
  <c r="O42" i="1" s="1"/>
  <c r="P37" i="1"/>
  <c r="D37" i="1" s="1"/>
  <c r="P36" i="1"/>
  <c r="D36" i="1" s="1"/>
  <c r="S34" i="1"/>
  <c r="R34" i="1"/>
  <c r="C32" i="1"/>
  <c r="C31" i="1"/>
  <c r="D32" i="1"/>
  <c r="D30" i="1" s="1"/>
  <c r="D38" i="1" l="1"/>
  <c r="C30" i="1"/>
  <c r="K34" i="1"/>
  <c r="P34" i="1"/>
  <c r="C34" i="1"/>
  <c r="C28" i="1"/>
  <c r="C29" i="1"/>
  <c r="C27" i="1"/>
  <c r="E26" i="1"/>
  <c r="E42" i="1" s="1"/>
  <c r="F26" i="1"/>
  <c r="F42" i="1" s="1"/>
  <c r="P26" i="1"/>
  <c r="Q26" i="1"/>
  <c r="Q42" i="1" s="1"/>
  <c r="R26" i="1"/>
  <c r="R42" i="1" s="1"/>
  <c r="S26" i="1"/>
  <c r="S42" i="1" s="1"/>
  <c r="T26" i="1"/>
  <c r="T42" i="1" s="1"/>
  <c r="U26" i="1"/>
  <c r="U42" i="1" s="1"/>
  <c r="V26" i="1"/>
  <c r="V42" i="1" s="1"/>
  <c r="W26" i="1"/>
  <c r="W42" i="1" s="1"/>
  <c r="X26" i="1"/>
  <c r="X42" i="1" s="1"/>
  <c r="Y26" i="1"/>
  <c r="Y42" i="1" s="1"/>
  <c r="Z26" i="1"/>
  <c r="AA26" i="1"/>
  <c r="AA42" i="1" s="1"/>
  <c r="AB26" i="1"/>
  <c r="AB42" i="1" s="1"/>
  <c r="AC26" i="1"/>
  <c r="AC42" i="1" s="1"/>
  <c r="D29" i="1"/>
  <c r="D28" i="1"/>
  <c r="P42" i="1" l="1"/>
  <c r="D34" i="1"/>
  <c r="D26" i="1"/>
  <c r="C26" i="1"/>
  <c r="C42" i="1" s="1"/>
  <c r="C24" i="1"/>
  <c r="C25" i="1"/>
  <c r="C23" i="1"/>
  <c r="Z25" i="1"/>
  <c r="D25" i="1" s="1"/>
  <c r="Z24" i="1"/>
  <c r="D24" i="1" l="1"/>
  <c r="Z22" i="1"/>
  <c r="H39" i="4"/>
  <c r="E39" i="4" s="1"/>
  <c r="AD39" i="4" s="1"/>
  <c r="C49" i="1"/>
  <c r="C50" i="1"/>
  <c r="Z65" i="1"/>
  <c r="U65" i="1"/>
  <c r="P65" i="1"/>
  <c r="F65" i="1"/>
  <c r="C58" i="1"/>
  <c r="C66" i="1" s="1"/>
  <c r="Z58" i="1"/>
  <c r="U58" i="1"/>
  <c r="P58" i="1"/>
  <c r="F58" i="1"/>
  <c r="D22" i="1" l="1"/>
  <c r="Z42" i="1"/>
  <c r="P66" i="1"/>
  <c r="C48" i="1"/>
  <c r="C56" i="1" s="1"/>
  <c r="U66" i="1"/>
  <c r="F66" i="1"/>
  <c r="Z66" i="1"/>
  <c r="AA38" i="4"/>
  <c r="D58" i="1"/>
  <c r="D65" i="1"/>
  <c r="H42" i="4"/>
  <c r="V84" i="1"/>
  <c r="Y84" i="1"/>
  <c r="AA84" i="1"/>
  <c r="AB84" i="1"/>
  <c r="AA40" i="4" s="1"/>
  <c r="AC84" i="1"/>
  <c r="Z40" i="4" s="1"/>
  <c r="T84" i="1"/>
  <c r="L84" i="1"/>
  <c r="O84" i="1"/>
  <c r="Q84" i="1"/>
  <c r="E84" i="1"/>
  <c r="G84" i="1"/>
  <c r="J84" i="1"/>
  <c r="C83" i="1"/>
  <c r="C77" i="1"/>
  <c r="C76" i="1"/>
  <c r="C75" i="1"/>
  <c r="C74" i="1"/>
  <c r="U83" i="1"/>
  <c r="D83" i="1" s="1"/>
  <c r="C72" i="1"/>
  <c r="C73" i="1"/>
  <c r="P73" i="1"/>
  <c r="D66" i="1" l="1"/>
  <c r="Y40" i="4"/>
  <c r="P84" i="1"/>
  <c r="D73" i="1"/>
  <c r="X84" i="1"/>
  <c r="U40" i="4" s="1"/>
  <c r="U84" i="1"/>
  <c r="W84" i="1"/>
  <c r="V40" i="4" s="1"/>
  <c r="V138" i="1"/>
  <c r="Y138" i="1"/>
  <c r="AA138" i="1"/>
  <c r="L138" i="1"/>
  <c r="O138" i="1"/>
  <c r="Q138" i="1"/>
  <c r="T138" i="1"/>
  <c r="E138" i="1"/>
  <c r="G138" i="1"/>
  <c r="J138" i="1"/>
  <c r="Z137" i="1"/>
  <c r="Z138" i="1" s="1"/>
  <c r="U137" i="1"/>
  <c r="U138" i="1" s="1"/>
  <c r="P137" i="1"/>
  <c r="C136" i="1"/>
  <c r="C138" i="1" s="1"/>
  <c r="AC138" i="1"/>
  <c r="Z42" i="4" s="1"/>
  <c r="AB138" i="1"/>
  <c r="AA42" i="4" s="1"/>
  <c r="X138" i="1"/>
  <c r="U42" i="4" s="1"/>
  <c r="W138" i="1"/>
  <c r="V42" i="4" s="1"/>
  <c r="S138" i="1"/>
  <c r="P42" i="4" s="1"/>
  <c r="N138" i="1"/>
  <c r="K42" i="4" s="1"/>
  <c r="M138" i="1"/>
  <c r="L42" i="4" s="1"/>
  <c r="I138" i="1"/>
  <c r="F42" i="4" s="1"/>
  <c r="H138" i="1"/>
  <c r="G42" i="4" s="1"/>
  <c r="C87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86" i="1"/>
  <c r="K138" i="1" l="1"/>
  <c r="C134" i="1"/>
  <c r="J42" i="4"/>
  <c r="T42" i="4"/>
  <c r="Y42" i="4"/>
  <c r="P138" i="1"/>
  <c r="D137" i="1"/>
  <c r="E42" i="4"/>
  <c r="T40" i="4"/>
  <c r="D138" i="1" l="1"/>
  <c r="H37" i="4"/>
  <c r="H44" i="4" s="1"/>
  <c r="H63" i="4" s="1"/>
  <c r="G387" i="1"/>
  <c r="AA37" i="4"/>
  <c r="AA41" i="4"/>
  <c r="Z41" i="4"/>
  <c r="AB387" i="1" l="1"/>
  <c r="AG44" i="4"/>
  <c r="AG63" i="4" s="1"/>
  <c r="Y41" i="4"/>
  <c r="AA44" i="4"/>
  <c r="AA63" i="4" s="1"/>
  <c r="S84" i="1"/>
  <c r="P40" i="4" s="1"/>
  <c r="R84" i="1"/>
  <c r="Q40" i="4" s="1"/>
  <c r="O40" i="4" l="1"/>
  <c r="P41" i="4"/>
  <c r="Q41" i="4"/>
  <c r="C71" i="1"/>
  <c r="C69" i="1"/>
  <c r="C70" i="1"/>
  <c r="D69" i="1"/>
  <c r="K40" i="4"/>
  <c r="M84" i="1"/>
  <c r="D46" i="1"/>
  <c r="D44" i="1" s="1"/>
  <c r="O41" i="4" l="1"/>
  <c r="L40" i="4"/>
  <c r="J40" i="4" s="1"/>
  <c r="K84" i="1"/>
  <c r="C84" i="1"/>
  <c r="K38" i="4"/>
  <c r="L38" i="4"/>
  <c r="F71" i="1"/>
  <c r="D71" i="1" s="1"/>
  <c r="I84" i="1"/>
  <c r="F40" i="4" s="1"/>
  <c r="H84" i="1"/>
  <c r="G40" i="4" s="1"/>
  <c r="J38" i="4" l="1"/>
  <c r="E40" i="4"/>
  <c r="AD40" i="4" s="1"/>
  <c r="F84" i="1"/>
  <c r="G41" i="4" l="1"/>
  <c r="Z68" i="1" l="1"/>
  <c r="D68" i="1" s="1"/>
  <c r="Z70" i="1"/>
  <c r="D70" i="1" s="1"/>
  <c r="AA387" i="1" l="1"/>
  <c r="AC387" i="1"/>
  <c r="Z37" i="4"/>
  <c r="Y387" i="1"/>
  <c r="Z84" i="1"/>
  <c r="S45" i="1"/>
  <c r="S44" i="1" s="1"/>
  <c r="S56" i="1" s="1"/>
  <c r="R45" i="1"/>
  <c r="R44" i="1" s="1"/>
  <c r="P38" i="4" l="1"/>
  <c r="E387" i="1"/>
  <c r="Z38" i="4"/>
  <c r="Y38" i="4" s="1"/>
  <c r="G38" i="4"/>
  <c r="V38" i="4"/>
  <c r="U38" i="4"/>
  <c r="F38" i="4"/>
  <c r="Z387" i="1"/>
  <c r="Y37" i="4"/>
  <c r="Y44" i="4" l="1"/>
  <c r="Y63" i="4" s="1"/>
  <c r="E38" i="4"/>
  <c r="T38" i="4"/>
  <c r="Z44" i="4"/>
  <c r="Z63" i="4" s="1"/>
  <c r="S387" i="1" l="1"/>
  <c r="O387" i="1"/>
  <c r="Q387" i="1"/>
  <c r="V387" i="1"/>
  <c r="T387" i="1"/>
  <c r="V37" i="4"/>
  <c r="U37" i="4"/>
  <c r="Q37" i="4"/>
  <c r="F37" i="4"/>
  <c r="H387" i="1"/>
  <c r="J387" i="1"/>
  <c r="P37" i="4" l="1"/>
  <c r="P44" i="4" s="1"/>
  <c r="P63" i="4" s="1"/>
  <c r="L387" i="1"/>
  <c r="T37" i="4"/>
  <c r="G37" i="4"/>
  <c r="G44" i="4" s="1"/>
  <c r="O37" i="4" l="1"/>
  <c r="G63" i="4"/>
  <c r="E37" i="4"/>
  <c r="W387" i="1" l="1"/>
  <c r="X387" i="1"/>
  <c r="U41" i="4" l="1"/>
  <c r="U44" i="4" s="1"/>
  <c r="U63" i="4" s="1"/>
  <c r="V41" i="4"/>
  <c r="V44" i="4" s="1"/>
  <c r="V63" i="4" s="1"/>
  <c r="T41" i="4" l="1"/>
  <c r="T44" i="4" s="1"/>
  <c r="T63" i="4" s="1"/>
  <c r="U387" i="1"/>
  <c r="D84" i="1" l="1"/>
  <c r="R138" i="1"/>
  <c r="I387" i="1"/>
  <c r="F387" i="1" l="1"/>
  <c r="F41" i="4"/>
  <c r="Q42" i="4"/>
  <c r="O42" i="4" l="1"/>
  <c r="E41" i="4"/>
  <c r="F44" i="4"/>
  <c r="F63" i="4" l="1"/>
  <c r="AD42" i="4"/>
  <c r="E44" i="4"/>
  <c r="E63" i="4" s="1"/>
  <c r="M18" i="1"/>
  <c r="M42" i="1" s="1"/>
  <c r="L37" i="4" l="1"/>
  <c r="K18" i="1" l="1"/>
  <c r="K42" i="1" s="1"/>
  <c r="N18" i="1"/>
  <c r="N42" i="1" s="1"/>
  <c r="N387" i="1" s="1"/>
  <c r="K37" i="4" l="1"/>
  <c r="D18" i="1"/>
  <c r="D19" i="1"/>
  <c r="D42" i="1" l="1"/>
  <c r="J37" i="4"/>
  <c r="AD37" i="4" l="1"/>
  <c r="D95" i="1"/>
  <c r="D98" i="1" l="1"/>
  <c r="K41" i="4" l="1"/>
  <c r="K44" i="4" l="1"/>
  <c r="K63" i="4" l="1"/>
  <c r="AE44" i="4"/>
  <c r="AE63" i="4" s="1"/>
  <c r="D99" i="1"/>
  <c r="M134" i="1"/>
  <c r="K134" i="1" s="1"/>
  <c r="D134" i="1" s="1"/>
  <c r="M387" i="1" l="1"/>
  <c r="K387" i="1" s="1"/>
  <c r="L41" i="4"/>
  <c r="L44" i="4" l="1"/>
  <c r="J41" i="4"/>
  <c r="J44" i="4" l="1"/>
  <c r="J63" i="4" s="1"/>
  <c r="AD41" i="4"/>
  <c r="L63" i="4"/>
  <c r="P49" i="1" l="1"/>
  <c r="P48" i="1" s="1"/>
  <c r="P56" i="1" s="1"/>
  <c r="P387" i="1" s="1"/>
  <c r="R48" i="1"/>
  <c r="R56" i="1" s="1"/>
  <c r="Q38" i="4" l="1"/>
  <c r="R387" i="1"/>
  <c r="D49" i="1"/>
  <c r="D48" i="1" s="1"/>
  <c r="D56" i="1" s="1"/>
  <c r="D387" i="1" s="1"/>
  <c r="Q44" i="4" l="1"/>
  <c r="O38" i="4"/>
  <c r="Q63" i="4" l="1"/>
  <c r="AF44" i="4"/>
  <c r="AF63" i="4" s="1"/>
  <c r="AD38" i="4"/>
  <c r="AD44" i="4" s="1"/>
  <c r="AD63" i="4" s="1"/>
  <c r="O44" i="4"/>
  <c r="O63" i="4" s="1"/>
</calcChain>
</file>

<file path=xl/sharedStrings.xml><?xml version="1.0" encoding="utf-8"?>
<sst xmlns="http://schemas.openxmlformats.org/spreadsheetml/2006/main" count="1415" uniqueCount="1059">
  <si>
    <t>Наименование мероприятий по объектам</t>
  </si>
  <si>
    <t>1.1.</t>
  </si>
  <si>
    <t>2.1.</t>
  </si>
  <si>
    <t>2.2.</t>
  </si>
  <si>
    <t>4.2.</t>
  </si>
  <si>
    <t>5.1.</t>
  </si>
  <si>
    <t>5.2.</t>
  </si>
  <si>
    <t>5.3.</t>
  </si>
  <si>
    <t>6.1.</t>
  </si>
  <si>
    <t>6.2.</t>
  </si>
  <si>
    <t>5.4.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</si>
  <si>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</si>
  <si>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</si>
  <si>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</si>
  <si>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</si>
  <si>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Итого по объектам строительства по разделу 1:</t>
  </si>
  <si>
    <t>Итого по объектам реконструкции по разделу 2:</t>
  </si>
  <si>
    <t>Итого по объектам капитального ремонта по разделу 4:</t>
  </si>
  <si>
    <t>Итого по объектам ремонта дворовых территорий по разделу 6:</t>
  </si>
  <si>
    <t>1.1.1.</t>
  </si>
  <si>
    <t>2.1.1.</t>
  </si>
  <si>
    <t>2.2.1.</t>
  </si>
  <si>
    <t>2.2.2.</t>
  </si>
  <si>
    <t>4.11.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</si>
  <si>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</si>
  <si>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</si>
  <si>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</si>
  <si>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</si>
  <si>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</si>
  <si>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</si>
  <si>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</si>
  <si>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</si>
  <si>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</si>
  <si>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</si>
  <si>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</si>
  <si>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5.17.</t>
  </si>
  <si>
    <t>5.18.</t>
  </si>
  <si>
    <t>5.19.</t>
  </si>
  <si>
    <t>5.20.</t>
  </si>
  <si>
    <t>5.16.</t>
  </si>
  <si>
    <t>5.21.</t>
  </si>
  <si>
    <t>5.22.</t>
  </si>
  <si>
    <t>5.23.</t>
  </si>
  <si>
    <t>5.24.</t>
  </si>
  <si>
    <t>5.25.</t>
  </si>
  <si>
    <t>5.26.</t>
  </si>
  <si>
    <t>5.27.</t>
  </si>
  <si>
    <t>5.28.</t>
  </si>
  <si>
    <t>5.29.</t>
  </si>
  <si>
    <t>5.30.</t>
  </si>
  <si>
    <t>5.31.</t>
  </si>
  <si>
    <t>5.33.</t>
  </si>
  <si>
    <t>5.34.</t>
  </si>
  <si>
    <t>5.35.</t>
  </si>
  <si>
    <t>5.36.</t>
  </si>
  <si>
    <t>5.37.</t>
  </si>
  <si>
    <t>5.38.</t>
  </si>
  <si>
    <t>5.39.</t>
  </si>
  <si>
    <t>5.40.</t>
  </si>
  <si>
    <t>5.41.</t>
  </si>
  <si>
    <t>5.42.</t>
  </si>
  <si>
    <t>5.43.</t>
  </si>
  <si>
    <t>1.2.</t>
  </si>
  <si>
    <t>1.2.1.</t>
  </si>
  <si>
    <t>1.2.2.</t>
  </si>
  <si>
    <t>местный бюджет, тыс.руб.</t>
  </si>
  <si>
    <t>5.44.</t>
  </si>
  <si>
    <t>5.45.</t>
  </si>
  <si>
    <t>5.46.</t>
  </si>
  <si>
    <t>5.47.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</si>
  <si>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</si>
  <si>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</si>
  <si>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</si>
  <si>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</si>
  <si>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</si>
  <si>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</si>
  <si>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</si>
  <si>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1. Строительство автомобильных дорог общего пользования местного значения городского округа Тольятти:</t>
  </si>
  <si>
    <t>2. Реконструкция автомобильных дорог общего пользования местного значения городского округа Тольятти: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</si>
  <si>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</si>
  <si>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5. Выполнение работ по ремонту автомобильных  дорог общего пользования местного значения городского округа Тольятти:</t>
  </si>
  <si>
    <t xml:space="preserve">4. Выполнение работ по капитальному ремонту автомобильных дорог общего пользования  местного значения городского округа Тольятти: 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</si>
  <si>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</si>
  <si>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</si>
  <si>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</si>
  <si>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</si>
  <si>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Итого по объектам ремонта дорог по разделу 5:</t>
  </si>
  <si>
    <t>1.1.2.</t>
  </si>
  <si>
    <t>1.3.</t>
  </si>
  <si>
    <t>1.3.2.</t>
  </si>
  <si>
    <t>1.3.3.</t>
  </si>
  <si>
    <t>1.4.</t>
  </si>
  <si>
    <t>1.4.2.</t>
  </si>
  <si>
    <t>1.4.3.</t>
  </si>
  <si>
    <t>1.5.</t>
  </si>
  <si>
    <t>1.5.2.</t>
  </si>
  <si>
    <t>1.5.3.</t>
  </si>
  <si>
    <t>1.6.</t>
  </si>
  <si>
    <t>1.6.1.</t>
  </si>
  <si>
    <t>1.6.2.</t>
  </si>
  <si>
    <t>1.6.3.</t>
  </si>
  <si>
    <t>1.7.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</si>
  <si>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</si>
  <si>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</si>
  <si>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</si>
  <si>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3. 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Тольятти:</t>
  </si>
  <si>
    <t>Итого по  объектам проектирования строительства, реконструкции, капитального ремонта и ремонта по разделу 3:</t>
  </si>
  <si>
    <t>5.32.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</si>
  <si>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</si>
  <si>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</si>
  <si>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</si>
  <si>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</si>
  <si>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</si>
  <si>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</si>
  <si>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</si>
  <si>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</si>
  <si>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</si>
  <si>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</si>
  <si>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</si>
  <si>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</si>
  <si>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 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</si>
  <si>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</si>
  <si>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</si>
  <si>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1.7.3.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</si>
  <si>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</si>
  <si>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2.2.3.</t>
  </si>
  <si>
    <t>1.7.2.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</si>
  <si>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</si>
  <si>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</si>
  <si>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</si>
  <si>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 xml:space="preserve">автодорога по улице Фрунзе между улицей Юбилейной и Московским проспектом </t>
  </si>
  <si>
    <t>автодорога по улице Дзержинского между улицей Ворошилова и ул. 40 лет Победы</t>
  </si>
  <si>
    <t>автодорога по улице Полякова от улицы Офицерская до Южного шоссе</t>
  </si>
  <si>
    <t>улица Нижнегородская от Майского проезда до ГСК "Полина"</t>
  </si>
  <si>
    <t>автодорога по улице Мира от улицы Родины до улицы Победы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</si>
  <si>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</si>
  <si>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</si>
  <si>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</si>
  <si>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</si>
  <si>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</si>
  <si>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</si>
  <si>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Мичурина от улицы Ленина до Енисейского проезда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</si>
  <si>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</si>
  <si>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</si>
  <si>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</si>
  <si>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</si>
  <si>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</si>
  <si>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</si>
  <si>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</si>
  <si>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</si>
  <si>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</si>
  <si>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</si>
  <si>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</si>
  <si>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</si>
  <si>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</si>
  <si>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</si>
  <si>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</si>
  <si>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</si>
  <si>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</si>
  <si>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</si>
  <si>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</si>
  <si>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</si>
  <si>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</si>
  <si>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</si>
  <si>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</si>
  <si>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</si>
  <si>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4.4.</t>
  </si>
  <si>
    <t>4.5.</t>
  </si>
  <si>
    <t>4.6.</t>
  </si>
  <si>
    <t>4.7.</t>
  </si>
  <si>
    <t>4.9.</t>
  </si>
  <si>
    <t>Капитальный ремонт автодороги по улице Северная 21/21, от улицы Северной до перекрёстка со строением,27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</si>
  <si>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</si>
  <si>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</si>
  <si>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</si>
  <si>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1.4.1.</t>
  </si>
  <si>
    <t>1.5.1.</t>
  </si>
  <si>
    <t>1.7.1.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</si>
  <si>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</si>
  <si>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</si>
  <si>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</si>
  <si>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</si>
  <si>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</si>
  <si>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</si>
  <si>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</si>
  <si>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</si>
  <si>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</si>
  <si>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</si>
  <si>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</si>
  <si>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</si>
  <si>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</si>
  <si>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</si>
  <si>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</si>
  <si>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Задача подпрограммы: совершенствование технического и технологического обеспечения транспортного обслуживания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</si>
  <si>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</si>
  <si>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Подпрограмма "Развитие  городского пассажирского транспорта в городском округе Тольяттина период 2021-2025 гг."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</si>
  <si>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</si>
  <si>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</si>
  <si>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</si>
  <si>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</si>
  <si>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</si>
  <si>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</si>
  <si>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</si>
  <si>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</si>
  <si>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</si>
  <si>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администрации городского округа Тольятти</t>
  </si>
  <si>
    <t xml:space="preserve">Устройство парковочных площадок, карманов  и стоянок                                               </t>
  </si>
  <si>
    <t>Проектирование устройства парковочных площадок (карманов  и стоянок)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</si>
  <si>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</si>
  <si>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</si>
  <si>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</si>
  <si>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</si>
  <si>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Проектирование устройства пешеходных дорожек, в т.ч. экспертиза выполненных работ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</si>
  <si>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</si>
  <si>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</si>
  <si>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 xml:space="preserve">Приобретение ограничивающих пешеходных и барьерных ограждений  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</si>
  <si>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</si>
  <si>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</si>
  <si>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</si>
  <si>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</si>
  <si>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</si>
  <si>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</si>
  <si>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</si>
  <si>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</si>
  <si>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</si>
  <si>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</si>
  <si>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</si>
  <si>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</si>
  <si>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</si>
  <si>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</si>
  <si>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</si>
  <si>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</si>
  <si>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</si>
  <si>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</si>
  <si>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2021-2025 гг." </t>
  </si>
  <si>
    <t>внебюд-жетные средства</t>
  </si>
  <si>
    <t>федераль-ный   бюджет</t>
  </si>
  <si>
    <t>2021-2022</t>
  </si>
  <si>
    <t>2023-2025</t>
  </si>
  <si>
    <t xml:space="preserve">Устройство технических средств организации дорожного движения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</si>
  <si>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Подпрограмма "Повышение безопасности дорожного движения на период 2021-2025 гг."                       </t>
  </si>
  <si>
    <t xml:space="preserve">ИТОГО ПО ПОДПРОГРАММЕ "ПБДД"   </t>
  </si>
  <si>
    <t>Строительство автомобильных дорог общего пользования местного значения городского округа Тольятти</t>
  </si>
  <si>
    <t>Реконструкция автомобильных дорог общего пользования местного значения городского округа Тольятти</t>
  </si>
  <si>
    <t>Выполнение проектно-изыскательских работ по строительству, реконструкции, капитальному ремонту и ремонту автомобильных дорог общего пользования местного значения городского округа Тольятти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</si>
  <si>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</si>
  <si>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</si>
  <si>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>ИТОГО ПО ПОДПРОГРАММЕ "МРАД"</t>
  </si>
  <si>
    <t>Подпрограмма "Содержание улично-дорожной сети на 2021 - 2025 гг."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</si>
  <si>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</si>
  <si>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 xml:space="preserve">Содержание   надземных и подземных пешеходных переходов </t>
  </si>
  <si>
    <t>Задача подпрограммы: выполнение мероприятий по организации  дорожного движения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</si>
  <si>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</si>
  <si>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</si>
  <si>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</si>
  <si>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</si>
  <si>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</si>
  <si>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</si>
  <si>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</si>
  <si>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</si>
  <si>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</si>
  <si>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</si>
  <si>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</si>
  <si>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</si>
  <si>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</si>
  <si>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</si>
  <si>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</si>
  <si>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</si>
  <si>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</si>
  <si>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</si>
  <si>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</si>
  <si>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</si>
  <si>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</si>
  <si>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</si>
  <si>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</si>
  <si>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</si>
  <si>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</si>
  <si>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</si>
  <si>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</si>
  <si>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</si>
  <si>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</si>
  <si>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</si>
  <si>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</si>
  <si>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</si>
  <si>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</si>
  <si>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</si>
  <si>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</si>
  <si>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</si>
  <si>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</si>
  <si>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</si>
  <si>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</si>
  <si>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</si>
  <si>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</si>
  <si>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</si>
  <si>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</si>
  <si>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</si>
  <si>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</si>
  <si>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</si>
  <si>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</si>
  <si>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</si>
  <si>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</si>
  <si>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</si>
  <si>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</si>
  <si>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</si>
  <si>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</si>
  <si>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</si>
  <si>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</si>
  <si>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</si>
  <si>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</si>
  <si>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</si>
  <si>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</si>
  <si>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</si>
  <si>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</si>
  <si>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</si>
  <si>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</si>
  <si>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</si>
  <si>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</si>
  <si>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</si>
  <si>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</si>
  <si>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</si>
  <si>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</si>
  <si>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</si>
  <si>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</si>
  <si>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</si>
  <si>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</si>
  <si>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</si>
  <si>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</si>
  <si>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</si>
  <si>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</si>
  <si>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</si>
  <si>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</si>
  <si>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</si>
  <si>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</si>
  <si>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</si>
  <si>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</si>
  <si>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</si>
  <si>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</si>
  <si>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</si>
  <si>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</si>
  <si>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</si>
  <si>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</si>
  <si>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</si>
  <si>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</si>
  <si>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</si>
  <si>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</si>
  <si>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</si>
  <si>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</si>
  <si>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</si>
  <si>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</si>
  <si>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</si>
  <si>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</si>
  <si>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</si>
  <si>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</si>
  <si>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</si>
  <si>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</si>
  <si>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</si>
  <si>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</si>
  <si>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</si>
  <si>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</si>
  <si>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</si>
  <si>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</si>
  <si>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</si>
  <si>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</si>
  <si>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</si>
  <si>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</si>
  <si>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 xml:space="preserve"> Автодорога по ул. Калинина (от ул. Шлютова до пр. Чернышевского)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</si>
  <si>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</si>
  <si>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</si>
  <si>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</si>
  <si>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</si>
  <si>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ул. Пугачевская ( от ул. Шлютова до б-ра 50 лет Октября0</t>
  </si>
  <si>
    <t>Автодорога по проезду Хлебный</t>
  </si>
  <si>
    <t>Автодорога по улице Киевская</t>
  </si>
  <si>
    <t>Автодорога по улице Бузыцкова</t>
  </si>
  <si>
    <t>Автодорога по улице  Голоднова (от пр. Делового до границы Городского округа)</t>
  </si>
  <si>
    <t>Автодорога по проезду Непорожнего</t>
  </si>
  <si>
    <t>Автодорога по улице  Викторова;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</si>
  <si>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</si>
  <si>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</si>
  <si>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</si>
  <si>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</si>
  <si>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</si>
  <si>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</si>
  <si>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</si>
  <si>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</si>
  <si>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</si>
  <si>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</si>
  <si>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</si>
  <si>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</si>
  <si>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</si>
  <si>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</si>
  <si>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</si>
  <si>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</si>
  <si>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</si>
  <si>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</si>
  <si>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ул. Автомобилистов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</si>
  <si>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</si>
  <si>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</si>
  <si>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</si>
  <si>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</si>
  <si>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</si>
  <si>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</si>
  <si>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</si>
  <si>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</si>
  <si>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</si>
  <si>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</si>
  <si>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</si>
  <si>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</si>
  <si>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</si>
  <si>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</si>
  <si>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</si>
  <si>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</si>
  <si>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</si>
  <si>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</si>
  <si>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</si>
  <si>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</si>
  <si>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</si>
  <si>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</si>
  <si>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переулку      1-й Горный </t>
  </si>
  <si>
    <t xml:space="preserve">Автодорога по переулку         2-й Горный </t>
  </si>
  <si>
    <t xml:space="preserve">Автодорога по переулку      3-й Горный </t>
  </si>
  <si>
    <t xml:space="preserve">Автодорога по переулку      4-й Горный 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</si>
  <si>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</si>
  <si>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</si>
  <si>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</si>
  <si>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</si>
  <si>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</si>
  <si>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</si>
  <si>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</si>
  <si>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</si>
  <si>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</si>
  <si>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</si>
  <si>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</si>
  <si>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</si>
  <si>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</si>
  <si>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</si>
  <si>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</si>
  <si>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</si>
  <si>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</si>
  <si>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</si>
  <si>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</si>
  <si>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</si>
  <si>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</si>
  <si>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</si>
  <si>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</si>
  <si>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</si>
  <si>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</si>
  <si>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</si>
  <si>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</si>
  <si>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</si>
  <si>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 xml:space="preserve">Автодорога по улице Подгорная                                                 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</si>
  <si>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</si>
  <si>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</si>
  <si>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</si>
  <si>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</si>
  <si>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</si>
  <si>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</si>
  <si>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</si>
  <si>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</si>
  <si>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</si>
  <si>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</si>
  <si>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</si>
  <si>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</si>
  <si>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</si>
  <si>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</si>
  <si>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</si>
  <si>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</si>
  <si>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</si>
  <si>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</si>
  <si>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</si>
  <si>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</si>
  <si>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</si>
  <si>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</si>
  <si>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</si>
  <si>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</si>
  <si>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</si>
  <si>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</si>
  <si>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</si>
  <si>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</si>
  <si>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</si>
  <si>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</si>
  <si>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</si>
  <si>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</si>
  <si>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</si>
  <si>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</si>
  <si>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</si>
  <si>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</si>
  <si>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</si>
  <si>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</si>
  <si>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</si>
  <si>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>Автодорога по проезду от Хрящевского шоссе до ул. Грачева, 17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</si>
  <si>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</si>
  <si>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</si>
  <si>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</si>
  <si>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7.2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</si>
  <si>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</si>
  <si>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</si>
  <si>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</si>
  <si>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</si>
  <si>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</si>
  <si>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</si>
  <si>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</si>
  <si>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</si>
  <si>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</si>
  <si>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</si>
  <si>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</si>
  <si>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</si>
  <si>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</si>
  <si>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</si>
  <si>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</si>
  <si>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</si>
  <si>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</si>
  <si>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</si>
  <si>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</si>
  <si>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</si>
  <si>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</si>
  <si>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</si>
  <si>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</si>
  <si>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</si>
  <si>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</si>
  <si>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</si>
  <si>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</si>
  <si>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7.1.29</t>
  </si>
  <si>
    <t>7.1.30</t>
  </si>
  <si>
    <t>7.1.31</t>
  </si>
  <si>
    <t>7.1.32</t>
  </si>
  <si>
    <t>7.1.33</t>
  </si>
  <si>
    <t>7.1.34</t>
  </si>
  <si>
    <t>7.1.35</t>
  </si>
  <si>
    <t>7.1.36</t>
  </si>
  <si>
    <t>7.1.37</t>
  </si>
  <si>
    <t>7.1.38</t>
  </si>
  <si>
    <t>7.1.39</t>
  </si>
  <si>
    <t>7.1.40</t>
  </si>
  <si>
    <t>7.1.41</t>
  </si>
  <si>
    <t>7.1.42</t>
  </si>
  <si>
    <t>7.1.43</t>
  </si>
  <si>
    <t>7.1.44</t>
  </si>
  <si>
    <t>7.1.45</t>
  </si>
  <si>
    <t>7.1.46</t>
  </si>
  <si>
    <t>7.1.47</t>
  </si>
  <si>
    <t>7.1.48</t>
  </si>
  <si>
    <t>7.1.49</t>
  </si>
  <si>
    <t>7.1.50</t>
  </si>
  <si>
    <t>7.1.51</t>
  </si>
  <si>
    <t>7.1.52</t>
  </si>
  <si>
    <t>7.1.53</t>
  </si>
  <si>
    <t>7.1.54</t>
  </si>
  <si>
    <t>7.1.55</t>
  </si>
  <si>
    <t>7.1.56</t>
  </si>
  <si>
    <t>7.1.57</t>
  </si>
  <si>
    <t>7.1.58</t>
  </si>
  <si>
    <t>7.1.59</t>
  </si>
  <si>
    <t>7.1.60</t>
  </si>
  <si>
    <t>7.1.61</t>
  </si>
  <si>
    <t>7.1.62</t>
  </si>
  <si>
    <t>7.1.63</t>
  </si>
  <si>
    <t>7.1.64</t>
  </si>
  <si>
    <t>7.1.65</t>
  </si>
  <si>
    <t>7.1.66</t>
  </si>
  <si>
    <t>7.1.67</t>
  </si>
  <si>
    <t>7.1.68</t>
  </si>
  <si>
    <t>7.1.69</t>
  </si>
  <si>
    <t>7.1.70</t>
  </si>
  <si>
    <t>7.1.71</t>
  </si>
  <si>
    <t>7.1.72</t>
  </si>
  <si>
    <t>7.1.73</t>
  </si>
  <si>
    <t>7.1.74</t>
  </si>
  <si>
    <t>7.1.75</t>
  </si>
  <si>
    <t>7.1.76</t>
  </si>
  <si>
    <t>7.1.77</t>
  </si>
  <si>
    <t>7.1.78</t>
  </si>
  <si>
    <t>7.1.79</t>
  </si>
  <si>
    <t>7.1.80</t>
  </si>
  <si>
    <t>7.1.81</t>
  </si>
  <si>
    <t>7.1.82</t>
  </si>
  <si>
    <t>7.1.83</t>
  </si>
  <si>
    <t>7.1.84</t>
  </si>
  <si>
    <t>7.1.85</t>
  </si>
  <si>
    <t>7.1.86</t>
  </si>
  <si>
    <t>7.1.87</t>
  </si>
  <si>
    <t>7.1.88</t>
  </si>
  <si>
    <t>7.1.89</t>
  </si>
  <si>
    <t>7.1.90</t>
  </si>
  <si>
    <t>7.1.91</t>
  </si>
  <si>
    <t>7.1.92</t>
  </si>
  <si>
    <t>7.1.93</t>
  </si>
  <si>
    <t>7.1.94</t>
  </si>
  <si>
    <t>7.1.95</t>
  </si>
  <si>
    <t>7.1.96</t>
  </si>
  <si>
    <t>7.1.97</t>
  </si>
  <si>
    <t>7.1.98</t>
  </si>
  <si>
    <t>7.1.99</t>
  </si>
  <si>
    <t>7.1.100</t>
  </si>
  <si>
    <t>7.1.101</t>
  </si>
  <si>
    <t>7.1.102</t>
  </si>
  <si>
    <t>7.1.103</t>
  </si>
  <si>
    <t>7.1.104</t>
  </si>
  <si>
    <t>7.1.105</t>
  </si>
  <si>
    <t>7.1.106</t>
  </si>
  <si>
    <t>7.1.107</t>
  </si>
  <si>
    <t>7.1.108</t>
  </si>
  <si>
    <t>7.1.109</t>
  </si>
  <si>
    <t>7.1.110</t>
  </si>
  <si>
    <t>7.1.111</t>
  </si>
  <si>
    <t>7.1.112</t>
  </si>
  <si>
    <t>7.1.113</t>
  </si>
  <si>
    <t>7.1.114</t>
  </si>
  <si>
    <t>7.1.115</t>
  </si>
  <si>
    <t>7.1.116</t>
  </si>
  <si>
    <t>7.1.117</t>
  </si>
  <si>
    <t>7.1.118</t>
  </si>
  <si>
    <t>7.1.119</t>
  </si>
  <si>
    <t>7.1.120</t>
  </si>
  <si>
    <t>7.1.121</t>
  </si>
  <si>
    <t>7.1.122</t>
  </si>
  <si>
    <t>7.1.123</t>
  </si>
  <si>
    <t>7.1.124</t>
  </si>
  <si>
    <t>7.1.125</t>
  </si>
  <si>
    <t>7.1.126</t>
  </si>
  <si>
    <t>7.1.127</t>
  </si>
  <si>
    <t>7.1.128</t>
  </si>
  <si>
    <t>7.1.129</t>
  </si>
  <si>
    <t>7.1.130</t>
  </si>
  <si>
    <t>7.1.131</t>
  </si>
  <si>
    <t>7.1.132</t>
  </si>
  <si>
    <t>7.1.133</t>
  </si>
  <si>
    <t>7.1.134</t>
  </si>
  <si>
    <t>7.1.135</t>
  </si>
  <si>
    <t>7.1.136</t>
  </si>
  <si>
    <t>7.1.137</t>
  </si>
  <si>
    <t>7.1.138</t>
  </si>
  <si>
    <t>7.1.139</t>
  </si>
  <si>
    <t>7.1.140</t>
  </si>
  <si>
    <t>7.1.141</t>
  </si>
  <si>
    <t>7.1.142</t>
  </si>
  <si>
    <t>7.1.143</t>
  </si>
  <si>
    <t>7.1.144</t>
  </si>
  <si>
    <t>7.1.145</t>
  </si>
  <si>
    <t>7.1.146</t>
  </si>
  <si>
    <t>7.1.147</t>
  </si>
  <si>
    <t>7.1.148</t>
  </si>
  <si>
    <t>7.1.149</t>
  </si>
  <si>
    <t>7.1.150</t>
  </si>
  <si>
    <t>7.1.151</t>
  </si>
  <si>
    <t>7.1.152</t>
  </si>
  <si>
    <t>7.1.153</t>
  </si>
  <si>
    <t>7.1.154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</si>
  <si>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</si>
  <si>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</si>
  <si>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</si>
  <si>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</si>
  <si>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</si>
  <si>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</si>
  <si>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</si>
  <si>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</si>
  <si>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</si>
  <si>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</si>
  <si>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</si>
  <si>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</si>
  <si>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</si>
  <si>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</si>
  <si>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</si>
  <si>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</si>
  <si>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</si>
  <si>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</si>
  <si>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</si>
  <si>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</si>
  <si>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</si>
  <si>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7.2.22</t>
  </si>
  <si>
    <t>7.2.23</t>
  </si>
  <si>
    <t>7.2.24</t>
  </si>
  <si>
    <t>7.2.25</t>
  </si>
  <si>
    <t>7.2.26</t>
  </si>
  <si>
    <t>7.2.27</t>
  </si>
  <si>
    <t>7.2.28</t>
  </si>
  <si>
    <t>7.2.29</t>
  </si>
  <si>
    <t>7.2.30</t>
  </si>
  <si>
    <t>7.2.31</t>
  </si>
  <si>
    <t>7.2.32</t>
  </si>
  <si>
    <t>7.2.33</t>
  </si>
  <si>
    <t>7.2.34</t>
  </si>
  <si>
    <t>7.2.35</t>
  </si>
  <si>
    <t>7.2.36</t>
  </si>
  <si>
    <t>7.2.37</t>
  </si>
  <si>
    <t>7.2.38</t>
  </si>
  <si>
    <t>7.2.39</t>
  </si>
  <si>
    <t>7.2.40</t>
  </si>
  <si>
    <t>7.2.41</t>
  </si>
  <si>
    <t>7.2.42</t>
  </si>
  <si>
    <t>7.2.43</t>
  </si>
  <si>
    <t>7.2.44</t>
  </si>
  <si>
    <t>7.2.45</t>
  </si>
  <si>
    <t>7.2.46</t>
  </si>
  <si>
    <t>7.2.47</t>
  </si>
  <si>
    <t>7.2.48</t>
  </si>
  <si>
    <t>7.2.49</t>
  </si>
  <si>
    <t>7.2.50</t>
  </si>
  <si>
    <t>7.2.51</t>
  </si>
  <si>
    <t>7.2.52</t>
  </si>
  <si>
    <t>7.2.53</t>
  </si>
  <si>
    <t>7.2.54</t>
  </si>
  <si>
    <t>7.2.55</t>
  </si>
  <si>
    <t>7.2.56</t>
  </si>
  <si>
    <t>7.2.57</t>
  </si>
  <si>
    <t>7.2.58</t>
  </si>
  <si>
    <t>7.2.59</t>
  </si>
  <si>
    <t>7.2.60</t>
  </si>
  <si>
    <t>7.2.61</t>
  </si>
  <si>
    <t>7.2.62</t>
  </si>
  <si>
    <t>7.2.63</t>
  </si>
  <si>
    <t>7.2.64</t>
  </si>
  <si>
    <t>7.2.65</t>
  </si>
  <si>
    <t>7.2.66</t>
  </si>
  <si>
    <t>7.2.67</t>
  </si>
  <si>
    <t>7.2.68</t>
  </si>
  <si>
    <t>7.2.69</t>
  </si>
  <si>
    <t>7.2.70</t>
  </si>
  <si>
    <t>7.2.71</t>
  </si>
  <si>
    <t>7.2.72</t>
  </si>
  <si>
    <t>7.2.73</t>
  </si>
  <si>
    <t>7.2.74</t>
  </si>
  <si>
    <t>7.2.75</t>
  </si>
  <si>
    <t>7.2.76</t>
  </si>
  <si>
    <t>7.2.77</t>
  </si>
  <si>
    <t>7.2.78</t>
  </si>
  <si>
    <t>7.2.79</t>
  </si>
  <si>
    <t>7.2.80</t>
  </si>
  <si>
    <t xml:space="preserve">Итого по разделу 7 отсыпка автомобильных дорог асфальтогранулятом </t>
  </si>
  <si>
    <t xml:space="preserve">ИТОГО ПО ПОДПРОГРАММЕ "ПБДД"  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</si>
  <si>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</si>
  <si>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</si>
  <si>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</si>
  <si>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</si>
  <si>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</si>
  <si>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</si>
  <si>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</si>
  <si>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</si>
  <si>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</si>
  <si>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</si>
  <si>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</si>
  <si>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</si>
  <si>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</si>
  <si>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 xml:space="preserve">Приобретение ограничивающих пешеходных и барьерных ограждений   </t>
  </si>
  <si>
    <t>Количество приобретенных секций пешеходных и барьерных ограждений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</si>
  <si>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</si>
  <si>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</si>
  <si>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экспертных заключений на соответствие выполненных работ условиям муниципальных контрактов</t>
  </si>
  <si>
    <t>Количество проектных работ на устройство пешеходных дорожек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</si>
  <si>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</si>
  <si>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</si>
  <si>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Устройство технических средств организации дорожного движения</t>
  </si>
  <si>
    <t>Протяженность установленных  пешеходных ограждений</t>
  </si>
  <si>
    <t>тыс.м.п.</t>
  </si>
  <si>
    <t>Количество обустроенных светофорных объектов</t>
  </si>
  <si>
    <t>Количество установленных  дорожных знаков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</si>
  <si>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</si>
  <si>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проектных работ на  устройство и перенос остановок общественного транспорта</t>
  </si>
  <si>
    <t xml:space="preserve">Устройство и перенос остановок общественного транспорта </t>
  </si>
  <si>
    <t>Количество  вновь введенных (перенесенных) в эксплуатацию остановок общественного транспорта</t>
  </si>
  <si>
    <t>Приобретение  спецтехники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</si>
  <si>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</si>
  <si>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</si>
  <si>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</si>
  <si>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</si>
  <si>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>Задача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</si>
  <si>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</si>
  <si>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</si>
  <si>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</si>
  <si>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кол-во объектов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</si>
  <si>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</si>
  <si>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</si>
  <si>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</si>
  <si>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</si>
  <si>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</si>
  <si>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</si>
  <si>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</si>
  <si>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</si>
  <si>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Площадь  дорожных сооружений, находящихся на содержании</t>
  </si>
  <si>
    <t>Задача подпрограммы: выполнение мероприятий по организации дорожного движения</t>
  </si>
  <si>
    <t>Количество типов дорожной разметки</t>
  </si>
  <si>
    <t xml:space="preserve">ПОКАЗАТЕЛИ (ИНДИКАТОРЫ)
МУНИЦИПАЛЬНОЙ ПРОГРАММЫ "РАЗВИТИЕ ТРАНСПОРТНОЙ СИСТЕМЫ
И ДОРОЖНОГО ХОЗЯЙСТВА ГОРОДСКОГО ОКРУГА ТОЛЬЯТТИ
НА 2021 - 2025 ГГ."
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</si>
  <si>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</si>
  <si>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</si>
  <si>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 xml:space="preserve">Устройство линий наружного электроосвещения мест концентрации ДТП  </t>
  </si>
  <si>
    <t>2.3.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</si>
  <si>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</si>
  <si>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автодорога по улице Северная от улицы Цеховая  до улицы Борковская</t>
  </si>
  <si>
    <t>автодорога по улице Офицерская от улицы Полякова до улицы Борковская</t>
  </si>
  <si>
    <t>4.12.</t>
  </si>
  <si>
    <t>4.13.</t>
  </si>
  <si>
    <t>7.1.</t>
  </si>
  <si>
    <t>7.1.1</t>
  </si>
  <si>
    <t>5.48.</t>
  </si>
  <si>
    <t>Ремонт "картами" верхнего слоя дорожного покрытия Борковского проезда</t>
  </si>
  <si>
    <t>4.10.</t>
  </si>
  <si>
    <t>4.14.</t>
  </si>
  <si>
    <t>3.3.</t>
  </si>
  <si>
    <t>3.4.</t>
  </si>
  <si>
    <t>3.5.</t>
  </si>
  <si>
    <t>3.6.</t>
  </si>
  <si>
    <t>Осуществление строительного контроля на объекте: Капитальный ремонт  ул.Васильевская от ул.Калмыцкая до ул.Обводное шоссе</t>
  </si>
  <si>
    <t>3.7.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</si>
  <si>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</si>
  <si>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</si>
  <si>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</si>
  <si>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3.8.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</si>
  <si>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</si>
  <si>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</si>
  <si>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</si>
  <si>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2.3.1.</t>
  </si>
  <si>
    <t>2.3.2.</t>
  </si>
  <si>
    <t>2.3.3.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</si>
  <si>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</si>
  <si>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</si>
  <si>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</si>
  <si>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</si>
  <si>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</si>
  <si>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</si>
  <si>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</si>
  <si>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</si>
  <si>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</si>
  <si>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</si>
  <si>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</si>
  <si>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</si>
  <si>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</si>
  <si>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</si>
  <si>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</si>
  <si>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</si>
  <si>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</t>
  </si>
  <si>
    <t>Площадь отремонтированных путем ремонта автомобильных дорог общего пользования местного значения городского округа Тольятти</t>
  </si>
  <si>
    <t>2023-2024</t>
  </si>
  <si>
    <t>2022-2025</t>
  </si>
  <si>
    <t>Количество приобретенных, установленных дорожных знаков (заготовок  дорожных знаков)</t>
  </si>
  <si>
    <t>нет денег-прочерки</t>
  </si>
  <si>
    <t>разные площади</t>
  </si>
  <si>
    <t>заготовки дешевле</t>
  </si>
  <si>
    <t>Выполнение работ по капитальному ремонту автомобильных дорог общего пользования  местного значения городского округа Тольятти</t>
  </si>
  <si>
    <t>Задача подпрограммы: обеспечение регулярных перевозок пассажиров по регулируемым тарифам</t>
  </si>
  <si>
    <t xml:space="preserve">Приобретение дорожных знаков (заготовок  дорожных знаков)                                                       </t>
  </si>
  <si>
    <t>Приобретение дорожных знаков (заготовок  дорожных знаков)</t>
  </si>
  <si>
    <t>2021, 2023-2025</t>
  </si>
  <si>
    <t>ИТОГО ПО МУНИЦИПАЛЬНОЙ ПРОГРАММЕ</t>
  </si>
  <si>
    <t>Устройство  искусственных дорожных неровностей, экспертиза выполненных работ, в т.ч.:</t>
  </si>
  <si>
    <t xml:space="preserve">план на 2021: </t>
  </si>
  <si>
    <t>внутриквартальный проезд от пр. Ст. Разина до ул. Юбилейной вдоль лицея № 76, школы №73, ОЦ "Школа";</t>
  </si>
  <si>
    <t xml:space="preserve">ул. Шлютова, 130, д/с № 130 "Соловушка"; </t>
  </si>
  <si>
    <t xml:space="preserve">внутриквартальный проезд в районе д. № 10 по ул. Носова, досуговый центр "Русич"; </t>
  </si>
  <si>
    <t xml:space="preserve">на проезде между зданиями № 23, 27 по ул. Свердлова МБУ СОШ № 61, Д/С № 115 "Салют"; </t>
  </si>
  <si>
    <t xml:space="preserve">по б-ру Орджоникидзе 1 (от б-ра Орджоникидзе до дома № 20 по пр. Ст.Разина); </t>
  </si>
  <si>
    <t>план на 2022:</t>
  </si>
  <si>
    <t>внутриквартальные проезды вдоль д.12 по ул. Баныкина;</t>
  </si>
  <si>
    <t>внутриквартальный проезд в районе дома №1а по ул. Свердлова, Свердлова 5а, Ворошилова 51, Ворошилова 61, 40 лет Победы 106;</t>
  </si>
  <si>
    <t>внутриквартальный проезд в районе ул. Матросова в районе д. 26;</t>
  </si>
  <si>
    <t>Ларина 66.</t>
  </si>
  <si>
    <t>Устройство линий наружного электроосвещения, в т.ч.: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</si>
  <si>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</si>
  <si>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</si>
  <si>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</si>
  <si>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</si>
  <si>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</si>
  <si>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 xml:space="preserve">Проектирование устройства пешеходных дорожек, в т.ч. экспертиза выполненных работ, в т.ч: </t>
  </si>
  <si>
    <t>Устройство пешеходных дорожек, в т.ч.:</t>
  </si>
  <si>
    <t>по ул.Офицерской от ул.Полякова до ул.Ботанической;</t>
  </si>
  <si>
    <t>в районе ООТ "70 лет Октября" по ул.70 лет Октября;</t>
  </si>
  <si>
    <t>Устройство технических средств организации дорожного движения  в т.ч.: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</si>
  <si>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</si>
  <si>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</si>
  <si>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ООТ "Грузовое автохозяйство";</t>
  </si>
  <si>
    <t>ООТ "Русь" по ул.Революционная;</t>
  </si>
  <si>
    <t>ООТ "Ул.Железнодорожная" по проезду Дорофеева;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</si>
  <si>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</si>
  <si>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</si>
  <si>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</si>
  <si>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Проектирование устройства парковочных площадок (карманов  и стоянок), в т.ч:</t>
  </si>
  <si>
    <t>в районе спортивного комплекса "СТАРТ" (ул.Республиканская, 1);</t>
  </si>
  <si>
    <t xml:space="preserve">по ул.Баныкина (ГБУЗ СО ТГКБ №2 им. В.В.Баныкина); </t>
  </si>
  <si>
    <t>по ул.Жилина (ГБУЗ СО ТГКБ №2 им. В.В.Баныкина);</t>
  </si>
  <si>
    <t>по ул.Советской (сторона Тольяттинской городской клинической больницы им. В.В.Баныкина)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</si>
  <si>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</si>
  <si>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</si>
  <si>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</si>
  <si>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</si>
  <si>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</si>
  <si>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 xml:space="preserve">в районе пересечения ул.Мичурина и ул.Герцена;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</si>
  <si>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</si>
  <si>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</si>
  <si>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"Жилина";</t>
  </si>
  <si>
    <t>ООТ "16 квартал";</t>
  </si>
  <si>
    <t>ООТ "Детский городок";</t>
  </si>
  <si>
    <t>ООТ  "Лыжная база" по ул.М.Жукова;</t>
  </si>
  <si>
    <t>ООТ "Телецентр" по пр-ту Степана Разина</t>
  </si>
  <si>
    <t>вдоль ул.Высоковольтная</t>
  </si>
  <si>
    <t>с четной и нечетной стороны по ул.Ботаническая;</t>
  </si>
  <si>
    <t>вдоль автодороги от ул.Кооперативная , вдоль дач, в направлении Федоровских лугов, до конечной остановки общественного транспорта;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</si>
  <si>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</si>
  <si>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</si>
  <si>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</si>
  <si>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проектных работ на строительство и реконструкцию парковочных площадок (карманов и стоянок)</t>
  </si>
  <si>
    <t>Устройство парковочных площадок (карманов и стоянок)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</si>
  <si>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</si>
  <si>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</si>
  <si>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6.  Ремонт дворовых территорий многоквартирных домов, проездов к дворовым территориям многоквартирных домов  городского округа Тольятти: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</si>
  <si>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</si>
  <si>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</si>
  <si>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</si>
  <si>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4.8.</t>
  </si>
  <si>
    <t>4.15.</t>
  </si>
  <si>
    <t>4.16.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</si>
  <si>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</si>
  <si>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</si>
  <si>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</si>
  <si>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</si>
  <si>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</si>
  <si>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7.Отсыпка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</si>
  <si>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</si>
  <si>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</si>
  <si>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</si>
  <si>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</si>
  <si>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</si>
  <si>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</si>
  <si>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</si>
  <si>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</si>
  <si>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</si>
  <si>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</si>
  <si>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</si>
  <si>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</si>
  <si>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</si>
  <si>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</si>
  <si>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</si>
  <si>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</si>
  <si>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</si>
  <si>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</si>
  <si>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</si>
  <si>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</si>
  <si>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</si>
  <si>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</si>
  <si>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</si>
  <si>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</si>
  <si>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</si>
  <si>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</si>
  <si>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проезду Борковский от  улицы Вокзальная,54 до границы городского округа, Южнее здания по адресу: улица Вокзальная, 44Б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</si>
  <si>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</si>
  <si>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</si>
  <si>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</si>
  <si>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</si>
  <si>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</si>
  <si>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 а также дорог в зоне застройки индивидуальными жилыми домами в городском округе Тольятти</t>
  </si>
  <si>
    <t>шт</t>
  </si>
  <si>
    <t>Количество мест концентрации дорожно-транспортных происшествий (аварийно-опасных участков) на дорожной сети городского округа Тольятти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</si>
  <si>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</si>
  <si>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</si>
  <si>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</si>
  <si>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</si>
  <si>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</si>
  <si>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</si>
  <si>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Целевые показатели (индикаторы) национальных и федеральных проектов в части, касающейся городского округа Тольятти</t>
  </si>
  <si>
    <t>Показатели (индикаторы) Стратегии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</si>
  <si>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</si>
  <si>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</si>
  <si>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</si>
  <si>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</si>
  <si>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"ТПАТП N 3"</t>
  </si>
  <si>
    <t>Обеспеченность парка транспортом с низким (пониженным) уровнем пола МП "ТТУ"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</si>
  <si>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</si>
  <si>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</t>
  </si>
  <si>
    <t>базовое значение за 2018 год</t>
  </si>
  <si>
    <t>базовое значение 2018г.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</si>
  <si>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</t>
  </si>
  <si>
    <t xml:space="preserve">Доля протяженности дорожной сети городского округа Тольятти, находящейся в нормативном состоянии </t>
  </si>
  <si>
    <t>100*</t>
  </si>
  <si>
    <t>* Количество мест концентрации дорожно-транспортных происшествий (аварийоно-опасных участков) на дорожной сети г.о.Тольятти в 2017 году  - 36 шт.</t>
  </si>
  <si>
    <t>Проектирование устройства пешеходных дорожек, в т.ч. экспертиза проекта</t>
  </si>
  <si>
    <t>Количество  вновь введенных в эксплуатацию (реконструируемых) парковочных площадок (карманов и стоянок)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</si>
  <si>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</si>
  <si>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</si>
  <si>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</si>
  <si>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</si>
  <si>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</si>
  <si>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</si>
  <si>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</si>
  <si>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</si>
  <si>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Перечень
объектов подпрограммы "Повышение безопасности дорожного движения
на период 2021 - 2025 гг." и финансовые ресурсы</t>
  </si>
  <si>
    <t xml:space="preserve">
и дорожного хозяйства
городского округа Тольятти
на 2021 - 2025 гг."
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</si>
  <si>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</si>
  <si>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</si>
  <si>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Устройство светофорных объектов для  приведения объектов г.о.Тольятти в соответствие с изменениями в  ГОСТ Р 52289-2004</t>
  </si>
  <si>
    <t>ул. Ленинградская, 28</t>
  </si>
  <si>
    <t>В срок до 30.11.2020г.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</si>
  <si>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</si>
  <si>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</si>
  <si>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</si>
  <si>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</si>
  <si>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</si>
  <si>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</si>
  <si>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</si>
  <si>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</si>
  <si>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</si>
  <si>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</si>
  <si>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</si>
  <si>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</si>
  <si>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</si>
  <si>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</si>
  <si>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</si>
  <si>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</si>
  <si>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</si>
  <si>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</si>
  <si>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</si>
  <si>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</si>
  <si>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</si>
  <si>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</si>
  <si>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</si>
  <si>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</si>
  <si>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</si>
  <si>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</si>
  <si>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</si>
  <si>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</si>
  <si>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</si>
  <si>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</si>
  <si>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</si>
  <si>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</si>
  <si>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</si>
  <si>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</si>
  <si>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</si>
  <si>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</si>
  <si>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</si>
  <si>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</si>
  <si>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</si>
  <si>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</si>
  <si>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</si>
  <si>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</si>
  <si>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</si>
  <si>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</si>
  <si>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</si>
  <si>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</si>
  <si>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</si>
  <si>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</si>
  <si>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Приобретение  дорожных знаков и выполнение работ по их установке</t>
  </si>
  <si>
    <t>Вокзальная, 100а (ООТ "10 КПП")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</si>
  <si>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</si>
  <si>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</si>
  <si>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</si>
  <si>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Приобретение ограничивающих пешеходных  ограждений и выполнение работ по их установке для нужд городского округа Тольятти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</si>
  <si>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</si>
  <si>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</si>
  <si>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</si>
  <si>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</si>
  <si>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</si>
  <si>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Заказчик</t>
  </si>
  <si>
    <t>Подрядчик</t>
  </si>
  <si>
    <t>МКУ «ЦОДД ГОТ»</t>
  </si>
  <si>
    <t>Директор ________________ Д.С. Ященко</t>
  </si>
  <si>
    <t>ООО «М-Строй»</t>
  </si>
  <si>
    <r>
      <t>Директор ____________</t>
    </r>
    <r>
      <rPr>
        <sz val="1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И. П. Мерзляков</t>
    </r>
  </si>
  <si>
    <t xml:space="preserve">Перечень
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
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</si>
  <si>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</t>
  </si>
  <si>
    <t>Задача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</si>
  <si>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</si>
  <si>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Задача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</si>
</sst>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0.000"/>
    <numFmt numFmtId="170" formatCode="#,##0.000"/>
    <numFmt numFmtId="171" formatCode="#,##0.00_р_."/>
    <numFmt numFmtId="172" formatCode="#,##0.000_р_."/>
  </numFmts>
  <fonts count="68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i/>
      <sz val="10"/>
      <color theme="0"/>
      <name val="Arial Cyr"/>
      <charset val="204"/>
    </font>
    <font>
      <sz val="10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7030A0"/>
      <name val="Arial Cyr"/>
      <charset val="204"/>
    </font>
    <font>
      <sz val="10"/>
      <color rgb="FF7030A0"/>
      <name val="Arial Cyr"/>
      <charset val="204"/>
    </font>
    <font>
      <b/>
      <i/>
      <sz val="10"/>
      <color rgb="FF7030A0"/>
      <name val="Arial Cyr"/>
      <charset val="204"/>
    </font>
    <font>
      <i/>
      <sz val="10"/>
      <color rgb="FF7030A0"/>
      <name val="Arial Cyr"/>
      <charset val="204"/>
    </font>
    <font>
      <b/>
      <sz val="12"/>
      <color rgb="FF7030A0"/>
      <name val="Arial Cyr"/>
      <charset val="204"/>
    </font>
    <font>
      <sz val="11"/>
      <name val="Arial Cyr"/>
      <charset val="204"/>
    </font>
    <font>
      <sz val="10"/>
      <color indexed="8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color theme="0"/>
      <name val="Arial Cyr"/>
      <charset val="204"/>
    </font>
    <font>
      <i/>
      <sz val="9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i/>
      <sz val="10"/>
      <color rgb="FF7030A0"/>
      <name val="Times New Roman"/>
      <family val="1"/>
      <charset val="204"/>
    </font>
    <font>
      <sz val="12"/>
      <color rgb="FF7030A0"/>
      <name val="Arial Cyr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70C0"/>
      <name val="Arial Cyr"/>
      <charset val="204"/>
    </font>
    <font>
      <i/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9"/>
      <color rgb="FF0070C0"/>
      <name val="Arial Cyr"/>
      <charset val="204"/>
    </font>
    <font>
      <b/>
      <sz val="12"/>
      <color rgb="FF0070C0"/>
      <name val="Arial Cyr"/>
      <charset val="204"/>
    </font>
    <font>
      <sz val="11"/>
      <color rgb="FF0070C0"/>
      <name val="Arial Cyr"/>
      <charset val="204"/>
    </font>
    <font>
      <b/>
      <sz val="10"/>
      <color rgb="FF0070C0"/>
      <name val="Arial Cyr"/>
      <charset val="204"/>
    </font>
    <font>
      <b/>
      <i/>
      <sz val="10"/>
      <color rgb="FF0070C0"/>
      <name val="Arial Cyr"/>
      <charset val="204"/>
    </font>
    <font>
      <sz val="10"/>
      <color rgb="FFFF0000"/>
      <name val="Arial Cyr"/>
      <charset val="204"/>
    </font>
    <font>
      <sz val="9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0" fontId="16" fillId="0" borderId="0"/>
    <xf numFmtId="0" fontId="16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37">
    <xf numFmtId="0" fontId="0" fillId="0" borderId="0" xfId="0"/>
    <xf numFmtId="0" fontId="0" fillId="0" borderId="0" xfId="0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0" fillId="0" borderId="0" xfId="0" applyNumberFormat="1" applyFont="1" applyFill="1"/>
    <xf numFmtId="0" fontId="0" fillId="0" borderId="0" xfId="0" applyFont="1"/>
    <xf numFmtId="0" fontId="17" fillId="0" borderId="0" xfId="0" applyFont="1" applyFill="1"/>
    <xf numFmtId="166" fontId="4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shrinkToFit="1"/>
    </xf>
    <xf numFmtId="0" fontId="0" fillId="4" borderId="0" xfId="0" applyFont="1" applyFill="1"/>
    <xf numFmtId="0" fontId="0" fillId="3" borderId="0" xfId="0" applyFont="1" applyFill="1"/>
    <xf numFmtId="0" fontId="18" fillId="0" borderId="0" xfId="0" applyFont="1" applyFill="1"/>
    <xf numFmtId="0" fontId="19" fillId="0" borderId="0" xfId="0" applyFont="1" applyFill="1"/>
    <xf numFmtId="4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4" borderId="0" xfId="0" applyFont="1" applyFill="1"/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" fontId="19" fillId="0" borderId="0" xfId="0" applyNumberFormat="1" applyFont="1" applyFill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4" xfId="1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 shrinkToFit="1"/>
    </xf>
    <xf numFmtId="4" fontId="18" fillId="0" borderId="3" xfId="0" applyNumberFormat="1" applyFont="1" applyFill="1" applyBorder="1" applyAlignment="1">
      <alignment horizontal="center" vertical="center"/>
    </xf>
    <xf numFmtId="4" fontId="0" fillId="0" borderId="3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3" fillId="2" borderId="0" xfId="0" applyFont="1" applyFill="1"/>
    <xf numFmtId="0" fontId="24" fillId="0" borderId="0" xfId="0" applyFont="1" applyFill="1"/>
    <xf numFmtId="4" fontId="25" fillId="0" borderId="0" xfId="0" applyNumberFormat="1" applyFont="1" applyFill="1"/>
    <xf numFmtId="4" fontId="25" fillId="2" borderId="0" xfId="0" applyNumberFormat="1" applyFont="1" applyFill="1"/>
    <xf numFmtId="0" fontId="24" fillId="2" borderId="0" xfId="0" applyFont="1" applyFill="1"/>
    <xf numFmtId="4" fontId="26" fillId="0" borderId="0" xfId="0" applyNumberFormat="1" applyFont="1" applyFill="1"/>
    <xf numFmtId="0" fontId="26" fillId="0" borderId="0" xfId="0" applyFont="1" applyFill="1"/>
    <xf numFmtId="0" fontId="26" fillId="2" borderId="0" xfId="0" applyFont="1" applyFill="1"/>
    <xf numFmtId="4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23" fillId="3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left" vertical="center" wrapText="1" shrinkToFit="1"/>
    </xf>
    <xf numFmtId="0" fontId="23" fillId="7" borderId="0" xfId="0" applyFont="1" applyFill="1"/>
    <xf numFmtId="166" fontId="4" fillId="0" borderId="1" xfId="0" applyNumberFormat="1" applyFont="1" applyFill="1" applyBorder="1" applyAlignment="1">
      <alignment horizontal="center" vertical="center" shrinkToFit="1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left" vertical="center" wrapText="1"/>
    </xf>
    <xf numFmtId="4" fontId="9" fillId="0" borderId="4" xfId="1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 shrinkToFit="1"/>
    </xf>
    <xf numFmtId="166" fontId="4" fillId="0" borderId="4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4" borderId="0" xfId="0" applyFill="1"/>
    <xf numFmtId="0" fontId="15" fillId="4" borderId="0" xfId="0" applyFont="1" applyFill="1"/>
    <xf numFmtId="0" fontId="28" fillId="4" borderId="0" xfId="0" applyFont="1" applyFill="1"/>
    <xf numFmtId="0" fontId="28" fillId="4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applyFont="1" applyFill="1" applyAlignment="1">
      <alignment horizontal="center"/>
    </xf>
    <xf numFmtId="0" fontId="32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3" fillId="4" borderId="0" xfId="0" applyFont="1" applyFill="1" applyAlignment="1">
      <alignment horizontal="center"/>
    </xf>
    <xf numFmtId="0" fontId="34" fillId="4" borderId="0" xfId="0" applyFont="1" applyFill="1" applyAlignment="1">
      <alignment horizontal="center"/>
    </xf>
    <xf numFmtId="0" fontId="35" fillId="4" borderId="0" xfId="0" applyFont="1" applyFill="1" applyAlignment="1">
      <alignment horizontal="center"/>
    </xf>
    <xf numFmtId="0" fontId="37" fillId="4" borderId="0" xfId="0" applyFont="1" applyFill="1"/>
    <xf numFmtId="0" fontId="38" fillId="4" borderId="0" xfId="0" applyFont="1" applyFill="1"/>
    <xf numFmtId="0" fontId="41" fillId="0" borderId="0" xfId="0" applyFont="1" applyFill="1" applyAlignment="1">
      <alignment horizontal="right" wrapText="1"/>
    </xf>
    <xf numFmtId="0" fontId="0" fillId="0" borderId="0" xfId="0" applyFont="1" applyFill="1" applyAlignment="1"/>
    <xf numFmtId="0" fontId="3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7" fontId="31" fillId="0" borderId="1" xfId="9" applyNumberFormat="1" applyFont="1" applyFill="1" applyBorder="1" applyAlignment="1">
      <alignment horizontal="center" vertical="center" wrapText="1"/>
    </xf>
    <xf numFmtId="0" fontId="24" fillId="4" borderId="0" xfId="0" applyFont="1" applyFill="1"/>
    <xf numFmtId="0" fontId="44" fillId="4" borderId="0" xfId="0" applyFont="1" applyFill="1" applyAlignment="1">
      <alignment horizontal="center"/>
    </xf>
    <xf numFmtId="0" fontId="24" fillId="4" borderId="0" xfId="0" applyFont="1" applyFill="1" applyAlignment="1">
      <alignment vertical="center"/>
    </xf>
    <xf numFmtId="166" fontId="43" fillId="0" borderId="1" xfId="0" applyNumberFormat="1" applyFont="1" applyFill="1" applyBorder="1" applyAlignment="1">
      <alignment horizontal="center" vertical="center"/>
    </xf>
    <xf numFmtId="0" fontId="45" fillId="4" borderId="0" xfId="0" applyFont="1" applyFill="1"/>
    <xf numFmtId="0" fontId="35" fillId="8" borderId="0" xfId="0" applyFont="1" applyFill="1" applyAlignment="1">
      <alignment horizontal="center"/>
    </xf>
    <xf numFmtId="0" fontId="34" fillId="8" borderId="0" xfId="0" applyFont="1" applyFill="1" applyAlignment="1">
      <alignment horizontal="center"/>
    </xf>
    <xf numFmtId="0" fontId="46" fillId="4" borderId="0" xfId="0" applyFont="1" applyFill="1" applyBorder="1"/>
    <xf numFmtId="166" fontId="48" fillId="0" borderId="1" xfId="0" applyNumberFormat="1" applyFont="1" applyFill="1" applyBorder="1" applyAlignment="1">
      <alignment horizontal="center" vertical="center"/>
    </xf>
    <xf numFmtId="166" fontId="47" fillId="0" borderId="1" xfId="0" applyNumberFormat="1" applyFont="1" applyFill="1" applyBorder="1" applyAlignment="1">
      <alignment horizontal="center" vertical="center"/>
    </xf>
    <xf numFmtId="167" fontId="47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12" fillId="0" borderId="0" xfId="0" applyFont="1" applyFill="1"/>
    <xf numFmtId="0" fontId="37" fillId="0" borderId="0" xfId="0" applyFont="1" applyFill="1"/>
    <xf numFmtId="165" fontId="0" fillId="0" borderId="0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167" fontId="48" fillId="0" borderId="1" xfId="0" applyNumberFormat="1" applyFont="1" applyFill="1" applyBorder="1" applyAlignment="1">
      <alignment horizontal="center" vertical="center"/>
    </xf>
    <xf numFmtId="167" fontId="47" fillId="0" borderId="1" xfId="0" applyNumberFormat="1" applyFont="1" applyFill="1" applyBorder="1" applyAlignment="1">
      <alignment horizontal="center" vertical="center"/>
    </xf>
    <xf numFmtId="166" fontId="47" fillId="0" borderId="1" xfId="0" applyNumberFormat="1" applyFont="1" applyFill="1" applyBorder="1" applyAlignment="1">
      <alignment horizontal="center" vertical="center" wrapText="1"/>
    </xf>
    <xf numFmtId="166" fontId="47" fillId="0" borderId="1" xfId="4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 wrapText="1"/>
    </xf>
    <xf numFmtId="166" fontId="48" fillId="0" borderId="5" xfId="0" applyNumberFormat="1" applyFont="1" applyFill="1" applyBorder="1" applyAlignment="1">
      <alignment horizontal="center" vertical="center"/>
    </xf>
    <xf numFmtId="166" fontId="47" fillId="0" borderId="5" xfId="4" applyNumberFormat="1" applyFont="1" applyFill="1" applyBorder="1" applyAlignment="1">
      <alignment horizontal="center" vertical="center"/>
    </xf>
    <xf numFmtId="165" fontId="50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left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center" vertical="center"/>
    </xf>
    <xf numFmtId="2" fontId="39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169" fontId="39" fillId="0" borderId="1" xfId="0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20" fillId="9" borderId="0" xfId="0" applyNumberFormat="1" applyFont="1" applyFill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/>
    </xf>
    <xf numFmtId="166" fontId="3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165" fontId="39" fillId="0" borderId="1" xfId="0" applyNumberFormat="1" applyFont="1" applyFill="1" applyBorder="1" applyAlignment="1">
      <alignment horizontal="center" vertical="center" wrapText="1"/>
    </xf>
    <xf numFmtId="167" fontId="3" fillId="4" borderId="0" xfId="0" applyNumberFormat="1" applyFont="1" applyFill="1"/>
    <xf numFmtId="0" fontId="34" fillId="0" borderId="1" xfId="0" applyFont="1" applyFill="1" applyBorder="1" applyAlignment="1">
      <alignment horizontal="center" vertical="center"/>
    </xf>
    <xf numFmtId="167" fontId="53" fillId="0" borderId="1" xfId="0" applyNumberFormat="1" applyFont="1" applyFill="1" applyBorder="1" applyAlignment="1">
      <alignment horizontal="center" vertical="center"/>
    </xf>
    <xf numFmtId="167" fontId="13" fillId="0" borderId="1" xfId="0" applyNumberFormat="1" applyFont="1" applyFill="1" applyBorder="1" applyAlignment="1">
      <alignment horizontal="center" vertical="center"/>
    </xf>
    <xf numFmtId="166" fontId="53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left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166" fontId="5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9" fontId="11" fillId="0" borderId="1" xfId="0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30" fillId="0" borderId="1" xfId="1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50" fillId="0" borderId="1" xfId="0" applyNumberFormat="1" applyFont="1" applyFill="1" applyBorder="1" applyAlignment="1">
      <alignment horizontal="left" vertical="center" wrapText="1" shrinkToFit="1"/>
    </xf>
    <xf numFmtId="4" fontId="54" fillId="0" borderId="1" xfId="0" applyNumberFormat="1" applyFont="1" applyFill="1" applyBorder="1" applyAlignment="1">
      <alignment horizontal="center" vertical="center" wrapText="1" shrinkToFit="1"/>
    </xf>
    <xf numFmtId="4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166" fontId="41" fillId="0" borderId="1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2" fontId="9" fillId="0" borderId="1" xfId="1" applyNumberFormat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right" vertical="top" wrapText="1"/>
    </xf>
    <xf numFmtId="0" fontId="0" fillId="0" borderId="0" xfId="0" applyBorder="1"/>
    <xf numFmtId="0" fontId="22" fillId="8" borderId="0" xfId="0" applyFont="1" applyFill="1" applyBorder="1" applyAlignment="1">
      <alignment vertical="center" wrapText="1"/>
    </xf>
    <xf numFmtId="0" fontId="22" fillId="6" borderId="0" xfId="0" applyFont="1" applyFill="1" applyBorder="1" applyAlignment="1">
      <alignment vertical="center" wrapText="1"/>
    </xf>
    <xf numFmtId="0" fontId="0" fillId="4" borderId="0" xfId="0" applyFont="1" applyFill="1" applyAlignment="1"/>
    <xf numFmtId="0" fontId="15" fillId="0" borderId="0" xfId="0" applyFont="1" applyFill="1"/>
    <xf numFmtId="0" fontId="3" fillId="0" borderId="6" xfId="0" applyFont="1" applyFill="1" applyBorder="1"/>
    <xf numFmtId="0" fontId="0" fillId="0" borderId="6" xfId="0" applyFont="1" applyFill="1" applyBorder="1"/>
    <xf numFmtId="0" fontId="57" fillId="4" borderId="0" xfId="0" applyFont="1" applyFill="1"/>
    <xf numFmtId="0" fontId="58" fillId="4" borderId="0" xfId="0" applyFont="1" applyFill="1" applyAlignment="1">
      <alignment horizontal="center"/>
    </xf>
    <xf numFmtId="0" fontId="57" fillId="4" borderId="0" xfId="0" applyFont="1" applyFill="1" applyAlignment="1">
      <alignment vertical="center"/>
    </xf>
    <xf numFmtId="0" fontId="60" fillId="4" borderId="0" xfId="0" applyFont="1" applyFill="1"/>
    <xf numFmtId="166" fontId="59" fillId="0" borderId="1" xfId="0" applyNumberFormat="1" applyFont="1" applyFill="1" applyBorder="1" applyAlignment="1">
      <alignment horizontal="center" vertical="center"/>
    </xf>
    <xf numFmtId="0" fontId="61" fillId="4" borderId="0" xfId="0" applyFont="1" applyFill="1" applyBorder="1"/>
    <xf numFmtId="168" fontId="57" fillId="4" borderId="0" xfId="0" applyNumberFormat="1" applyFont="1" applyFill="1"/>
    <xf numFmtId="0" fontId="62" fillId="4" borderId="0" xfId="0" applyFont="1" applyFill="1"/>
    <xf numFmtId="0" fontId="57" fillId="0" borderId="0" xfId="0" applyFont="1" applyFill="1"/>
    <xf numFmtId="0" fontId="63" fillId="0" borderId="0" xfId="0" applyFont="1" applyFill="1"/>
    <xf numFmtId="0" fontId="63" fillId="2" borderId="0" xfId="0" applyFont="1" applyFill="1"/>
    <xf numFmtId="0" fontId="64" fillId="0" borderId="0" xfId="0" applyFont="1" applyFill="1" applyAlignment="1">
      <alignment horizontal="center" vertical="center"/>
    </xf>
    <xf numFmtId="4" fontId="64" fillId="0" borderId="0" xfId="0" applyNumberFormat="1" applyFont="1" applyFill="1" applyAlignment="1">
      <alignment horizontal="center" vertical="center"/>
    </xf>
    <xf numFmtId="0" fontId="64" fillId="5" borderId="0" xfId="0" applyFont="1" applyFill="1" applyAlignment="1">
      <alignment horizontal="center" vertical="center"/>
    </xf>
    <xf numFmtId="168" fontId="41" fillId="0" borderId="1" xfId="0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167" fontId="47" fillId="0" borderId="5" xfId="0" applyNumberFormat="1" applyFont="1" applyFill="1" applyBorder="1" applyAlignment="1">
      <alignment horizontal="center" vertical="center"/>
    </xf>
    <xf numFmtId="165" fontId="41" fillId="0" borderId="5" xfId="0" applyNumberFormat="1" applyFont="1" applyFill="1" applyBorder="1" applyAlignment="1">
      <alignment horizontal="center" vertical="center" wrapText="1"/>
    </xf>
    <xf numFmtId="165" fontId="4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 shrinkToFit="1"/>
    </xf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4" fontId="50" fillId="0" borderId="1" xfId="0" applyNumberFormat="1" applyFont="1" applyFill="1" applyBorder="1" applyAlignment="1">
      <alignment vertical="center" wrapText="1" shrinkToFi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6" borderId="1" xfId="0" applyFont="1" applyFill="1" applyBorder="1" applyAlignment="1">
      <alignment horizontal="center" vertical="top" wrapText="1"/>
    </xf>
    <xf numFmtId="0" fontId="56" fillId="6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 shrinkToFit="1"/>
    </xf>
    <xf numFmtId="166" fontId="4" fillId="4" borderId="1" xfId="0" applyNumberFormat="1" applyFont="1" applyFill="1" applyBorder="1" applyAlignment="1">
      <alignment horizontal="center" vertical="center" wrapText="1" shrinkToFit="1"/>
    </xf>
    <xf numFmtId="166" fontId="3" fillId="0" borderId="0" xfId="0" applyNumberFormat="1" applyFont="1" applyFill="1" applyAlignment="1">
      <alignment wrapText="1"/>
    </xf>
    <xf numFmtId="166" fontId="2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65" fillId="0" borderId="0" xfId="0" applyFont="1"/>
    <xf numFmtId="0" fontId="4" fillId="6" borderId="0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center" vertical="center" wrapText="1"/>
    </xf>
    <xf numFmtId="167" fontId="47" fillId="4" borderId="1" xfId="0" applyNumberFormat="1" applyFont="1" applyFill="1" applyBorder="1" applyAlignment="1">
      <alignment horizontal="center" vertical="center"/>
    </xf>
    <xf numFmtId="167" fontId="48" fillId="4" borderId="1" xfId="0" applyNumberFormat="1" applyFont="1" applyFill="1" applyBorder="1" applyAlignment="1">
      <alignment horizontal="center" vertical="center"/>
    </xf>
    <xf numFmtId="167" fontId="41" fillId="4" borderId="1" xfId="0" applyNumberFormat="1" applyFont="1" applyFill="1" applyBorder="1" applyAlignment="1">
      <alignment horizontal="center" vertical="center" wrapText="1"/>
    </xf>
    <xf numFmtId="171" fontId="4" fillId="4" borderId="8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7" fontId="53" fillId="0" borderId="2" xfId="0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horizontal="left" vertical="center" wrapText="1"/>
    </xf>
    <xf numFmtId="0" fontId="41" fillId="4" borderId="8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center" vertical="center"/>
    </xf>
    <xf numFmtId="0" fontId="41" fillId="0" borderId="8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9" fillId="4" borderId="0" xfId="0" applyFont="1" applyFill="1" applyBorder="1"/>
    <xf numFmtId="0" fontId="15" fillId="4" borderId="0" xfId="0" applyFont="1" applyFill="1" applyBorder="1"/>
    <xf numFmtId="0" fontId="18" fillId="4" borderId="0" xfId="0" applyFont="1" applyFill="1" applyBorder="1"/>
    <xf numFmtId="171" fontId="4" fillId="4" borderId="1" xfId="0" applyNumberFormat="1" applyFont="1" applyFill="1" applyBorder="1" applyAlignment="1">
      <alignment horizontal="center" vertical="top" wrapText="1"/>
    </xf>
    <xf numFmtId="168" fontId="4" fillId="4" borderId="1" xfId="0" applyNumberFormat="1" applyFont="1" applyFill="1" applyBorder="1" applyAlignment="1">
      <alignment horizontal="center" vertical="top" wrapText="1"/>
    </xf>
    <xf numFmtId="168" fontId="4" fillId="0" borderId="1" xfId="0" applyNumberFormat="1" applyFont="1" applyFill="1" applyBorder="1" applyAlignment="1">
      <alignment horizontal="center" vertical="top" wrapText="1"/>
    </xf>
    <xf numFmtId="171" fontId="4" fillId="0" borderId="1" xfId="0" applyNumberFormat="1" applyFont="1" applyFill="1" applyBorder="1" applyAlignment="1">
      <alignment horizontal="center" vertical="top" wrapText="1"/>
    </xf>
    <xf numFmtId="172" fontId="4" fillId="4" borderId="1" xfId="0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167" fontId="4" fillId="4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4" fillId="4" borderId="1" xfId="0" applyNumberFormat="1" applyFont="1" applyFill="1" applyBorder="1" applyAlignment="1">
      <alignment horizontal="center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28" fillId="4" borderId="0" xfId="0" applyFont="1" applyFill="1" applyAlignment="1">
      <alignment horizontal="center" wrapText="1"/>
    </xf>
    <xf numFmtId="0" fontId="28" fillId="4" borderId="0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37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wrapText="1"/>
    </xf>
    <xf numFmtId="0" fontId="41" fillId="0" borderId="0" xfId="0" applyFont="1" applyFill="1" applyAlignment="1">
      <alignment horizontal="right" vertical="top" wrapText="1"/>
    </xf>
    <xf numFmtId="0" fontId="0" fillId="4" borderId="0" xfId="0" applyFont="1" applyFill="1" applyAlignment="1">
      <alignment wrapText="1"/>
    </xf>
    <xf numFmtId="0" fontId="0" fillId="4" borderId="0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ont="1" applyFill="1" applyBorder="1"/>
    <xf numFmtId="0" fontId="0" fillId="4" borderId="0" xfId="0" applyFont="1" applyFill="1" applyBorder="1"/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4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justify" vertical="top"/>
    </xf>
    <xf numFmtId="0" fontId="4" fillId="4" borderId="1" xfId="0" applyFont="1" applyFill="1" applyBorder="1" applyAlignment="1">
      <alignment horizontal="center" vertical="top"/>
    </xf>
    <xf numFmtId="0" fontId="1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/>
    </xf>
    <xf numFmtId="0" fontId="66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71" fontId="4" fillId="0" borderId="8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4" fontId="67" fillId="0" borderId="18" xfId="0" applyNumberFormat="1" applyFont="1" applyBorder="1" applyAlignment="1">
      <alignment horizontal="justify" vertical="center"/>
    </xf>
    <xf numFmtId="0" fontId="4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7" fontId="53" fillId="0" borderId="5" xfId="0" applyNumberFormat="1" applyFont="1" applyFill="1" applyBorder="1" applyAlignment="1">
      <alignment horizontal="center" vertical="center"/>
    </xf>
    <xf numFmtId="167" fontId="53" fillId="0" borderId="8" xfId="0" applyNumberFormat="1" applyFont="1" applyFill="1" applyBorder="1" applyAlignment="1">
      <alignment horizontal="center" vertical="center"/>
    </xf>
    <xf numFmtId="167" fontId="53" fillId="0" borderId="4" xfId="0" applyNumberFormat="1" applyFont="1" applyFill="1" applyBorder="1" applyAlignment="1">
      <alignment horizontal="center" vertical="center"/>
    </xf>
    <xf numFmtId="167" fontId="13" fillId="0" borderId="5" xfId="0" applyNumberFormat="1" applyFont="1" applyFill="1" applyBorder="1" applyAlignment="1">
      <alignment horizontal="center" vertical="center"/>
    </xf>
    <xf numFmtId="167" fontId="13" fillId="0" borderId="8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67" fontId="53" fillId="0" borderId="12" xfId="0" applyNumberFormat="1" applyFont="1" applyFill="1" applyBorder="1" applyAlignment="1">
      <alignment horizontal="center" vertical="center"/>
    </xf>
    <xf numFmtId="167" fontId="53" fillId="0" borderId="13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167" fontId="53" fillId="0" borderId="14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0" fontId="31" fillId="0" borderId="1" xfId="6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wrapText="1"/>
    </xf>
    <xf numFmtId="0" fontId="14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/>
    </xf>
    <xf numFmtId="2" fontId="8" fillId="0" borderId="7" xfId="1" applyNumberFormat="1" applyFont="1" applyFill="1" applyBorder="1" applyAlignment="1">
      <alignment horizontal="left" vertical="center" wrapText="1"/>
    </xf>
    <xf numFmtId="2" fontId="8" fillId="0" borderId="3" xfId="1" applyNumberFormat="1" applyFont="1" applyFill="1" applyBorder="1" applyAlignment="1">
      <alignment horizontal="left" vertical="center" wrapText="1"/>
    </xf>
    <xf numFmtId="2" fontId="8" fillId="0" borderId="2" xfId="1" applyNumberFormat="1" applyFont="1" applyFill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/>
    </xf>
    <xf numFmtId="0" fontId="37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wrapText="1"/>
    </xf>
    <xf numFmtId="0" fontId="41" fillId="0" borderId="0" xfId="0" applyFont="1" applyFill="1" applyAlignment="1">
      <alignment horizontal="right" vertical="top" wrapText="1"/>
    </xf>
    <xf numFmtId="0" fontId="51" fillId="0" borderId="6" xfId="0" applyFont="1" applyFill="1" applyBorder="1" applyAlignment="1">
      <alignment horizontal="center" vertical="center" wrapText="1"/>
    </xf>
    <xf numFmtId="0" fontId="52" fillId="0" borderId="6" xfId="0" applyFont="1" applyFill="1" applyBorder="1" applyAlignment="1"/>
    <xf numFmtId="0" fontId="28" fillId="0" borderId="1" xfId="0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 wrapText="1"/>
    </xf>
    <xf numFmtId="0" fontId="8" fillId="0" borderId="7" xfId="6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 wrapText="1"/>
    </xf>
    <xf numFmtId="0" fontId="41" fillId="4" borderId="0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 wrapText="1"/>
    </xf>
    <xf numFmtId="0" fontId="5" fillId="4" borderId="1" xfId="0" applyFont="1" applyFill="1" applyBorder="1" applyAlignment="1">
      <alignment horizontal="left" vertical="top" wrapText="1"/>
    </xf>
    <xf numFmtId="0" fontId="55" fillId="4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5" fillId="8" borderId="0" xfId="0" applyFont="1" applyFill="1" applyBorder="1" applyAlignment="1">
      <alignment horizontal="left" vertical="center" wrapText="1"/>
    </xf>
    <xf numFmtId="0" fontId="55" fillId="6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left" vertical="top"/>
    </xf>
    <xf numFmtId="0" fontId="14" fillId="4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wrapText="1"/>
    </xf>
    <xf numFmtId="0" fontId="14" fillId="10" borderId="1" xfId="0" applyFont="1" applyFill="1" applyBorder="1" applyAlignment="1">
      <alignment wrapText="1"/>
    </xf>
    <xf numFmtId="0" fontId="0" fillId="10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 xr:uid="{00000000-0005-0000-0000-000001000000}"/>
    <cellStyle name="Обычный 2 2" xfId="7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_Лист1" xfId="6" xr:uid="{00000000-0005-0000-0000-000006000000}"/>
    <cellStyle name="Финансовый" xfId="4" builtinId="3"/>
    <cellStyle name="Финансовый 2" xfId="5" xr:uid="{00000000-0005-0000-0000-000008000000}"/>
    <cellStyle name="Финансовый 3" xfId="9" xr:uid="{00000000-0005-0000-0000-000009000000}"/>
    <cellStyle name="Финансовый 4" xfId="10" xr:uid="{00000000-0005-0000-0000-00000A000000}"/>
  </cellStyles>
  <dxfs count="0"/>
  <tableStyles count="0" defaultTableStyle="TableStyleMedium2" defaultPivotStyle="PivotStyleLight16"/>
  <colors>
    <mruColors>
      <color rgb="FFFF9933"/>
      <color rgb="FFFFCC66"/>
      <color rgb="FFFFFF00"/>
      <color rgb="FFFFFF66"/>
      <color rgb="FFFFFF99"/>
      <color rgb="FFFF9900"/>
      <color rgb="FFFFFFCC"/>
      <color rgb="FFF9B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4"/>
  <sheetViews>
    <sheetView view="pageBreakPreview" zoomScale="70" zoomScaleNormal="50" zoomScaleSheetLayoutView="70" workbookViewId="0">
      <selection activeCell="B2" sqref="B2:AB2"/>
    </sheetView>
  </sheetViews>
  <sheetFormatPr defaultColWidth="9.140625" defaultRowHeight="42" customHeight="1" outlineLevelCol="2" x14ac:dyDescent="0.2"/>
  <cols>
    <col min="1" max="1" width="5" style="32" customWidth="1"/>
    <col min="2" max="2" width="115.42578125" style="83" customWidth="1"/>
    <col min="3" max="3" width="11.140625" style="2" customWidth="1"/>
    <col min="4" max="4" width="10.7109375" style="6" customWidth="1"/>
    <col min="5" max="5" width="10.42578125" style="6" hidden="1" customWidth="1" outlineLevel="1"/>
    <col min="6" max="6" width="11.7109375" style="6" hidden="1" customWidth="1" outlineLevel="1"/>
    <col min="7" max="7" width="13" style="6" hidden="1" customWidth="1" outlineLevel="1"/>
    <col min="8" max="8" width="10.85546875" style="2" customWidth="1" collapsed="1"/>
    <col min="9" max="9" width="10.140625" style="6" customWidth="1"/>
    <col min="10" max="10" width="10.140625" style="6" hidden="1" customWidth="1" outlineLevel="2"/>
    <col min="11" max="11" width="12.42578125" style="6" hidden="1" customWidth="1" outlineLevel="2"/>
    <col min="12" max="12" width="13.85546875" style="6" hidden="1" customWidth="1" outlineLevel="2"/>
    <col min="13" max="13" width="10.7109375" style="2" customWidth="1" collapsed="1"/>
    <col min="14" max="14" width="10.140625" style="6" customWidth="1"/>
    <col min="15" max="15" width="10.28515625" style="6" hidden="1" customWidth="1" outlineLevel="1"/>
    <col min="16" max="16" width="12.5703125" style="6" hidden="1" customWidth="1" outlineLevel="1"/>
    <col min="17" max="17" width="12.85546875" style="6" hidden="1" customWidth="1" outlineLevel="1"/>
    <col min="18" max="18" width="10.28515625" style="2" customWidth="1" collapsed="1"/>
    <col min="19" max="19" width="10.7109375" style="6" customWidth="1"/>
    <col min="20" max="20" width="9.5703125" style="6" hidden="1" customWidth="1" outlineLevel="1"/>
    <col min="21" max="21" width="11.28515625" style="6" hidden="1" customWidth="1" outlineLevel="1"/>
    <col min="22" max="22" width="13" style="6" hidden="1" customWidth="1" outlineLevel="1"/>
    <col min="23" max="23" width="10.7109375" style="2" customWidth="1" collapsed="1"/>
    <col min="24" max="24" width="10" style="32" customWidth="1"/>
    <col min="25" max="25" width="10.42578125" style="32" hidden="1" customWidth="1" outlineLevel="1"/>
    <col min="26" max="26" width="11.42578125" style="32" hidden="1" customWidth="1" outlineLevel="1"/>
    <col min="27" max="27" width="14" style="32" hidden="1" customWidth="1" outlineLevel="1"/>
    <col min="28" max="28" width="11.5703125" style="81" customWidth="1" collapsed="1"/>
    <col min="29" max="29" width="14.5703125" style="39" bestFit="1" customWidth="1"/>
    <col min="30" max="30" width="11" style="80" bestFit="1" customWidth="1"/>
    <col min="31" max="16384" width="9.140625" style="80"/>
  </cols>
  <sheetData>
    <row r="1" spans="1:29" s="91" customFormat="1" ht="102" customHeight="1" x14ac:dyDescent="0.25">
      <c r="A1" s="96"/>
      <c r="B1" s="112"/>
      <c r="C1" s="115"/>
      <c r="D1" s="116"/>
      <c r="E1" s="116"/>
      <c r="F1" s="116"/>
      <c r="G1" s="116"/>
      <c r="H1" s="285"/>
      <c r="I1" s="286"/>
      <c r="J1" s="286"/>
      <c r="K1" s="286"/>
      <c r="L1" s="286"/>
      <c r="M1" s="94"/>
      <c r="N1" s="94"/>
      <c r="O1" s="117"/>
      <c r="P1" s="94"/>
      <c r="Q1" s="94"/>
      <c r="R1" s="94"/>
      <c r="S1" s="94"/>
      <c r="T1" s="94"/>
      <c r="U1" s="94"/>
      <c r="V1" s="94"/>
      <c r="W1" s="343" t="s">
        <v>821</v>
      </c>
      <c r="X1" s="343"/>
      <c r="Y1" s="343"/>
      <c r="Z1" s="343"/>
      <c r="AA1" s="343"/>
      <c r="AB1" s="343"/>
      <c r="AC1" s="92"/>
    </row>
    <row r="2" spans="1:29" ht="73.150000000000006" customHeight="1" x14ac:dyDescent="0.25">
      <c r="A2" s="11"/>
      <c r="B2" s="346" t="s">
        <v>982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W2" s="347"/>
      <c r="X2" s="347"/>
      <c r="Y2" s="347"/>
      <c r="Z2" s="347"/>
      <c r="AA2" s="347"/>
      <c r="AB2" s="347"/>
    </row>
    <row r="3" spans="1:29" ht="42" customHeight="1" x14ac:dyDescent="0.2">
      <c r="A3" s="348" t="s">
        <v>233</v>
      </c>
      <c r="B3" s="349" t="s">
        <v>734</v>
      </c>
      <c r="C3" s="351" t="s">
        <v>733</v>
      </c>
      <c r="D3" s="351"/>
      <c r="E3" s="351"/>
      <c r="F3" s="351"/>
      <c r="G3" s="351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3" t="s">
        <v>229</v>
      </c>
    </row>
    <row r="4" spans="1:29" ht="42" customHeight="1" x14ac:dyDescent="0.2">
      <c r="A4" s="348"/>
      <c r="B4" s="350"/>
      <c r="C4" s="345" t="s">
        <v>228</v>
      </c>
      <c r="D4" s="345"/>
      <c r="E4" s="345"/>
      <c r="F4" s="345"/>
      <c r="G4" s="345"/>
      <c r="H4" s="345" t="s">
        <v>227</v>
      </c>
      <c r="I4" s="345"/>
      <c r="J4" s="345"/>
      <c r="K4" s="345"/>
      <c r="L4" s="345"/>
      <c r="M4" s="345" t="s">
        <v>226</v>
      </c>
      <c r="N4" s="345"/>
      <c r="O4" s="345"/>
      <c r="P4" s="345"/>
      <c r="Q4" s="345"/>
      <c r="R4" s="345" t="s">
        <v>225</v>
      </c>
      <c r="S4" s="345"/>
      <c r="T4" s="345"/>
      <c r="U4" s="345"/>
      <c r="V4" s="345"/>
      <c r="W4" s="345" t="s">
        <v>224</v>
      </c>
      <c r="X4" s="345"/>
      <c r="Y4" s="345"/>
      <c r="Z4" s="345"/>
      <c r="AA4" s="345"/>
      <c r="AB4" s="353"/>
    </row>
    <row r="5" spans="1:29" ht="42" customHeight="1" x14ac:dyDescent="0.2">
      <c r="A5" s="348"/>
      <c r="B5" s="350"/>
      <c r="C5" s="97" t="s">
        <v>223</v>
      </c>
      <c r="D5" s="282" t="s">
        <v>222</v>
      </c>
      <c r="E5" s="282" t="s">
        <v>221</v>
      </c>
      <c r="F5" s="282" t="s">
        <v>220</v>
      </c>
      <c r="G5" s="282" t="s">
        <v>219</v>
      </c>
      <c r="H5" s="97" t="s">
        <v>223</v>
      </c>
      <c r="I5" s="282" t="s">
        <v>222</v>
      </c>
      <c r="J5" s="282" t="s">
        <v>221</v>
      </c>
      <c r="K5" s="282" t="s">
        <v>220</v>
      </c>
      <c r="L5" s="282" t="s">
        <v>219</v>
      </c>
      <c r="M5" s="97" t="s">
        <v>223</v>
      </c>
      <c r="N5" s="282" t="s">
        <v>222</v>
      </c>
      <c r="O5" s="282" t="s">
        <v>221</v>
      </c>
      <c r="P5" s="282" t="s">
        <v>220</v>
      </c>
      <c r="Q5" s="282" t="s">
        <v>219</v>
      </c>
      <c r="R5" s="97" t="s">
        <v>223</v>
      </c>
      <c r="S5" s="282" t="s">
        <v>222</v>
      </c>
      <c r="T5" s="282" t="s">
        <v>221</v>
      </c>
      <c r="U5" s="282" t="s">
        <v>220</v>
      </c>
      <c r="V5" s="282" t="s">
        <v>219</v>
      </c>
      <c r="W5" s="97" t="s">
        <v>223</v>
      </c>
      <c r="X5" s="282" t="s">
        <v>222</v>
      </c>
      <c r="Y5" s="282" t="s">
        <v>221</v>
      </c>
      <c r="Z5" s="282" t="s">
        <v>220</v>
      </c>
      <c r="AA5" s="282" t="s">
        <v>219</v>
      </c>
      <c r="AB5" s="353"/>
    </row>
    <row r="6" spans="1:29" s="85" customFormat="1" ht="21.6" customHeight="1" x14ac:dyDescent="0.2">
      <c r="A6" s="160">
        <v>1</v>
      </c>
      <c r="B6" s="256">
        <v>2</v>
      </c>
      <c r="C6" s="160">
        <v>3</v>
      </c>
      <c r="D6" s="160">
        <v>4</v>
      </c>
      <c r="E6" s="160">
        <v>5</v>
      </c>
      <c r="F6" s="160">
        <v>6</v>
      </c>
      <c r="G6" s="160">
        <v>7</v>
      </c>
      <c r="H6" s="160">
        <v>5</v>
      </c>
      <c r="I6" s="160">
        <v>6</v>
      </c>
      <c r="J6" s="160">
        <v>10</v>
      </c>
      <c r="K6" s="160">
        <v>11</v>
      </c>
      <c r="L6" s="160">
        <v>12</v>
      </c>
      <c r="M6" s="160">
        <v>7</v>
      </c>
      <c r="N6" s="160">
        <v>8</v>
      </c>
      <c r="O6" s="160">
        <v>15</v>
      </c>
      <c r="P6" s="160">
        <v>16</v>
      </c>
      <c r="Q6" s="160">
        <v>17</v>
      </c>
      <c r="R6" s="160">
        <v>9</v>
      </c>
      <c r="S6" s="160">
        <v>10</v>
      </c>
      <c r="T6" s="160">
        <v>20</v>
      </c>
      <c r="U6" s="160">
        <v>21</v>
      </c>
      <c r="V6" s="160">
        <v>22</v>
      </c>
      <c r="W6" s="160">
        <v>11</v>
      </c>
      <c r="X6" s="160">
        <v>12</v>
      </c>
      <c r="Y6" s="160">
        <v>25</v>
      </c>
      <c r="Z6" s="160">
        <v>26</v>
      </c>
      <c r="AA6" s="160">
        <v>27</v>
      </c>
      <c r="AB6" s="160">
        <v>13</v>
      </c>
      <c r="AC6" s="88"/>
    </row>
    <row r="7" spans="1:29" s="82" customFormat="1" ht="15" customHeight="1" x14ac:dyDescent="0.2">
      <c r="A7" s="337">
        <v>1</v>
      </c>
      <c r="B7" s="253" t="s">
        <v>855</v>
      </c>
      <c r="C7" s="331">
        <f>D7+E7+F7+G7</f>
        <v>63077</v>
      </c>
      <c r="D7" s="334">
        <f>46274+16803</f>
        <v>63077</v>
      </c>
      <c r="E7" s="162">
        <v>0</v>
      </c>
      <c r="F7" s="162">
        <v>0</v>
      </c>
      <c r="G7" s="162">
        <v>0</v>
      </c>
      <c r="H7" s="331">
        <f>I7+J7+K7+L7</f>
        <v>30758</v>
      </c>
      <c r="I7" s="334">
        <v>30758</v>
      </c>
      <c r="J7" s="162">
        <v>0</v>
      </c>
      <c r="K7" s="162">
        <v>0</v>
      </c>
      <c r="L7" s="162">
        <v>0</v>
      </c>
      <c r="M7" s="334">
        <v>0</v>
      </c>
      <c r="N7" s="334">
        <v>0</v>
      </c>
      <c r="O7" s="162">
        <v>0</v>
      </c>
      <c r="P7" s="162">
        <v>0</v>
      </c>
      <c r="Q7" s="162">
        <v>0</v>
      </c>
      <c r="R7" s="334">
        <v>0</v>
      </c>
      <c r="S7" s="334">
        <v>0</v>
      </c>
      <c r="T7" s="162">
        <v>0</v>
      </c>
      <c r="U7" s="162">
        <v>0</v>
      </c>
      <c r="V7" s="162">
        <v>0</v>
      </c>
      <c r="W7" s="334">
        <v>0</v>
      </c>
      <c r="X7" s="334">
        <v>0</v>
      </c>
      <c r="Y7" s="162">
        <v>0</v>
      </c>
      <c r="Z7" s="162">
        <v>0</v>
      </c>
      <c r="AA7" s="162">
        <v>0</v>
      </c>
      <c r="AB7" s="331">
        <f t="shared" ref="AB7:AB32" si="0">C7+H7+M7+R7+W7</f>
        <v>93835</v>
      </c>
    </row>
    <row r="8" spans="1:29" s="82" customFormat="1" ht="15" customHeight="1" x14ac:dyDescent="0.2">
      <c r="A8" s="338"/>
      <c r="B8" s="257" t="s">
        <v>844</v>
      </c>
      <c r="C8" s="332"/>
      <c r="D8" s="335"/>
      <c r="E8" s="162"/>
      <c r="F8" s="162"/>
      <c r="G8" s="162"/>
      <c r="H8" s="332"/>
      <c r="I8" s="335"/>
      <c r="J8" s="162"/>
      <c r="K8" s="162"/>
      <c r="L8" s="162"/>
      <c r="M8" s="335"/>
      <c r="N8" s="335"/>
      <c r="O8" s="162"/>
      <c r="P8" s="162"/>
      <c r="Q8" s="162"/>
      <c r="R8" s="335"/>
      <c r="S8" s="335"/>
      <c r="T8" s="162"/>
      <c r="U8" s="162"/>
      <c r="V8" s="162"/>
      <c r="W8" s="335"/>
      <c r="X8" s="335"/>
      <c r="Y8" s="162"/>
      <c r="Z8" s="162"/>
      <c r="AA8" s="162"/>
      <c r="AB8" s="332"/>
    </row>
    <row r="9" spans="1:29" s="82" customFormat="1" ht="15" customHeight="1" x14ac:dyDescent="0.2">
      <c r="A9" s="338"/>
      <c r="B9" s="257" t="s">
        <v>856</v>
      </c>
      <c r="C9" s="332"/>
      <c r="D9" s="335"/>
      <c r="E9" s="162"/>
      <c r="F9" s="162"/>
      <c r="G9" s="162"/>
      <c r="H9" s="332"/>
      <c r="I9" s="335"/>
      <c r="J9" s="162"/>
      <c r="K9" s="162"/>
      <c r="L9" s="162"/>
      <c r="M9" s="335"/>
      <c r="N9" s="335"/>
      <c r="O9" s="162"/>
      <c r="P9" s="162"/>
      <c r="Q9" s="162"/>
      <c r="R9" s="335"/>
      <c r="S9" s="335"/>
      <c r="T9" s="162"/>
      <c r="U9" s="162"/>
      <c r="V9" s="162"/>
      <c r="W9" s="335"/>
      <c r="X9" s="335"/>
      <c r="Y9" s="162"/>
      <c r="Z9" s="162"/>
      <c r="AA9" s="162"/>
      <c r="AB9" s="332"/>
    </row>
    <row r="10" spans="1:29" s="82" customFormat="1" ht="15" customHeight="1" x14ac:dyDescent="0.2">
      <c r="A10" s="338"/>
      <c r="B10" s="257" t="s">
        <v>857</v>
      </c>
      <c r="C10" s="332"/>
      <c r="D10" s="335"/>
      <c r="E10" s="162"/>
      <c r="F10" s="162"/>
      <c r="G10" s="162"/>
      <c r="H10" s="332"/>
      <c r="I10" s="335"/>
      <c r="J10" s="162"/>
      <c r="K10" s="162"/>
      <c r="L10" s="162"/>
      <c r="M10" s="335"/>
      <c r="N10" s="335"/>
      <c r="O10" s="162"/>
      <c r="P10" s="162"/>
      <c r="Q10" s="162"/>
      <c r="R10" s="335"/>
      <c r="S10" s="335"/>
      <c r="T10" s="162"/>
      <c r="U10" s="162"/>
      <c r="V10" s="162"/>
      <c r="W10" s="335"/>
      <c r="X10" s="335"/>
      <c r="Y10" s="162"/>
      <c r="Z10" s="162"/>
      <c r="AA10" s="162"/>
      <c r="AB10" s="332"/>
    </row>
    <row r="11" spans="1:29" s="82" customFormat="1" ht="15" customHeight="1" x14ac:dyDescent="0.2">
      <c r="A11" s="338"/>
      <c r="B11" s="257" t="s">
        <v>858</v>
      </c>
      <c r="C11" s="332"/>
      <c r="D11" s="335"/>
      <c r="E11" s="162"/>
      <c r="F11" s="162"/>
      <c r="G11" s="162"/>
      <c r="H11" s="332"/>
      <c r="I11" s="335"/>
      <c r="J11" s="162"/>
      <c r="K11" s="162"/>
      <c r="L11" s="162"/>
      <c r="M11" s="335"/>
      <c r="N11" s="335"/>
      <c r="O11" s="162"/>
      <c r="P11" s="162"/>
      <c r="Q11" s="162"/>
      <c r="R11" s="335"/>
      <c r="S11" s="335"/>
      <c r="T11" s="162"/>
      <c r="U11" s="162"/>
      <c r="V11" s="162"/>
      <c r="W11" s="335"/>
      <c r="X11" s="335"/>
      <c r="Y11" s="162"/>
      <c r="Z11" s="162"/>
      <c r="AA11" s="162"/>
      <c r="AB11" s="332"/>
    </row>
    <row r="12" spans="1:29" s="82" customFormat="1" ht="15" customHeight="1" x14ac:dyDescent="0.2">
      <c r="A12" s="338"/>
      <c r="B12" s="257" t="s">
        <v>859</v>
      </c>
      <c r="C12" s="332"/>
      <c r="D12" s="335"/>
      <c r="E12" s="162"/>
      <c r="F12" s="162"/>
      <c r="G12" s="162"/>
      <c r="H12" s="332"/>
      <c r="I12" s="335"/>
      <c r="J12" s="162"/>
      <c r="K12" s="162"/>
      <c r="L12" s="162"/>
      <c r="M12" s="335"/>
      <c r="N12" s="335"/>
      <c r="O12" s="162"/>
      <c r="P12" s="162"/>
      <c r="Q12" s="162"/>
      <c r="R12" s="335"/>
      <c r="S12" s="335"/>
      <c r="T12" s="162"/>
      <c r="U12" s="162"/>
      <c r="V12" s="162"/>
      <c r="W12" s="335"/>
      <c r="X12" s="335"/>
      <c r="Y12" s="162"/>
      <c r="Z12" s="162"/>
      <c r="AA12" s="162"/>
      <c r="AB12" s="332"/>
    </row>
    <row r="13" spans="1:29" s="82" customFormat="1" ht="15" customHeight="1" x14ac:dyDescent="0.2">
      <c r="A13" s="341"/>
      <c r="B13" s="257" t="s">
        <v>860</v>
      </c>
      <c r="C13" s="333"/>
      <c r="D13" s="336"/>
      <c r="E13" s="162"/>
      <c r="F13" s="162"/>
      <c r="G13" s="162"/>
      <c r="H13" s="333"/>
      <c r="I13" s="336"/>
      <c r="J13" s="162"/>
      <c r="K13" s="162"/>
      <c r="L13" s="162"/>
      <c r="M13" s="336"/>
      <c r="N13" s="336"/>
      <c r="O13" s="162"/>
      <c r="P13" s="162"/>
      <c r="Q13" s="162"/>
      <c r="R13" s="336"/>
      <c r="S13" s="336"/>
      <c r="T13" s="162"/>
      <c r="U13" s="162"/>
      <c r="V13" s="162"/>
      <c r="W13" s="336"/>
      <c r="X13" s="336"/>
      <c r="Y13" s="162"/>
      <c r="Z13" s="162"/>
      <c r="AA13" s="162"/>
      <c r="AB13" s="333"/>
    </row>
    <row r="14" spans="1:29" s="32" customFormat="1" ht="15" customHeight="1" x14ac:dyDescent="0.2">
      <c r="A14" s="261">
        <v>2</v>
      </c>
      <c r="B14" s="250" t="s">
        <v>215</v>
      </c>
      <c r="C14" s="252">
        <f>D14+E14+F14+G14</f>
        <v>0</v>
      </c>
      <c r="D14" s="162">
        <v>0</v>
      </c>
      <c r="E14" s="162">
        <v>0</v>
      </c>
      <c r="F14" s="162">
        <v>0</v>
      </c>
      <c r="G14" s="162">
        <v>0</v>
      </c>
      <c r="H14" s="161">
        <f>I14+J14+K14+L14</f>
        <v>0</v>
      </c>
      <c r="I14" s="162">
        <v>0</v>
      </c>
      <c r="J14" s="162">
        <v>0</v>
      </c>
      <c r="K14" s="162">
        <v>0</v>
      </c>
      <c r="L14" s="162">
        <v>0</v>
      </c>
      <c r="M14" s="161">
        <f t="shared" ref="M14" si="1">SUM(N14:Q14)</f>
        <v>781</v>
      </c>
      <c r="N14" s="162">
        <v>781</v>
      </c>
      <c r="O14" s="162">
        <v>0</v>
      </c>
      <c r="P14" s="162">
        <v>0</v>
      </c>
      <c r="Q14" s="162">
        <v>0</v>
      </c>
      <c r="R14" s="161">
        <f t="shared" ref="R14" si="2">SUM(S14:V14)</f>
        <v>781</v>
      </c>
      <c r="S14" s="162">
        <v>781</v>
      </c>
      <c r="T14" s="162">
        <v>0</v>
      </c>
      <c r="U14" s="162">
        <v>0</v>
      </c>
      <c r="V14" s="162">
        <v>0</v>
      </c>
      <c r="W14" s="161">
        <f t="shared" ref="W14" si="3">SUM(X14:AA14)</f>
        <v>781</v>
      </c>
      <c r="X14" s="162">
        <v>781</v>
      </c>
      <c r="Y14" s="162">
        <v>0</v>
      </c>
      <c r="Z14" s="162">
        <v>0</v>
      </c>
      <c r="AA14" s="162">
        <v>0</v>
      </c>
      <c r="AB14" s="161">
        <f>C14+H14+M14+R14+W14</f>
        <v>2343</v>
      </c>
    </row>
    <row r="15" spans="1:29" s="32" customFormat="1" ht="15" customHeight="1" x14ac:dyDescent="0.2">
      <c r="A15" s="337">
        <v>3</v>
      </c>
      <c r="B15" s="255" t="s">
        <v>843</v>
      </c>
      <c r="C15" s="331">
        <f>D15+E15+F15+G15</f>
        <v>1368</v>
      </c>
      <c r="D15" s="334">
        <v>1368</v>
      </c>
      <c r="E15" s="162">
        <v>0</v>
      </c>
      <c r="F15" s="162">
        <v>0</v>
      </c>
      <c r="G15" s="162">
        <v>0</v>
      </c>
      <c r="H15" s="331">
        <f>I15+J15+K15+L15</f>
        <v>1368</v>
      </c>
      <c r="I15" s="334">
        <v>1368</v>
      </c>
      <c r="J15" s="162">
        <v>0</v>
      </c>
      <c r="K15" s="162">
        <v>0</v>
      </c>
      <c r="L15" s="162">
        <v>0</v>
      </c>
      <c r="M15" s="334">
        <v>0</v>
      </c>
      <c r="N15" s="334">
        <v>0</v>
      </c>
      <c r="O15" s="162">
        <v>0</v>
      </c>
      <c r="P15" s="162">
        <v>0</v>
      </c>
      <c r="Q15" s="162">
        <v>0</v>
      </c>
      <c r="R15" s="334">
        <v>0</v>
      </c>
      <c r="S15" s="334">
        <v>0</v>
      </c>
      <c r="T15" s="162">
        <v>0</v>
      </c>
      <c r="U15" s="162">
        <v>0</v>
      </c>
      <c r="V15" s="162">
        <v>0</v>
      </c>
      <c r="W15" s="334">
        <v>0</v>
      </c>
      <c r="X15" s="334">
        <v>0</v>
      </c>
      <c r="Y15" s="162">
        <v>0</v>
      </c>
      <c r="Z15" s="162">
        <v>0</v>
      </c>
      <c r="AA15" s="162">
        <v>0</v>
      </c>
      <c r="AB15" s="331">
        <f t="shared" si="0"/>
        <v>2736</v>
      </c>
    </row>
    <row r="16" spans="1:29" s="32" customFormat="1" ht="15" customHeight="1" x14ac:dyDescent="0.2">
      <c r="A16" s="338"/>
      <c r="B16" s="255" t="s">
        <v>844</v>
      </c>
      <c r="C16" s="332"/>
      <c r="D16" s="335"/>
      <c r="E16" s="162"/>
      <c r="F16" s="162"/>
      <c r="G16" s="162"/>
      <c r="H16" s="332"/>
      <c r="I16" s="335"/>
      <c r="J16" s="162"/>
      <c r="K16" s="162"/>
      <c r="L16" s="162"/>
      <c r="M16" s="335"/>
      <c r="N16" s="335"/>
      <c r="O16" s="162"/>
      <c r="P16" s="162"/>
      <c r="Q16" s="162"/>
      <c r="R16" s="335"/>
      <c r="S16" s="335"/>
      <c r="T16" s="162"/>
      <c r="U16" s="162"/>
      <c r="V16" s="162"/>
      <c r="W16" s="335"/>
      <c r="X16" s="335"/>
      <c r="Y16" s="162"/>
      <c r="Z16" s="162"/>
      <c r="AA16" s="162"/>
      <c r="AB16" s="332"/>
    </row>
    <row r="17" spans="1:28" s="32" customFormat="1" ht="15" customHeight="1" x14ac:dyDescent="0.2">
      <c r="A17" s="338"/>
      <c r="B17" s="255" t="s">
        <v>845</v>
      </c>
      <c r="C17" s="332"/>
      <c r="D17" s="335"/>
      <c r="E17" s="162"/>
      <c r="F17" s="162"/>
      <c r="G17" s="162"/>
      <c r="H17" s="332"/>
      <c r="I17" s="335"/>
      <c r="J17" s="162"/>
      <c r="K17" s="162"/>
      <c r="L17" s="162"/>
      <c r="M17" s="335"/>
      <c r="N17" s="335"/>
      <c r="O17" s="162"/>
      <c r="P17" s="162"/>
      <c r="Q17" s="162"/>
      <c r="R17" s="335"/>
      <c r="S17" s="335"/>
      <c r="T17" s="162"/>
      <c r="U17" s="162"/>
      <c r="V17" s="162"/>
      <c r="W17" s="335"/>
      <c r="X17" s="335"/>
      <c r="Y17" s="162"/>
      <c r="Z17" s="162"/>
      <c r="AA17" s="162"/>
      <c r="AB17" s="332"/>
    </row>
    <row r="18" spans="1:28" s="32" customFormat="1" ht="15" customHeight="1" x14ac:dyDescent="0.2">
      <c r="A18" s="338"/>
      <c r="B18" s="255" t="s">
        <v>847</v>
      </c>
      <c r="C18" s="332"/>
      <c r="D18" s="335"/>
      <c r="E18" s="162"/>
      <c r="F18" s="162"/>
      <c r="G18" s="162"/>
      <c r="H18" s="332"/>
      <c r="I18" s="335"/>
      <c r="J18" s="162"/>
      <c r="K18" s="162"/>
      <c r="L18" s="162"/>
      <c r="M18" s="335"/>
      <c r="N18" s="335"/>
      <c r="O18" s="162"/>
      <c r="P18" s="162"/>
      <c r="Q18" s="162"/>
      <c r="R18" s="335"/>
      <c r="S18" s="335"/>
      <c r="T18" s="162"/>
      <c r="U18" s="162"/>
      <c r="V18" s="162"/>
      <c r="W18" s="335"/>
      <c r="X18" s="335"/>
      <c r="Y18" s="162"/>
      <c r="Z18" s="162"/>
      <c r="AA18" s="162"/>
      <c r="AB18" s="332"/>
    </row>
    <row r="19" spans="1:28" s="32" customFormat="1" ht="15" customHeight="1" x14ac:dyDescent="0.2">
      <c r="A19" s="338"/>
      <c r="B19" s="255" t="s">
        <v>846</v>
      </c>
      <c r="C19" s="332"/>
      <c r="D19" s="335"/>
      <c r="E19" s="162"/>
      <c r="F19" s="162"/>
      <c r="G19" s="162"/>
      <c r="H19" s="332"/>
      <c r="I19" s="335"/>
      <c r="J19" s="162"/>
      <c r="K19" s="162"/>
      <c r="L19" s="162"/>
      <c r="M19" s="335"/>
      <c r="N19" s="335"/>
      <c r="O19" s="162"/>
      <c r="P19" s="162"/>
      <c r="Q19" s="162"/>
      <c r="R19" s="335"/>
      <c r="S19" s="335"/>
      <c r="T19" s="162"/>
      <c r="U19" s="162"/>
      <c r="V19" s="162"/>
      <c r="W19" s="335"/>
      <c r="X19" s="335"/>
      <c r="Y19" s="162"/>
      <c r="Z19" s="162"/>
      <c r="AA19" s="162"/>
      <c r="AB19" s="332"/>
    </row>
    <row r="20" spans="1:28" s="32" customFormat="1" ht="15" customHeight="1" x14ac:dyDescent="0.2">
      <c r="A20" s="338"/>
      <c r="B20" s="255" t="s">
        <v>848</v>
      </c>
      <c r="C20" s="332"/>
      <c r="D20" s="335"/>
      <c r="E20" s="162"/>
      <c r="F20" s="162"/>
      <c r="G20" s="162"/>
      <c r="H20" s="332"/>
      <c r="I20" s="335"/>
      <c r="J20" s="162"/>
      <c r="K20" s="162"/>
      <c r="L20" s="162"/>
      <c r="M20" s="335"/>
      <c r="N20" s="335"/>
      <c r="O20" s="162"/>
      <c r="P20" s="162"/>
      <c r="Q20" s="162"/>
      <c r="R20" s="335"/>
      <c r="S20" s="335"/>
      <c r="T20" s="162"/>
      <c r="U20" s="162"/>
      <c r="V20" s="162"/>
      <c r="W20" s="335"/>
      <c r="X20" s="335"/>
      <c r="Y20" s="162"/>
      <c r="Z20" s="162"/>
      <c r="AA20" s="162"/>
      <c r="AB20" s="332"/>
    </row>
    <row r="21" spans="1:28" s="32" customFormat="1" ht="15" customHeight="1" x14ac:dyDescent="0.2">
      <c r="A21" s="338"/>
      <c r="B21" s="255" t="s">
        <v>849</v>
      </c>
      <c r="C21" s="332"/>
      <c r="D21" s="335"/>
      <c r="E21" s="162"/>
      <c r="F21" s="162"/>
      <c r="G21" s="162"/>
      <c r="H21" s="332"/>
      <c r="I21" s="335"/>
      <c r="J21" s="162"/>
      <c r="K21" s="162"/>
      <c r="L21" s="162"/>
      <c r="M21" s="335"/>
      <c r="N21" s="335"/>
      <c r="O21" s="162"/>
      <c r="P21" s="162"/>
      <c r="Q21" s="162"/>
      <c r="R21" s="335"/>
      <c r="S21" s="335"/>
      <c r="T21" s="162"/>
      <c r="U21" s="162"/>
      <c r="V21" s="162"/>
      <c r="W21" s="335"/>
      <c r="X21" s="335"/>
      <c r="Y21" s="162"/>
      <c r="Z21" s="162"/>
      <c r="AA21" s="162"/>
      <c r="AB21" s="332"/>
    </row>
    <row r="22" spans="1:28" s="32" customFormat="1" ht="15" customHeight="1" x14ac:dyDescent="0.2">
      <c r="A22" s="338"/>
      <c r="B22" s="255" t="s">
        <v>850</v>
      </c>
      <c r="C22" s="332"/>
      <c r="D22" s="335"/>
      <c r="E22" s="162"/>
      <c r="F22" s="162"/>
      <c r="G22" s="162"/>
      <c r="H22" s="332"/>
      <c r="I22" s="335"/>
      <c r="J22" s="162"/>
      <c r="K22" s="162"/>
      <c r="L22" s="162"/>
      <c r="M22" s="335"/>
      <c r="N22" s="335"/>
      <c r="O22" s="162"/>
      <c r="P22" s="162"/>
      <c r="Q22" s="162"/>
      <c r="R22" s="335"/>
      <c r="S22" s="335"/>
      <c r="T22" s="162"/>
      <c r="U22" s="162"/>
      <c r="V22" s="162"/>
      <c r="W22" s="335"/>
      <c r="X22" s="335"/>
      <c r="Y22" s="162"/>
      <c r="Z22" s="162"/>
      <c r="AA22" s="162"/>
      <c r="AB22" s="332"/>
    </row>
    <row r="23" spans="1:28" s="32" customFormat="1" ht="15" customHeight="1" x14ac:dyDescent="0.2">
      <c r="A23" s="338"/>
      <c r="B23" s="255" t="s">
        <v>851</v>
      </c>
      <c r="C23" s="332"/>
      <c r="D23" s="335"/>
      <c r="E23" s="162"/>
      <c r="F23" s="162"/>
      <c r="G23" s="162"/>
      <c r="H23" s="332"/>
      <c r="I23" s="335"/>
      <c r="J23" s="162"/>
      <c r="K23" s="162"/>
      <c r="L23" s="162"/>
      <c r="M23" s="335"/>
      <c r="N23" s="335"/>
      <c r="O23" s="162"/>
      <c r="P23" s="162"/>
      <c r="Q23" s="162"/>
      <c r="R23" s="335"/>
      <c r="S23" s="335"/>
      <c r="T23" s="162"/>
      <c r="U23" s="162"/>
      <c r="V23" s="162"/>
      <c r="W23" s="335"/>
      <c r="X23" s="335"/>
      <c r="Y23" s="162"/>
      <c r="Z23" s="162"/>
      <c r="AA23" s="162"/>
      <c r="AB23" s="332"/>
    </row>
    <row r="24" spans="1:28" s="32" customFormat="1" ht="31.15" customHeight="1" x14ac:dyDescent="0.2">
      <c r="A24" s="338"/>
      <c r="B24" s="255" t="s">
        <v>852</v>
      </c>
      <c r="C24" s="332"/>
      <c r="D24" s="335"/>
      <c r="E24" s="162"/>
      <c r="F24" s="162"/>
      <c r="G24" s="162"/>
      <c r="H24" s="332"/>
      <c r="I24" s="335"/>
      <c r="J24" s="162"/>
      <c r="K24" s="162"/>
      <c r="L24" s="162"/>
      <c r="M24" s="335"/>
      <c r="N24" s="335"/>
      <c r="O24" s="162"/>
      <c r="P24" s="162"/>
      <c r="Q24" s="162"/>
      <c r="R24" s="335"/>
      <c r="S24" s="335"/>
      <c r="T24" s="162"/>
      <c r="U24" s="162"/>
      <c r="V24" s="162"/>
      <c r="W24" s="335"/>
      <c r="X24" s="335"/>
      <c r="Y24" s="162"/>
      <c r="Z24" s="162"/>
      <c r="AA24" s="162"/>
      <c r="AB24" s="332"/>
    </row>
    <row r="25" spans="1:28" s="32" customFormat="1" ht="15" customHeight="1" x14ac:dyDescent="0.2">
      <c r="A25" s="338"/>
      <c r="B25" s="255" t="s">
        <v>853</v>
      </c>
      <c r="C25" s="332"/>
      <c r="D25" s="335"/>
      <c r="E25" s="162"/>
      <c r="F25" s="162"/>
      <c r="G25" s="162"/>
      <c r="H25" s="332"/>
      <c r="I25" s="335"/>
      <c r="J25" s="162"/>
      <c r="K25" s="162"/>
      <c r="L25" s="162"/>
      <c r="M25" s="335"/>
      <c r="N25" s="335"/>
      <c r="O25" s="162"/>
      <c r="P25" s="162"/>
      <c r="Q25" s="162"/>
      <c r="R25" s="335"/>
      <c r="S25" s="335"/>
      <c r="T25" s="162"/>
      <c r="U25" s="162"/>
      <c r="V25" s="162"/>
      <c r="W25" s="335"/>
      <c r="X25" s="335"/>
      <c r="Y25" s="162"/>
      <c r="Z25" s="162"/>
      <c r="AA25" s="162"/>
      <c r="AB25" s="332"/>
    </row>
    <row r="26" spans="1:28" s="32" customFormat="1" ht="15" customHeight="1" x14ac:dyDescent="0.2">
      <c r="A26" s="341"/>
      <c r="B26" s="255" t="s">
        <v>854</v>
      </c>
      <c r="C26" s="333"/>
      <c r="D26" s="336"/>
      <c r="E26" s="162"/>
      <c r="F26" s="162"/>
      <c r="G26" s="162"/>
      <c r="H26" s="333"/>
      <c r="I26" s="336"/>
      <c r="J26" s="162"/>
      <c r="K26" s="162"/>
      <c r="L26" s="162"/>
      <c r="M26" s="336"/>
      <c r="N26" s="336"/>
      <c r="O26" s="162"/>
      <c r="P26" s="162"/>
      <c r="Q26" s="162"/>
      <c r="R26" s="336"/>
      <c r="S26" s="336"/>
      <c r="T26" s="162"/>
      <c r="U26" s="162"/>
      <c r="V26" s="162"/>
      <c r="W26" s="336"/>
      <c r="X26" s="336"/>
      <c r="Y26" s="162"/>
      <c r="Z26" s="162"/>
      <c r="AA26" s="162"/>
      <c r="AB26" s="333"/>
    </row>
    <row r="27" spans="1:28" s="32" customFormat="1" ht="15" customHeight="1" x14ac:dyDescent="0.2">
      <c r="A27" s="337">
        <v>4</v>
      </c>
      <c r="B27" s="253" t="s">
        <v>861</v>
      </c>
      <c r="C27" s="331">
        <f>D27+E27+F27+G27</f>
        <v>2281</v>
      </c>
      <c r="D27" s="334">
        <v>2281</v>
      </c>
      <c r="E27" s="162">
        <v>0</v>
      </c>
      <c r="F27" s="162">
        <v>0</v>
      </c>
      <c r="G27" s="162">
        <v>0</v>
      </c>
      <c r="H27" s="334">
        <v>0</v>
      </c>
      <c r="I27" s="334">
        <v>0</v>
      </c>
      <c r="J27" s="162">
        <v>0</v>
      </c>
      <c r="K27" s="162">
        <v>0</v>
      </c>
      <c r="L27" s="162">
        <v>0</v>
      </c>
      <c r="M27" s="334">
        <v>0</v>
      </c>
      <c r="N27" s="334">
        <v>0</v>
      </c>
      <c r="O27" s="162">
        <v>0</v>
      </c>
      <c r="P27" s="162">
        <v>0</v>
      </c>
      <c r="Q27" s="162">
        <v>0</v>
      </c>
      <c r="R27" s="334">
        <v>0</v>
      </c>
      <c r="S27" s="334">
        <v>0</v>
      </c>
      <c r="T27" s="162">
        <v>0</v>
      </c>
      <c r="U27" s="162">
        <v>0</v>
      </c>
      <c r="V27" s="162">
        <v>0</v>
      </c>
      <c r="W27" s="334">
        <v>0</v>
      </c>
      <c r="X27" s="334">
        <v>0</v>
      </c>
      <c r="Y27" s="162">
        <v>0</v>
      </c>
      <c r="Z27" s="162">
        <v>0</v>
      </c>
      <c r="AA27" s="162">
        <v>0</v>
      </c>
      <c r="AB27" s="331">
        <f t="shared" si="0"/>
        <v>2281</v>
      </c>
    </row>
    <row r="28" spans="1:28" s="32" customFormat="1" ht="15" customHeight="1" x14ac:dyDescent="0.2">
      <c r="A28" s="338"/>
      <c r="B28" s="257" t="s">
        <v>844</v>
      </c>
      <c r="C28" s="332"/>
      <c r="D28" s="335"/>
      <c r="E28" s="162"/>
      <c r="F28" s="162"/>
      <c r="G28" s="162"/>
      <c r="H28" s="335"/>
      <c r="I28" s="335"/>
      <c r="J28" s="162"/>
      <c r="K28" s="162"/>
      <c r="L28" s="162"/>
      <c r="M28" s="335"/>
      <c r="N28" s="335"/>
      <c r="O28" s="162"/>
      <c r="P28" s="162"/>
      <c r="Q28" s="162"/>
      <c r="R28" s="335"/>
      <c r="S28" s="335"/>
      <c r="T28" s="162"/>
      <c r="U28" s="162"/>
      <c r="V28" s="162"/>
      <c r="W28" s="335"/>
      <c r="X28" s="335"/>
      <c r="Y28" s="162"/>
      <c r="Z28" s="162"/>
      <c r="AA28" s="162"/>
      <c r="AB28" s="332"/>
    </row>
    <row r="29" spans="1:28" s="32" customFormat="1" ht="15" customHeight="1" x14ac:dyDescent="0.2">
      <c r="A29" s="338"/>
      <c r="B29" s="257" t="s">
        <v>893</v>
      </c>
      <c r="C29" s="332"/>
      <c r="D29" s="335"/>
      <c r="E29" s="162"/>
      <c r="F29" s="162"/>
      <c r="G29" s="162"/>
      <c r="H29" s="335"/>
      <c r="I29" s="335"/>
      <c r="J29" s="162"/>
      <c r="K29" s="162"/>
      <c r="L29" s="162"/>
      <c r="M29" s="335"/>
      <c r="N29" s="335"/>
      <c r="O29" s="162"/>
      <c r="P29" s="162"/>
      <c r="Q29" s="162"/>
      <c r="R29" s="335"/>
      <c r="S29" s="335"/>
      <c r="T29" s="162"/>
      <c r="U29" s="162"/>
      <c r="V29" s="162"/>
      <c r="W29" s="335"/>
      <c r="X29" s="335"/>
      <c r="Y29" s="162"/>
      <c r="Z29" s="162"/>
      <c r="AA29" s="162"/>
      <c r="AB29" s="332"/>
    </row>
    <row r="30" spans="1:28" s="32" customFormat="1" ht="33" customHeight="1" x14ac:dyDescent="0.2">
      <c r="A30" s="338"/>
      <c r="B30" s="257" t="s">
        <v>894</v>
      </c>
      <c r="C30" s="332"/>
      <c r="D30" s="335"/>
      <c r="E30" s="162"/>
      <c r="F30" s="162"/>
      <c r="G30" s="162"/>
      <c r="H30" s="335"/>
      <c r="I30" s="335"/>
      <c r="J30" s="162"/>
      <c r="K30" s="162"/>
      <c r="L30" s="162"/>
      <c r="M30" s="335"/>
      <c r="N30" s="335"/>
      <c r="O30" s="162"/>
      <c r="P30" s="162"/>
      <c r="Q30" s="162"/>
      <c r="R30" s="335"/>
      <c r="S30" s="335"/>
      <c r="T30" s="162"/>
      <c r="U30" s="162"/>
      <c r="V30" s="162"/>
      <c r="W30" s="335"/>
      <c r="X30" s="335"/>
      <c r="Y30" s="162"/>
      <c r="Z30" s="162"/>
      <c r="AA30" s="162"/>
      <c r="AB30" s="332"/>
    </row>
    <row r="31" spans="1:28" s="32" customFormat="1" ht="15.4" customHeight="1" x14ac:dyDescent="0.2">
      <c r="A31" s="341"/>
      <c r="B31" s="257" t="s">
        <v>892</v>
      </c>
      <c r="C31" s="333"/>
      <c r="D31" s="336"/>
      <c r="E31" s="162"/>
      <c r="F31" s="162"/>
      <c r="G31" s="162"/>
      <c r="H31" s="336"/>
      <c r="I31" s="336"/>
      <c r="J31" s="162"/>
      <c r="K31" s="162"/>
      <c r="L31" s="162"/>
      <c r="M31" s="336"/>
      <c r="N31" s="336"/>
      <c r="O31" s="162"/>
      <c r="P31" s="162"/>
      <c r="Q31" s="162"/>
      <c r="R31" s="336"/>
      <c r="S31" s="336"/>
      <c r="T31" s="162"/>
      <c r="U31" s="162"/>
      <c r="V31" s="162"/>
      <c r="W31" s="336"/>
      <c r="X31" s="336"/>
      <c r="Y31" s="162"/>
      <c r="Z31" s="162"/>
      <c r="AA31" s="162"/>
      <c r="AB31" s="333"/>
    </row>
    <row r="32" spans="1:28" s="32" customFormat="1" ht="15" customHeight="1" x14ac:dyDescent="0.2">
      <c r="A32" s="337">
        <v>5</v>
      </c>
      <c r="B32" s="253" t="s">
        <v>862</v>
      </c>
      <c r="C32" s="331">
        <f>D32+E32+F32+G32</f>
        <v>8219</v>
      </c>
      <c r="D32" s="334">
        <v>8219</v>
      </c>
      <c r="E32" s="162">
        <v>0</v>
      </c>
      <c r="F32" s="162">
        <v>0</v>
      </c>
      <c r="G32" s="162">
        <v>0</v>
      </c>
      <c r="H32" s="331">
        <f>I32+J32+K32+L32</f>
        <v>8219</v>
      </c>
      <c r="I32" s="334">
        <v>8219</v>
      </c>
      <c r="J32" s="162">
        <v>0</v>
      </c>
      <c r="K32" s="162">
        <v>0</v>
      </c>
      <c r="L32" s="162">
        <v>0</v>
      </c>
      <c r="M32" s="334">
        <v>0</v>
      </c>
      <c r="N32" s="334">
        <v>0</v>
      </c>
      <c r="O32" s="162">
        <v>0</v>
      </c>
      <c r="P32" s="162">
        <v>0</v>
      </c>
      <c r="Q32" s="162">
        <v>0</v>
      </c>
      <c r="R32" s="334">
        <v>0</v>
      </c>
      <c r="S32" s="334">
        <v>0</v>
      </c>
      <c r="T32" s="162">
        <v>0</v>
      </c>
      <c r="U32" s="162">
        <v>0</v>
      </c>
      <c r="V32" s="162">
        <v>0</v>
      </c>
      <c r="W32" s="334">
        <v>0</v>
      </c>
      <c r="X32" s="334">
        <v>0</v>
      </c>
      <c r="Y32" s="162">
        <v>0</v>
      </c>
      <c r="Z32" s="162">
        <v>0</v>
      </c>
      <c r="AA32" s="162">
        <v>0</v>
      </c>
      <c r="AB32" s="331">
        <f t="shared" si="0"/>
        <v>16438</v>
      </c>
    </row>
    <row r="33" spans="1:28" s="32" customFormat="1" ht="15" customHeight="1" x14ac:dyDescent="0.2">
      <c r="A33" s="338"/>
      <c r="B33" s="257" t="s">
        <v>844</v>
      </c>
      <c r="C33" s="332"/>
      <c r="D33" s="335"/>
      <c r="E33" s="162"/>
      <c r="F33" s="162"/>
      <c r="G33" s="162"/>
      <c r="H33" s="332"/>
      <c r="I33" s="335"/>
      <c r="J33" s="162"/>
      <c r="K33" s="162"/>
      <c r="L33" s="162"/>
      <c r="M33" s="335"/>
      <c r="N33" s="335"/>
      <c r="O33" s="162"/>
      <c r="P33" s="162"/>
      <c r="Q33" s="162"/>
      <c r="R33" s="335"/>
      <c r="S33" s="335"/>
      <c r="T33" s="162"/>
      <c r="U33" s="162"/>
      <c r="V33" s="162"/>
      <c r="W33" s="335"/>
      <c r="X33" s="335"/>
      <c r="Y33" s="162"/>
      <c r="Z33" s="162"/>
      <c r="AA33" s="162"/>
      <c r="AB33" s="332"/>
    </row>
    <row r="34" spans="1:28" s="32" customFormat="1" ht="15" customHeight="1" x14ac:dyDescent="0.2">
      <c r="A34" s="338"/>
      <c r="B34" s="257" t="s">
        <v>863</v>
      </c>
      <c r="C34" s="332"/>
      <c r="D34" s="335"/>
      <c r="E34" s="162"/>
      <c r="F34" s="162"/>
      <c r="G34" s="162"/>
      <c r="H34" s="332"/>
      <c r="I34" s="335"/>
      <c r="J34" s="162"/>
      <c r="K34" s="162"/>
      <c r="L34" s="162"/>
      <c r="M34" s="335"/>
      <c r="N34" s="335"/>
      <c r="O34" s="162"/>
      <c r="P34" s="162"/>
      <c r="Q34" s="162"/>
      <c r="R34" s="335"/>
      <c r="S34" s="335"/>
      <c r="T34" s="162"/>
      <c r="U34" s="162"/>
      <c r="V34" s="162"/>
      <c r="W34" s="335"/>
      <c r="X34" s="335"/>
      <c r="Y34" s="162"/>
      <c r="Z34" s="162"/>
      <c r="AA34" s="162"/>
      <c r="AB34" s="332"/>
    </row>
    <row r="35" spans="1:28" s="32" customFormat="1" ht="15" customHeight="1" x14ac:dyDescent="0.2">
      <c r="A35" s="338"/>
      <c r="B35" s="257" t="s">
        <v>884</v>
      </c>
      <c r="C35" s="332"/>
      <c r="D35" s="335"/>
      <c r="E35" s="162"/>
      <c r="F35" s="162"/>
      <c r="G35" s="162"/>
      <c r="H35" s="332"/>
      <c r="I35" s="335"/>
      <c r="J35" s="162"/>
      <c r="K35" s="162"/>
      <c r="L35" s="162"/>
      <c r="M35" s="335"/>
      <c r="N35" s="335"/>
      <c r="O35" s="162"/>
      <c r="P35" s="162"/>
      <c r="Q35" s="162"/>
      <c r="R35" s="335"/>
      <c r="S35" s="335"/>
      <c r="T35" s="162"/>
      <c r="U35" s="162"/>
      <c r="V35" s="162"/>
      <c r="W35" s="335"/>
      <c r="X35" s="335"/>
      <c r="Y35" s="162"/>
      <c r="Z35" s="162"/>
      <c r="AA35" s="162"/>
      <c r="AB35" s="332"/>
    </row>
    <row r="36" spans="1:28" s="32" customFormat="1" ht="15" customHeight="1" x14ac:dyDescent="0.2">
      <c r="A36" s="338"/>
      <c r="B36" s="257" t="s">
        <v>881</v>
      </c>
      <c r="C36" s="332"/>
      <c r="D36" s="335"/>
      <c r="E36" s="162"/>
      <c r="F36" s="162"/>
      <c r="G36" s="162"/>
      <c r="H36" s="332"/>
      <c r="I36" s="335"/>
      <c r="J36" s="162"/>
      <c r="K36" s="162"/>
      <c r="L36" s="162"/>
      <c r="M36" s="335"/>
      <c r="N36" s="335"/>
      <c r="O36" s="162"/>
      <c r="P36" s="162"/>
      <c r="Q36" s="162"/>
      <c r="R36" s="335"/>
      <c r="S36" s="335"/>
      <c r="T36" s="162"/>
      <c r="U36" s="162"/>
      <c r="V36" s="162"/>
      <c r="W36" s="335"/>
      <c r="X36" s="335"/>
      <c r="Y36" s="162"/>
      <c r="Z36" s="162"/>
      <c r="AA36" s="162"/>
      <c r="AB36" s="332"/>
    </row>
    <row r="37" spans="1:28" s="32" customFormat="1" ht="15" customHeight="1" x14ac:dyDescent="0.2">
      <c r="A37" s="338"/>
      <c r="B37" s="257" t="s">
        <v>883</v>
      </c>
      <c r="C37" s="332"/>
      <c r="D37" s="335"/>
      <c r="E37" s="162"/>
      <c r="F37" s="162"/>
      <c r="G37" s="162"/>
      <c r="H37" s="332"/>
      <c r="I37" s="335"/>
      <c r="J37" s="162"/>
      <c r="K37" s="162"/>
      <c r="L37" s="162"/>
      <c r="M37" s="335"/>
      <c r="N37" s="335"/>
      <c r="O37" s="162"/>
      <c r="P37" s="162"/>
      <c r="Q37" s="162"/>
      <c r="R37" s="335"/>
      <c r="S37" s="335"/>
      <c r="T37" s="162"/>
      <c r="U37" s="162"/>
      <c r="V37" s="162"/>
      <c r="W37" s="335"/>
      <c r="X37" s="335"/>
      <c r="Y37" s="162"/>
      <c r="Z37" s="162"/>
      <c r="AA37" s="162"/>
      <c r="AB37" s="332"/>
    </row>
    <row r="38" spans="1:28" s="32" customFormat="1" ht="15.75" x14ac:dyDescent="0.2">
      <c r="A38" s="338"/>
      <c r="B38" s="257" t="s">
        <v>882</v>
      </c>
      <c r="C38" s="332"/>
      <c r="D38" s="335"/>
      <c r="E38" s="162"/>
      <c r="F38" s="162"/>
      <c r="G38" s="162"/>
      <c r="H38" s="332"/>
      <c r="I38" s="335"/>
      <c r="J38" s="162"/>
      <c r="K38" s="162"/>
      <c r="L38" s="162"/>
      <c r="M38" s="335"/>
      <c r="N38" s="335"/>
      <c r="O38" s="162"/>
      <c r="P38" s="162"/>
      <c r="Q38" s="162"/>
      <c r="R38" s="335"/>
      <c r="S38" s="335"/>
      <c r="T38" s="162"/>
      <c r="U38" s="162"/>
      <c r="V38" s="162"/>
      <c r="W38" s="335"/>
      <c r="X38" s="335"/>
      <c r="Y38" s="162"/>
      <c r="Z38" s="162"/>
      <c r="AA38" s="162"/>
      <c r="AB38" s="332"/>
    </row>
    <row r="39" spans="1:28" s="32" customFormat="1" ht="15" customHeight="1" x14ac:dyDescent="0.2">
      <c r="A39" s="338"/>
      <c r="B39" s="257" t="s">
        <v>885</v>
      </c>
      <c r="C39" s="332"/>
      <c r="D39" s="335"/>
      <c r="E39" s="162"/>
      <c r="F39" s="162"/>
      <c r="G39" s="162"/>
      <c r="H39" s="332"/>
      <c r="I39" s="335"/>
      <c r="J39" s="162"/>
      <c r="K39" s="162"/>
      <c r="L39" s="162"/>
      <c r="M39" s="335"/>
      <c r="N39" s="335"/>
      <c r="O39" s="162"/>
      <c r="P39" s="162"/>
      <c r="Q39" s="162"/>
      <c r="R39" s="335"/>
      <c r="S39" s="335"/>
      <c r="T39" s="162"/>
      <c r="U39" s="162"/>
      <c r="V39" s="162"/>
      <c r="W39" s="335"/>
      <c r="X39" s="335"/>
      <c r="Y39" s="162"/>
      <c r="Z39" s="162"/>
      <c r="AA39" s="162"/>
      <c r="AB39" s="332"/>
    </row>
    <row r="40" spans="1:28" s="32" customFormat="1" ht="15" customHeight="1" x14ac:dyDescent="0.2">
      <c r="A40" s="338"/>
      <c r="B40" s="257" t="s">
        <v>864</v>
      </c>
      <c r="C40" s="332"/>
      <c r="D40" s="335"/>
      <c r="E40" s="162"/>
      <c r="F40" s="162"/>
      <c r="G40" s="162"/>
      <c r="H40" s="332"/>
      <c r="I40" s="335"/>
      <c r="J40" s="162"/>
      <c r="K40" s="162"/>
      <c r="L40" s="162"/>
      <c r="M40" s="335"/>
      <c r="N40" s="335"/>
      <c r="O40" s="162"/>
      <c r="P40" s="162"/>
      <c r="Q40" s="162"/>
      <c r="R40" s="335"/>
      <c r="S40" s="335"/>
      <c r="T40" s="162"/>
      <c r="U40" s="162"/>
      <c r="V40" s="162"/>
      <c r="W40" s="335"/>
      <c r="X40" s="335"/>
      <c r="Y40" s="162"/>
      <c r="Z40" s="162"/>
      <c r="AA40" s="162"/>
      <c r="AB40" s="332"/>
    </row>
    <row r="41" spans="1:28" s="32" customFormat="1" ht="15" customHeight="1" x14ac:dyDescent="0.2">
      <c r="A41" s="341"/>
      <c r="B41" s="254" t="s">
        <v>886</v>
      </c>
      <c r="C41" s="333"/>
      <c r="D41" s="336"/>
      <c r="E41" s="162"/>
      <c r="F41" s="162"/>
      <c r="G41" s="162"/>
      <c r="H41" s="333"/>
      <c r="I41" s="336"/>
      <c r="J41" s="162"/>
      <c r="K41" s="162"/>
      <c r="L41" s="162"/>
      <c r="M41" s="336"/>
      <c r="N41" s="336"/>
      <c r="O41" s="162"/>
      <c r="P41" s="162"/>
      <c r="Q41" s="162"/>
      <c r="R41" s="336"/>
      <c r="S41" s="336"/>
      <c r="T41" s="162"/>
      <c r="U41" s="162"/>
      <c r="V41" s="162"/>
      <c r="W41" s="336"/>
      <c r="X41" s="336"/>
      <c r="Y41" s="162"/>
      <c r="Z41" s="162"/>
      <c r="AA41" s="162"/>
      <c r="AB41" s="333"/>
    </row>
    <row r="42" spans="1:28" s="32" customFormat="1" ht="19.149999999999999" customHeight="1" x14ac:dyDescent="0.2">
      <c r="A42" s="337">
        <v>6</v>
      </c>
      <c r="B42" s="260" t="s">
        <v>865</v>
      </c>
      <c r="C42" s="339">
        <f t="shared" ref="C42" si="4">SUM(D42:G42)</f>
        <v>49639</v>
      </c>
      <c r="D42" s="334">
        <v>49639</v>
      </c>
      <c r="E42" s="162">
        <v>0</v>
      </c>
      <c r="F42" s="162">
        <v>0</v>
      </c>
      <c r="G42" s="162">
        <v>0</v>
      </c>
      <c r="H42" s="331">
        <f t="shared" ref="H42" si="5">SUM(I42:L42)</f>
        <v>12572</v>
      </c>
      <c r="I42" s="334">
        <v>12572</v>
      </c>
      <c r="J42" s="162">
        <v>0</v>
      </c>
      <c r="K42" s="162">
        <v>0</v>
      </c>
      <c r="L42" s="162">
        <v>0</v>
      </c>
      <c r="M42" s="331">
        <v>29000</v>
      </c>
      <c r="N42" s="334">
        <v>29000</v>
      </c>
      <c r="O42" s="162">
        <v>0</v>
      </c>
      <c r="P42" s="162">
        <v>0</v>
      </c>
      <c r="Q42" s="162">
        <v>0</v>
      </c>
      <c r="R42" s="331">
        <v>29000</v>
      </c>
      <c r="S42" s="334">
        <v>29000</v>
      </c>
      <c r="T42" s="162">
        <v>0</v>
      </c>
      <c r="U42" s="162">
        <v>0</v>
      </c>
      <c r="V42" s="162">
        <v>0</v>
      </c>
      <c r="W42" s="331">
        <v>29000</v>
      </c>
      <c r="X42" s="334">
        <v>29000</v>
      </c>
      <c r="Y42" s="162">
        <v>0</v>
      </c>
      <c r="Z42" s="162">
        <v>0</v>
      </c>
      <c r="AA42" s="162">
        <v>0</v>
      </c>
      <c r="AB42" s="331">
        <f t="shared" ref="AB42:AB128" si="6">C42+H42+M42+R42+W42</f>
        <v>149211</v>
      </c>
    </row>
    <row r="43" spans="1:28" s="32" customFormat="1" ht="15" customHeight="1" x14ac:dyDescent="0.2">
      <c r="A43" s="338"/>
      <c r="B43" s="259" t="s">
        <v>844</v>
      </c>
      <c r="C43" s="340"/>
      <c r="D43" s="335"/>
      <c r="E43" s="162"/>
      <c r="F43" s="162"/>
      <c r="G43" s="162"/>
      <c r="H43" s="332"/>
      <c r="I43" s="335"/>
      <c r="J43" s="162"/>
      <c r="K43" s="162"/>
      <c r="L43" s="162"/>
      <c r="M43" s="332"/>
      <c r="N43" s="335"/>
      <c r="O43" s="162"/>
      <c r="P43" s="162"/>
      <c r="Q43" s="162"/>
      <c r="R43" s="332"/>
      <c r="S43" s="335"/>
      <c r="T43" s="162"/>
      <c r="U43" s="162"/>
      <c r="V43" s="162"/>
      <c r="W43" s="332"/>
      <c r="X43" s="335"/>
      <c r="Y43" s="162"/>
      <c r="Z43" s="162"/>
      <c r="AA43" s="162"/>
      <c r="AB43" s="332"/>
    </row>
    <row r="44" spans="1:28" s="32" customFormat="1" ht="13.9" customHeight="1" x14ac:dyDescent="0.2">
      <c r="A44" s="338"/>
      <c r="B44" s="329" t="s">
        <v>987</v>
      </c>
      <c r="C44" s="340"/>
      <c r="D44" s="335"/>
      <c r="E44" s="162"/>
      <c r="F44" s="162"/>
      <c r="G44" s="162"/>
      <c r="H44" s="332"/>
      <c r="I44" s="335"/>
      <c r="J44" s="162"/>
      <c r="K44" s="162"/>
      <c r="L44" s="162"/>
      <c r="M44" s="332"/>
      <c r="N44" s="335"/>
      <c r="O44" s="162"/>
      <c r="P44" s="162"/>
      <c r="Q44" s="162"/>
      <c r="R44" s="332"/>
      <c r="S44" s="335"/>
      <c r="T44" s="162"/>
      <c r="U44" s="162"/>
      <c r="V44" s="162"/>
      <c r="W44" s="332"/>
      <c r="X44" s="335"/>
      <c r="Y44" s="162"/>
      <c r="Z44" s="162"/>
      <c r="AA44" s="162"/>
      <c r="AB44" s="332"/>
    </row>
    <row r="45" spans="1:28" s="32" customFormat="1" ht="13.9" customHeight="1" x14ac:dyDescent="0.2">
      <c r="A45" s="338"/>
      <c r="B45" s="329" t="s">
        <v>989</v>
      </c>
      <c r="C45" s="340"/>
      <c r="D45" s="335"/>
      <c r="E45" s="162"/>
      <c r="F45" s="162"/>
      <c r="G45" s="162"/>
      <c r="H45" s="332"/>
      <c r="I45" s="335"/>
      <c r="J45" s="162"/>
      <c r="K45" s="162"/>
      <c r="L45" s="162"/>
      <c r="M45" s="332"/>
      <c r="N45" s="335"/>
      <c r="O45" s="162"/>
      <c r="P45" s="162"/>
      <c r="Q45" s="162"/>
      <c r="R45" s="332"/>
      <c r="S45" s="335"/>
      <c r="T45" s="162"/>
      <c r="U45" s="162"/>
      <c r="V45" s="162"/>
      <c r="W45" s="332"/>
      <c r="X45" s="335"/>
      <c r="Y45" s="162"/>
      <c r="Z45" s="162"/>
      <c r="AA45" s="162"/>
      <c r="AB45" s="332"/>
    </row>
    <row r="46" spans="1:28" s="32" customFormat="1" ht="13.9" customHeight="1" x14ac:dyDescent="0.2">
      <c r="A46" s="338"/>
      <c r="B46" s="329" t="s">
        <v>990</v>
      </c>
      <c r="C46" s="340"/>
      <c r="D46" s="335"/>
      <c r="E46" s="162"/>
      <c r="F46" s="162"/>
      <c r="G46" s="162"/>
      <c r="H46" s="332"/>
      <c r="I46" s="335"/>
      <c r="J46" s="162"/>
      <c r="K46" s="162"/>
      <c r="L46" s="162"/>
      <c r="M46" s="332"/>
      <c r="N46" s="335"/>
      <c r="O46" s="162"/>
      <c r="P46" s="162"/>
      <c r="Q46" s="162"/>
      <c r="R46" s="332"/>
      <c r="S46" s="335"/>
      <c r="T46" s="162"/>
      <c r="U46" s="162"/>
      <c r="V46" s="162"/>
      <c r="W46" s="332"/>
      <c r="X46" s="335"/>
      <c r="Y46" s="162"/>
      <c r="Z46" s="162"/>
      <c r="AA46" s="162"/>
      <c r="AB46" s="332"/>
    </row>
    <row r="47" spans="1:28" s="32" customFormat="1" ht="13.9" customHeight="1" x14ac:dyDescent="0.2">
      <c r="A47" s="338"/>
      <c r="B47" s="329" t="s">
        <v>991</v>
      </c>
      <c r="C47" s="340"/>
      <c r="D47" s="335"/>
      <c r="E47" s="162"/>
      <c r="F47" s="162"/>
      <c r="G47" s="162"/>
      <c r="H47" s="332"/>
      <c r="I47" s="335"/>
      <c r="J47" s="162"/>
      <c r="K47" s="162"/>
      <c r="L47" s="162"/>
      <c r="M47" s="332"/>
      <c r="N47" s="335"/>
      <c r="O47" s="162"/>
      <c r="P47" s="162"/>
      <c r="Q47" s="162"/>
      <c r="R47" s="332"/>
      <c r="S47" s="335"/>
      <c r="T47" s="162"/>
      <c r="U47" s="162"/>
      <c r="V47" s="162"/>
      <c r="W47" s="332"/>
      <c r="X47" s="335"/>
      <c r="Y47" s="162"/>
      <c r="Z47" s="162"/>
      <c r="AA47" s="162"/>
      <c r="AB47" s="332"/>
    </row>
    <row r="48" spans="1:28" s="32" customFormat="1" ht="13.9" customHeight="1" x14ac:dyDescent="0.2">
      <c r="A48" s="338"/>
      <c r="B48" s="329" t="s">
        <v>992</v>
      </c>
      <c r="C48" s="340"/>
      <c r="D48" s="335"/>
      <c r="E48" s="162"/>
      <c r="F48" s="162"/>
      <c r="G48" s="162"/>
      <c r="H48" s="332"/>
      <c r="I48" s="335"/>
      <c r="J48" s="162"/>
      <c r="K48" s="162"/>
      <c r="L48" s="162"/>
      <c r="M48" s="332"/>
      <c r="N48" s="335"/>
      <c r="O48" s="162"/>
      <c r="P48" s="162"/>
      <c r="Q48" s="162"/>
      <c r="R48" s="332"/>
      <c r="S48" s="335"/>
      <c r="T48" s="162"/>
      <c r="U48" s="162"/>
      <c r="V48" s="162"/>
      <c r="W48" s="332"/>
      <c r="X48" s="335"/>
      <c r="Y48" s="162"/>
      <c r="Z48" s="162"/>
      <c r="AA48" s="162"/>
      <c r="AB48" s="332"/>
    </row>
    <row r="49" spans="1:28" s="32" customFormat="1" ht="13.9" customHeight="1" x14ac:dyDescent="0.2">
      <c r="A49" s="338"/>
      <c r="B49" s="329" t="s">
        <v>993</v>
      </c>
      <c r="C49" s="340"/>
      <c r="D49" s="335"/>
      <c r="E49" s="162"/>
      <c r="F49" s="162"/>
      <c r="G49" s="162"/>
      <c r="H49" s="332"/>
      <c r="I49" s="335"/>
      <c r="J49" s="162"/>
      <c r="K49" s="162"/>
      <c r="L49" s="162"/>
      <c r="M49" s="332"/>
      <c r="N49" s="335"/>
      <c r="O49" s="162"/>
      <c r="P49" s="162"/>
      <c r="Q49" s="162"/>
      <c r="R49" s="332"/>
      <c r="S49" s="335"/>
      <c r="T49" s="162"/>
      <c r="U49" s="162"/>
      <c r="V49" s="162"/>
      <c r="W49" s="332"/>
      <c r="X49" s="335"/>
      <c r="Y49" s="162"/>
      <c r="Z49" s="162"/>
      <c r="AA49" s="162"/>
      <c r="AB49" s="332"/>
    </row>
    <row r="50" spans="1:28" s="32" customFormat="1" ht="13.9" customHeight="1" x14ac:dyDescent="0.2">
      <c r="A50" s="338"/>
      <c r="B50" s="329" t="s">
        <v>994</v>
      </c>
      <c r="C50" s="340"/>
      <c r="D50" s="335"/>
      <c r="E50" s="162"/>
      <c r="F50" s="162"/>
      <c r="G50" s="162"/>
      <c r="H50" s="332"/>
      <c r="I50" s="335"/>
      <c r="J50" s="162"/>
      <c r="K50" s="162"/>
      <c r="L50" s="162"/>
      <c r="M50" s="332"/>
      <c r="N50" s="335"/>
      <c r="O50" s="162"/>
      <c r="P50" s="162"/>
      <c r="Q50" s="162"/>
      <c r="R50" s="332"/>
      <c r="S50" s="335"/>
      <c r="T50" s="162"/>
      <c r="U50" s="162"/>
      <c r="V50" s="162"/>
      <c r="W50" s="332"/>
      <c r="X50" s="335"/>
      <c r="Y50" s="162"/>
      <c r="Z50" s="162"/>
      <c r="AA50" s="162"/>
      <c r="AB50" s="332"/>
    </row>
    <row r="51" spans="1:28" s="32" customFormat="1" ht="13.9" customHeight="1" x14ac:dyDescent="0.2">
      <c r="A51" s="338"/>
      <c r="B51" s="329" t="s">
        <v>995</v>
      </c>
      <c r="C51" s="340"/>
      <c r="D51" s="335"/>
      <c r="E51" s="162"/>
      <c r="F51" s="162"/>
      <c r="G51" s="162"/>
      <c r="H51" s="332"/>
      <c r="I51" s="335"/>
      <c r="J51" s="162"/>
      <c r="K51" s="162"/>
      <c r="L51" s="162"/>
      <c r="M51" s="332"/>
      <c r="N51" s="335"/>
      <c r="O51" s="162"/>
      <c r="P51" s="162"/>
      <c r="Q51" s="162"/>
      <c r="R51" s="332"/>
      <c r="S51" s="335"/>
      <c r="T51" s="162"/>
      <c r="U51" s="162"/>
      <c r="V51" s="162"/>
      <c r="W51" s="332"/>
      <c r="X51" s="335"/>
      <c r="Y51" s="162"/>
      <c r="Z51" s="162"/>
      <c r="AA51" s="162"/>
      <c r="AB51" s="332"/>
    </row>
    <row r="52" spans="1:28" s="32" customFormat="1" ht="13.9" customHeight="1" x14ac:dyDescent="0.2">
      <c r="A52" s="338"/>
      <c r="B52" s="329" t="s">
        <v>996</v>
      </c>
      <c r="C52" s="340"/>
      <c r="D52" s="335"/>
      <c r="E52" s="162"/>
      <c r="F52" s="162"/>
      <c r="G52" s="162"/>
      <c r="H52" s="332"/>
      <c r="I52" s="335"/>
      <c r="J52" s="162"/>
      <c r="K52" s="162"/>
      <c r="L52" s="162"/>
      <c r="M52" s="332"/>
      <c r="N52" s="335"/>
      <c r="O52" s="162"/>
      <c r="P52" s="162"/>
      <c r="Q52" s="162"/>
      <c r="R52" s="332"/>
      <c r="S52" s="335"/>
      <c r="T52" s="162"/>
      <c r="U52" s="162"/>
      <c r="V52" s="162"/>
      <c r="W52" s="332"/>
      <c r="X52" s="335"/>
      <c r="Y52" s="162"/>
      <c r="Z52" s="162"/>
      <c r="AA52" s="162"/>
      <c r="AB52" s="332"/>
    </row>
    <row r="53" spans="1:28" s="32" customFormat="1" ht="13.9" customHeight="1" x14ac:dyDescent="0.2">
      <c r="A53" s="338"/>
      <c r="B53" s="329" t="s">
        <v>997</v>
      </c>
      <c r="C53" s="340"/>
      <c r="D53" s="335"/>
      <c r="E53" s="162"/>
      <c r="F53" s="162"/>
      <c r="G53" s="162"/>
      <c r="H53" s="332"/>
      <c r="I53" s="335"/>
      <c r="J53" s="162"/>
      <c r="K53" s="162"/>
      <c r="L53" s="162"/>
      <c r="M53" s="332"/>
      <c r="N53" s="335"/>
      <c r="O53" s="162"/>
      <c r="P53" s="162"/>
      <c r="Q53" s="162"/>
      <c r="R53" s="332"/>
      <c r="S53" s="335"/>
      <c r="T53" s="162"/>
      <c r="U53" s="162"/>
      <c r="V53" s="162"/>
      <c r="W53" s="332"/>
      <c r="X53" s="335"/>
      <c r="Y53" s="162"/>
      <c r="Z53" s="162"/>
      <c r="AA53" s="162"/>
      <c r="AB53" s="332"/>
    </row>
    <row r="54" spans="1:28" s="32" customFormat="1" ht="13.9" customHeight="1" x14ac:dyDescent="0.2">
      <c r="A54" s="338"/>
      <c r="B54" s="329" t="s">
        <v>998</v>
      </c>
      <c r="C54" s="340"/>
      <c r="D54" s="335"/>
      <c r="E54" s="162"/>
      <c r="F54" s="162"/>
      <c r="G54" s="162"/>
      <c r="H54" s="332"/>
      <c r="I54" s="335"/>
      <c r="J54" s="162"/>
      <c r="K54" s="162"/>
      <c r="L54" s="162"/>
      <c r="M54" s="332"/>
      <c r="N54" s="335"/>
      <c r="O54" s="162"/>
      <c r="P54" s="162"/>
      <c r="Q54" s="162"/>
      <c r="R54" s="332"/>
      <c r="S54" s="335"/>
      <c r="T54" s="162"/>
      <c r="U54" s="162"/>
      <c r="V54" s="162"/>
      <c r="W54" s="332"/>
      <c r="X54" s="335"/>
      <c r="Y54" s="162"/>
      <c r="Z54" s="162"/>
      <c r="AA54" s="162"/>
      <c r="AB54" s="332"/>
    </row>
    <row r="55" spans="1:28" s="32" customFormat="1" ht="13.9" customHeight="1" x14ac:dyDescent="0.2">
      <c r="A55" s="338"/>
      <c r="B55" s="329" t="s">
        <v>999</v>
      </c>
      <c r="C55" s="340"/>
      <c r="D55" s="335"/>
      <c r="E55" s="162"/>
      <c r="F55" s="162"/>
      <c r="G55" s="162"/>
      <c r="H55" s="332"/>
      <c r="I55" s="335"/>
      <c r="J55" s="162"/>
      <c r="K55" s="162"/>
      <c r="L55" s="162"/>
      <c r="M55" s="332"/>
      <c r="N55" s="335"/>
      <c r="O55" s="162"/>
      <c r="P55" s="162"/>
      <c r="Q55" s="162"/>
      <c r="R55" s="332"/>
      <c r="S55" s="335"/>
      <c r="T55" s="162"/>
      <c r="U55" s="162"/>
      <c r="V55" s="162"/>
      <c r="W55" s="332"/>
      <c r="X55" s="335"/>
      <c r="Y55" s="162"/>
      <c r="Z55" s="162"/>
      <c r="AA55" s="162"/>
      <c r="AB55" s="332"/>
    </row>
    <row r="56" spans="1:28" s="32" customFormat="1" ht="13.9" customHeight="1" x14ac:dyDescent="0.2">
      <c r="A56" s="338"/>
      <c r="B56" s="329" t="s">
        <v>1000</v>
      </c>
      <c r="C56" s="340"/>
      <c r="D56" s="335"/>
      <c r="E56" s="162"/>
      <c r="F56" s="162"/>
      <c r="G56" s="162"/>
      <c r="H56" s="332"/>
      <c r="I56" s="335"/>
      <c r="J56" s="162"/>
      <c r="K56" s="162"/>
      <c r="L56" s="162"/>
      <c r="M56" s="332"/>
      <c r="N56" s="335"/>
      <c r="O56" s="162"/>
      <c r="P56" s="162"/>
      <c r="Q56" s="162"/>
      <c r="R56" s="332"/>
      <c r="S56" s="335"/>
      <c r="T56" s="162"/>
      <c r="U56" s="162"/>
      <c r="V56" s="162"/>
      <c r="W56" s="332"/>
      <c r="X56" s="335"/>
      <c r="Y56" s="162"/>
      <c r="Z56" s="162"/>
      <c r="AA56" s="162"/>
      <c r="AB56" s="332"/>
    </row>
    <row r="57" spans="1:28" s="32" customFormat="1" ht="13.9" customHeight="1" x14ac:dyDescent="0.2">
      <c r="A57" s="338"/>
      <c r="B57" s="329" t="s">
        <v>1001</v>
      </c>
      <c r="C57" s="340"/>
      <c r="D57" s="335"/>
      <c r="E57" s="162"/>
      <c r="F57" s="162"/>
      <c r="G57" s="162"/>
      <c r="H57" s="332"/>
      <c r="I57" s="335"/>
      <c r="J57" s="162"/>
      <c r="K57" s="162"/>
      <c r="L57" s="162"/>
      <c r="M57" s="332"/>
      <c r="N57" s="335"/>
      <c r="O57" s="162"/>
      <c r="P57" s="162"/>
      <c r="Q57" s="162"/>
      <c r="R57" s="332"/>
      <c r="S57" s="335"/>
      <c r="T57" s="162"/>
      <c r="U57" s="162"/>
      <c r="V57" s="162"/>
      <c r="W57" s="332"/>
      <c r="X57" s="335"/>
      <c r="Y57" s="162"/>
      <c r="Z57" s="162"/>
      <c r="AA57" s="162"/>
      <c r="AB57" s="332"/>
    </row>
    <row r="58" spans="1:28" s="32" customFormat="1" ht="13.9" customHeight="1" x14ac:dyDescent="0.2">
      <c r="A58" s="338"/>
      <c r="B58" s="329" t="s">
        <v>1002</v>
      </c>
      <c r="C58" s="340"/>
      <c r="D58" s="335"/>
      <c r="E58" s="162"/>
      <c r="F58" s="162"/>
      <c r="G58" s="162"/>
      <c r="H58" s="332"/>
      <c r="I58" s="335"/>
      <c r="J58" s="162"/>
      <c r="K58" s="162"/>
      <c r="L58" s="162"/>
      <c r="M58" s="332"/>
      <c r="N58" s="335"/>
      <c r="O58" s="162"/>
      <c r="P58" s="162"/>
      <c r="Q58" s="162"/>
      <c r="R58" s="332"/>
      <c r="S58" s="335"/>
      <c r="T58" s="162"/>
      <c r="U58" s="162"/>
      <c r="V58" s="162"/>
      <c r="W58" s="332"/>
      <c r="X58" s="335"/>
      <c r="Y58" s="162"/>
      <c r="Z58" s="162"/>
      <c r="AA58" s="162"/>
      <c r="AB58" s="332"/>
    </row>
    <row r="59" spans="1:28" s="32" customFormat="1" ht="13.9" customHeight="1" x14ac:dyDescent="0.2">
      <c r="A59" s="338"/>
      <c r="B59" s="329" t="s">
        <v>1003</v>
      </c>
      <c r="C59" s="340"/>
      <c r="D59" s="335"/>
      <c r="E59" s="162"/>
      <c r="F59" s="162"/>
      <c r="G59" s="162"/>
      <c r="H59" s="332"/>
      <c r="I59" s="335"/>
      <c r="J59" s="162"/>
      <c r="K59" s="162"/>
      <c r="L59" s="162"/>
      <c r="M59" s="332"/>
      <c r="N59" s="335"/>
      <c r="O59" s="162"/>
      <c r="P59" s="162"/>
      <c r="Q59" s="162"/>
      <c r="R59" s="332"/>
      <c r="S59" s="335"/>
      <c r="T59" s="162"/>
      <c r="U59" s="162"/>
      <c r="V59" s="162"/>
      <c r="W59" s="332"/>
      <c r="X59" s="335"/>
      <c r="Y59" s="162"/>
      <c r="Z59" s="162"/>
      <c r="AA59" s="162"/>
      <c r="AB59" s="332"/>
    </row>
    <row r="60" spans="1:28" s="32" customFormat="1" ht="13.9" customHeight="1" x14ac:dyDescent="0.2">
      <c r="A60" s="338"/>
      <c r="B60" s="329" t="s">
        <v>1004</v>
      </c>
      <c r="C60" s="340"/>
      <c r="D60" s="335"/>
      <c r="E60" s="162"/>
      <c r="F60" s="162"/>
      <c r="G60" s="162"/>
      <c r="H60" s="332"/>
      <c r="I60" s="335"/>
      <c r="J60" s="162"/>
      <c r="K60" s="162"/>
      <c r="L60" s="162"/>
      <c r="M60" s="332"/>
      <c r="N60" s="335"/>
      <c r="O60" s="162"/>
      <c r="P60" s="162"/>
      <c r="Q60" s="162"/>
      <c r="R60" s="332"/>
      <c r="S60" s="335"/>
      <c r="T60" s="162"/>
      <c r="U60" s="162"/>
      <c r="V60" s="162"/>
      <c r="W60" s="332"/>
      <c r="X60" s="335"/>
      <c r="Y60" s="162"/>
      <c r="Z60" s="162"/>
      <c r="AA60" s="162"/>
      <c r="AB60" s="332"/>
    </row>
    <row r="61" spans="1:28" s="32" customFormat="1" ht="13.9" customHeight="1" x14ac:dyDescent="0.2">
      <c r="A61" s="338"/>
      <c r="B61" s="329" t="s">
        <v>1005</v>
      </c>
      <c r="C61" s="340"/>
      <c r="D61" s="335"/>
      <c r="E61" s="162"/>
      <c r="F61" s="162"/>
      <c r="G61" s="162"/>
      <c r="H61" s="332"/>
      <c r="I61" s="335"/>
      <c r="J61" s="162"/>
      <c r="K61" s="162"/>
      <c r="L61" s="162"/>
      <c r="M61" s="332"/>
      <c r="N61" s="335"/>
      <c r="O61" s="162"/>
      <c r="P61" s="162"/>
      <c r="Q61" s="162"/>
      <c r="R61" s="332"/>
      <c r="S61" s="335"/>
      <c r="T61" s="162"/>
      <c r="U61" s="162"/>
      <c r="V61" s="162"/>
      <c r="W61" s="332"/>
      <c r="X61" s="335"/>
      <c r="Y61" s="162"/>
      <c r="Z61" s="162"/>
      <c r="AA61" s="162"/>
      <c r="AB61" s="332"/>
    </row>
    <row r="62" spans="1:28" s="32" customFormat="1" ht="13.9" customHeight="1" x14ac:dyDescent="0.2">
      <c r="A62" s="338"/>
      <c r="B62" s="329" t="s">
        <v>1006</v>
      </c>
      <c r="C62" s="340"/>
      <c r="D62" s="335"/>
      <c r="E62" s="162"/>
      <c r="F62" s="162"/>
      <c r="G62" s="162"/>
      <c r="H62" s="332"/>
      <c r="I62" s="335"/>
      <c r="J62" s="162"/>
      <c r="K62" s="162"/>
      <c r="L62" s="162"/>
      <c r="M62" s="332"/>
      <c r="N62" s="335"/>
      <c r="O62" s="162"/>
      <c r="P62" s="162"/>
      <c r="Q62" s="162"/>
      <c r="R62" s="332"/>
      <c r="S62" s="335"/>
      <c r="T62" s="162"/>
      <c r="U62" s="162"/>
      <c r="V62" s="162"/>
      <c r="W62" s="332"/>
      <c r="X62" s="335"/>
      <c r="Y62" s="162"/>
      <c r="Z62" s="162"/>
      <c r="AA62" s="162"/>
      <c r="AB62" s="332"/>
    </row>
    <row r="63" spans="1:28" s="32" customFormat="1" ht="13.9" customHeight="1" x14ac:dyDescent="0.2">
      <c r="A63" s="338"/>
      <c r="B63" s="329" t="s">
        <v>1007</v>
      </c>
      <c r="C63" s="340"/>
      <c r="D63" s="335"/>
      <c r="E63" s="162"/>
      <c r="F63" s="162"/>
      <c r="G63" s="162"/>
      <c r="H63" s="332"/>
      <c r="I63" s="335"/>
      <c r="J63" s="162"/>
      <c r="K63" s="162"/>
      <c r="L63" s="162"/>
      <c r="M63" s="332"/>
      <c r="N63" s="335"/>
      <c r="O63" s="162"/>
      <c r="P63" s="162"/>
      <c r="Q63" s="162"/>
      <c r="R63" s="332"/>
      <c r="S63" s="335"/>
      <c r="T63" s="162"/>
      <c r="U63" s="162"/>
      <c r="V63" s="162"/>
      <c r="W63" s="332"/>
      <c r="X63" s="335"/>
      <c r="Y63" s="162"/>
      <c r="Z63" s="162"/>
      <c r="AA63" s="162"/>
      <c r="AB63" s="332"/>
    </row>
    <row r="64" spans="1:28" s="32" customFormat="1" ht="13.9" customHeight="1" x14ac:dyDescent="0.2">
      <c r="A64" s="338"/>
      <c r="B64" s="329" t="s">
        <v>1008</v>
      </c>
      <c r="C64" s="340"/>
      <c r="D64" s="335"/>
      <c r="E64" s="162"/>
      <c r="F64" s="162"/>
      <c r="G64" s="162"/>
      <c r="H64" s="332"/>
      <c r="I64" s="335"/>
      <c r="J64" s="162"/>
      <c r="K64" s="162"/>
      <c r="L64" s="162"/>
      <c r="M64" s="332"/>
      <c r="N64" s="335"/>
      <c r="O64" s="162"/>
      <c r="P64" s="162"/>
      <c r="Q64" s="162"/>
      <c r="R64" s="332"/>
      <c r="S64" s="335"/>
      <c r="T64" s="162"/>
      <c r="U64" s="162"/>
      <c r="V64" s="162"/>
      <c r="W64" s="332"/>
      <c r="X64" s="335"/>
      <c r="Y64" s="162"/>
      <c r="Z64" s="162"/>
      <c r="AA64" s="162"/>
      <c r="AB64" s="332"/>
    </row>
    <row r="65" spans="1:28" s="32" customFormat="1" ht="13.9" customHeight="1" x14ac:dyDescent="0.2">
      <c r="A65" s="338"/>
      <c r="B65" s="329" t="s">
        <v>1009</v>
      </c>
      <c r="C65" s="340"/>
      <c r="D65" s="335"/>
      <c r="E65" s="162"/>
      <c r="F65" s="162"/>
      <c r="G65" s="162"/>
      <c r="H65" s="332"/>
      <c r="I65" s="335"/>
      <c r="J65" s="162"/>
      <c r="K65" s="162"/>
      <c r="L65" s="162"/>
      <c r="M65" s="332"/>
      <c r="N65" s="335"/>
      <c r="O65" s="162"/>
      <c r="P65" s="162"/>
      <c r="Q65" s="162"/>
      <c r="R65" s="332"/>
      <c r="S65" s="335"/>
      <c r="T65" s="162"/>
      <c r="U65" s="162"/>
      <c r="V65" s="162"/>
      <c r="W65" s="332"/>
      <c r="X65" s="335"/>
      <c r="Y65" s="162"/>
      <c r="Z65" s="162"/>
      <c r="AA65" s="162"/>
      <c r="AB65" s="332"/>
    </row>
    <row r="66" spans="1:28" s="32" customFormat="1" ht="13.9" customHeight="1" x14ac:dyDescent="0.2">
      <c r="A66" s="338"/>
      <c r="B66" s="329" t="s">
        <v>1010</v>
      </c>
      <c r="C66" s="340"/>
      <c r="D66" s="335"/>
      <c r="E66" s="162"/>
      <c r="F66" s="162"/>
      <c r="G66" s="162"/>
      <c r="H66" s="332"/>
      <c r="I66" s="335"/>
      <c r="J66" s="162"/>
      <c r="K66" s="162"/>
      <c r="L66" s="162"/>
      <c r="M66" s="332"/>
      <c r="N66" s="335"/>
      <c r="O66" s="162"/>
      <c r="P66" s="162"/>
      <c r="Q66" s="162"/>
      <c r="R66" s="332"/>
      <c r="S66" s="335"/>
      <c r="T66" s="162"/>
      <c r="U66" s="162"/>
      <c r="V66" s="162"/>
      <c r="W66" s="332"/>
      <c r="X66" s="335"/>
      <c r="Y66" s="162"/>
      <c r="Z66" s="162"/>
      <c r="AA66" s="162"/>
      <c r="AB66" s="332"/>
    </row>
    <row r="67" spans="1:28" s="32" customFormat="1" ht="13.9" customHeight="1" x14ac:dyDescent="0.2">
      <c r="A67" s="338"/>
      <c r="B67" s="329" t="s">
        <v>1011</v>
      </c>
      <c r="C67" s="340"/>
      <c r="D67" s="335"/>
      <c r="E67" s="162"/>
      <c r="F67" s="162"/>
      <c r="G67" s="162"/>
      <c r="H67" s="332"/>
      <c r="I67" s="335"/>
      <c r="J67" s="162"/>
      <c r="K67" s="162"/>
      <c r="L67" s="162"/>
      <c r="M67" s="332"/>
      <c r="N67" s="335"/>
      <c r="O67" s="162"/>
      <c r="P67" s="162"/>
      <c r="Q67" s="162"/>
      <c r="R67" s="332"/>
      <c r="S67" s="335"/>
      <c r="T67" s="162"/>
      <c r="U67" s="162"/>
      <c r="V67" s="162"/>
      <c r="W67" s="332"/>
      <c r="X67" s="335"/>
      <c r="Y67" s="162"/>
      <c r="Z67" s="162"/>
      <c r="AA67" s="162"/>
      <c r="AB67" s="332"/>
    </row>
    <row r="68" spans="1:28" s="32" customFormat="1" ht="13.9" customHeight="1" x14ac:dyDescent="0.2">
      <c r="A68" s="338"/>
      <c r="B68" s="329" t="s">
        <v>1012</v>
      </c>
      <c r="C68" s="340"/>
      <c r="D68" s="335"/>
      <c r="E68" s="162"/>
      <c r="F68" s="162"/>
      <c r="G68" s="162"/>
      <c r="H68" s="332"/>
      <c r="I68" s="335"/>
      <c r="J68" s="162"/>
      <c r="K68" s="162"/>
      <c r="L68" s="162"/>
      <c r="M68" s="332"/>
      <c r="N68" s="335"/>
      <c r="O68" s="162"/>
      <c r="P68" s="162"/>
      <c r="Q68" s="162"/>
      <c r="R68" s="332"/>
      <c r="S68" s="335"/>
      <c r="T68" s="162"/>
      <c r="U68" s="162"/>
      <c r="V68" s="162"/>
      <c r="W68" s="332"/>
      <c r="X68" s="335"/>
      <c r="Y68" s="162"/>
      <c r="Z68" s="162"/>
      <c r="AA68" s="162"/>
      <c r="AB68" s="332"/>
    </row>
    <row r="69" spans="1:28" s="32" customFormat="1" ht="13.9" customHeight="1" x14ac:dyDescent="0.2">
      <c r="A69" s="338"/>
      <c r="B69" s="329" t="s">
        <v>1013</v>
      </c>
      <c r="C69" s="340"/>
      <c r="D69" s="335"/>
      <c r="E69" s="162"/>
      <c r="F69" s="162"/>
      <c r="G69" s="162"/>
      <c r="H69" s="332"/>
      <c r="I69" s="335"/>
      <c r="J69" s="162"/>
      <c r="K69" s="162"/>
      <c r="L69" s="162"/>
      <c r="M69" s="332"/>
      <c r="N69" s="335"/>
      <c r="O69" s="162"/>
      <c r="P69" s="162"/>
      <c r="Q69" s="162"/>
      <c r="R69" s="332"/>
      <c r="S69" s="335"/>
      <c r="T69" s="162"/>
      <c r="U69" s="162"/>
      <c r="V69" s="162"/>
      <c r="W69" s="332"/>
      <c r="X69" s="335"/>
      <c r="Y69" s="162"/>
      <c r="Z69" s="162"/>
      <c r="AA69" s="162"/>
      <c r="AB69" s="332"/>
    </row>
    <row r="70" spans="1:28" s="32" customFormat="1" ht="13.9" customHeight="1" x14ac:dyDescent="0.2">
      <c r="A70" s="338"/>
      <c r="B70" s="329" t="s">
        <v>1014</v>
      </c>
      <c r="C70" s="340"/>
      <c r="D70" s="335"/>
      <c r="E70" s="162"/>
      <c r="F70" s="162"/>
      <c r="G70" s="162"/>
      <c r="H70" s="332"/>
      <c r="I70" s="335"/>
      <c r="J70" s="162"/>
      <c r="K70" s="162"/>
      <c r="L70" s="162"/>
      <c r="M70" s="332"/>
      <c r="N70" s="335"/>
      <c r="O70" s="162"/>
      <c r="P70" s="162"/>
      <c r="Q70" s="162"/>
      <c r="R70" s="332"/>
      <c r="S70" s="335"/>
      <c r="T70" s="162"/>
      <c r="U70" s="162"/>
      <c r="V70" s="162"/>
      <c r="W70" s="332"/>
      <c r="X70" s="335"/>
      <c r="Y70" s="162"/>
      <c r="Z70" s="162"/>
      <c r="AA70" s="162"/>
      <c r="AB70" s="332"/>
    </row>
    <row r="71" spans="1:28" s="32" customFormat="1" ht="13.9" customHeight="1" x14ac:dyDescent="0.2">
      <c r="A71" s="338"/>
      <c r="B71" s="329" t="s">
        <v>1015</v>
      </c>
      <c r="C71" s="340"/>
      <c r="D71" s="335"/>
      <c r="E71" s="162"/>
      <c r="F71" s="162"/>
      <c r="G71" s="162"/>
      <c r="H71" s="332"/>
      <c r="I71" s="335"/>
      <c r="J71" s="162"/>
      <c r="K71" s="162"/>
      <c r="L71" s="162"/>
      <c r="M71" s="332"/>
      <c r="N71" s="335"/>
      <c r="O71" s="162"/>
      <c r="P71" s="162"/>
      <c r="Q71" s="162"/>
      <c r="R71" s="332"/>
      <c r="S71" s="335"/>
      <c r="T71" s="162"/>
      <c r="U71" s="162"/>
      <c r="V71" s="162"/>
      <c r="W71" s="332"/>
      <c r="X71" s="335"/>
      <c r="Y71" s="162"/>
      <c r="Z71" s="162"/>
      <c r="AA71" s="162"/>
      <c r="AB71" s="332"/>
    </row>
    <row r="72" spans="1:28" s="32" customFormat="1" ht="13.9" customHeight="1" x14ac:dyDescent="0.2">
      <c r="A72" s="338"/>
      <c r="B72" s="329" t="s">
        <v>1016</v>
      </c>
      <c r="C72" s="340"/>
      <c r="D72" s="335"/>
      <c r="E72" s="162"/>
      <c r="F72" s="162"/>
      <c r="G72" s="162"/>
      <c r="H72" s="332"/>
      <c r="I72" s="335"/>
      <c r="J72" s="162"/>
      <c r="K72" s="162"/>
      <c r="L72" s="162"/>
      <c r="M72" s="332"/>
      <c r="N72" s="335"/>
      <c r="O72" s="162"/>
      <c r="P72" s="162"/>
      <c r="Q72" s="162"/>
      <c r="R72" s="332"/>
      <c r="S72" s="335"/>
      <c r="T72" s="162"/>
      <c r="U72" s="162"/>
      <c r="V72" s="162"/>
      <c r="W72" s="332"/>
      <c r="X72" s="335"/>
      <c r="Y72" s="162"/>
      <c r="Z72" s="162"/>
      <c r="AA72" s="162"/>
      <c r="AB72" s="332"/>
    </row>
    <row r="73" spans="1:28" s="32" customFormat="1" ht="13.9" customHeight="1" x14ac:dyDescent="0.2">
      <c r="A73" s="338"/>
      <c r="B73" s="329" t="s">
        <v>1017</v>
      </c>
      <c r="C73" s="340"/>
      <c r="D73" s="335"/>
      <c r="E73" s="162"/>
      <c r="F73" s="162"/>
      <c r="G73" s="162"/>
      <c r="H73" s="332"/>
      <c r="I73" s="335"/>
      <c r="J73" s="162"/>
      <c r="K73" s="162"/>
      <c r="L73" s="162"/>
      <c r="M73" s="332"/>
      <c r="N73" s="335"/>
      <c r="O73" s="162"/>
      <c r="P73" s="162"/>
      <c r="Q73" s="162"/>
      <c r="R73" s="332"/>
      <c r="S73" s="335"/>
      <c r="T73" s="162"/>
      <c r="U73" s="162"/>
      <c r="V73" s="162"/>
      <c r="W73" s="332"/>
      <c r="X73" s="335"/>
      <c r="Y73" s="162"/>
      <c r="Z73" s="162"/>
      <c r="AA73" s="162"/>
      <c r="AB73" s="332"/>
    </row>
    <row r="74" spans="1:28" s="32" customFormat="1" ht="13.9" customHeight="1" x14ac:dyDescent="0.2">
      <c r="A74" s="338"/>
      <c r="B74" s="329" t="s">
        <v>1018</v>
      </c>
      <c r="C74" s="340"/>
      <c r="D74" s="335"/>
      <c r="E74" s="162"/>
      <c r="F74" s="162"/>
      <c r="G74" s="162"/>
      <c r="H74" s="332"/>
      <c r="I74" s="335"/>
      <c r="J74" s="162"/>
      <c r="K74" s="162"/>
      <c r="L74" s="162"/>
      <c r="M74" s="332"/>
      <c r="N74" s="335"/>
      <c r="O74" s="162"/>
      <c r="P74" s="162"/>
      <c r="Q74" s="162"/>
      <c r="R74" s="332"/>
      <c r="S74" s="335"/>
      <c r="T74" s="162"/>
      <c r="U74" s="162"/>
      <c r="V74" s="162"/>
      <c r="W74" s="332"/>
      <c r="X74" s="335"/>
      <c r="Y74" s="162"/>
      <c r="Z74" s="162"/>
      <c r="AA74" s="162"/>
      <c r="AB74" s="332"/>
    </row>
    <row r="75" spans="1:28" s="32" customFormat="1" ht="13.9" customHeight="1" x14ac:dyDescent="0.2">
      <c r="A75" s="338"/>
      <c r="B75" s="329" t="s">
        <v>1019</v>
      </c>
      <c r="C75" s="340"/>
      <c r="D75" s="335"/>
      <c r="E75" s="162"/>
      <c r="F75" s="162"/>
      <c r="G75" s="162"/>
      <c r="H75" s="332"/>
      <c r="I75" s="335"/>
      <c r="J75" s="162"/>
      <c r="K75" s="162"/>
      <c r="L75" s="162"/>
      <c r="M75" s="332"/>
      <c r="N75" s="335"/>
      <c r="O75" s="162"/>
      <c r="P75" s="162"/>
      <c r="Q75" s="162"/>
      <c r="R75" s="332"/>
      <c r="S75" s="335"/>
      <c r="T75" s="162"/>
      <c r="U75" s="162"/>
      <c r="V75" s="162"/>
      <c r="W75" s="332"/>
      <c r="X75" s="335"/>
      <c r="Y75" s="162"/>
      <c r="Z75" s="162"/>
      <c r="AA75" s="162"/>
      <c r="AB75" s="332"/>
    </row>
    <row r="76" spans="1:28" s="32" customFormat="1" ht="13.9" customHeight="1" x14ac:dyDescent="0.2">
      <c r="A76" s="338"/>
      <c r="B76" s="329" t="s">
        <v>1020</v>
      </c>
      <c r="C76" s="340"/>
      <c r="D76" s="335"/>
      <c r="E76" s="162"/>
      <c r="F76" s="162"/>
      <c r="G76" s="162"/>
      <c r="H76" s="332"/>
      <c r="I76" s="335"/>
      <c r="J76" s="162"/>
      <c r="K76" s="162"/>
      <c r="L76" s="162"/>
      <c r="M76" s="332"/>
      <c r="N76" s="335"/>
      <c r="O76" s="162"/>
      <c r="P76" s="162"/>
      <c r="Q76" s="162"/>
      <c r="R76" s="332"/>
      <c r="S76" s="335"/>
      <c r="T76" s="162"/>
      <c r="U76" s="162"/>
      <c r="V76" s="162"/>
      <c r="W76" s="332"/>
      <c r="X76" s="335"/>
      <c r="Y76" s="162"/>
      <c r="Z76" s="162"/>
      <c r="AA76" s="162"/>
      <c r="AB76" s="332"/>
    </row>
    <row r="77" spans="1:28" s="32" customFormat="1" ht="13.9" customHeight="1" x14ac:dyDescent="0.2">
      <c r="A77" s="338"/>
      <c r="B77" s="329" t="s">
        <v>1021</v>
      </c>
      <c r="C77" s="340"/>
      <c r="D77" s="335"/>
      <c r="E77" s="162"/>
      <c r="F77" s="162"/>
      <c r="G77" s="162"/>
      <c r="H77" s="332"/>
      <c r="I77" s="335"/>
      <c r="J77" s="162"/>
      <c r="K77" s="162"/>
      <c r="L77" s="162"/>
      <c r="M77" s="332"/>
      <c r="N77" s="335"/>
      <c r="O77" s="162"/>
      <c r="P77" s="162"/>
      <c r="Q77" s="162"/>
      <c r="R77" s="332"/>
      <c r="S77" s="335"/>
      <c r="T77" s="162"/>
      <c r="U77" s="162"/>
      <c r="V77" s="162"/>
      <c r="W77" s="332"/>
      <c r="X77" s="335"/>
      <c r="Y77" s="162"/>
      <c r="Z77" s="162"/>
      <c r="AA77" s="162"/>
      <c r="AB77" s="332"/>
    </row>
    <row r="78" spans="1:28" s="32" customFormat="1" ht="13.9" customHeight="1" x14ac:dyDescent="0.2">
      <c r="A78" s="338"/>
      <c r="B78" s="329" t="s">
        <v>1022</v>
      </c>
      <c r="C78" s="340"/>
      <c r="D78" s="335"/>
      <c r="E78" s="162"/>
      <c r="F78" s="162"/>
      <c r="G78" s="162"/>
      <c r="H78" s="332"/>
      <c r="I78" s="335"/>
      <c r="J78" s="162"/>
      <c r="K78" s="162"/>
      <c r="L78" s="162"/>
      <c r="M78" s="332"/>
      <c r="N78" s="335"/>
      <c r="O78" s="162"/>
      <c r="P78" s="162"/>
      <c r="Q78" s="162"/>
      <c r="R78" s="332"/>
      <c r="S78" s="335"/>
      <c r="T78" s="162"/>
      <c r="U78" s="162"/>
      <c r="V78" s="162"/>
      <c r="W78" s="332"/>
      <c r="X78" s="335"/>
      <c r="Y78" s="162"/>
      <c r="Z78" s="162"/>
      <c r="AA78" s="162"/>
      <c r="AB78" s="332"/>
    </row>
    <row r="79" spans="1:28" s="32" customFormat="1" ht="13.9" customHeight="1" x14ac:dyDescent="0.2">
      <c r="A79" s="338"/>
      <c r="B79" s="329" t="s">
        <v>1023</v>
      </c>
      <c r="C79" s="340"/>
      <c r="D79" s="335"/>
      <c r="E79" s="162"/>
      <c r="F79" s="162"/>
      <c r="G79" s="162"/>
      <c r="H79" s="332"/>
      <c r="I79" s="335"/>
      <c r="J79" s="162"/>
      <c r="K79" s="162"/>
      <c r="L79" s="162"/>
      <c r="M79" s="332"/>
      <c r="N79" s="335"/>
      <c r="O79" s="162"/>
      <c r="P79" s="162"/>
      <c r="Q79" s="162"/>
      <c r="R79" s="332"/>
      <c r="S79" s="335"/>
      <c r="T79" s="162"/>
      <c r="U79" s="162"/>
      <c r="V79" s="162"/>
      <c r="W79" s="332"/>
      <c r="X79" s="335"/>
      <c r="Y79" s="162"/>
      <c r="Z79" s="162"/>
      <c r="AA79" s="162"/>
      <c r="AB79" s="332"/>
    </row>
    <row r="80" spans="1:28" s="32" customFormat="1" ht="13.9" customHeight="1" x14ac:dyDescent="0.2">
      <c r="A80" s="338"/>
      <c r="B80" s="329" t="s">
        <v>1024</v>
      </c>
      <c r="C80" s="340"/>
      <c r="D80" s="335"/>
      <c r="E80" s="162"/>
      <c r="F80" s="162"/>
      <c r="G80" s="162"/>
      <c r="H80" s="332"/>
      <c r="I80" s="335"/>
      <c r="J80" s="162"/>
      <c r="K80" s="162"/>
      <c r="L80" s="162"/>
      <c r="M80" s="332"/>
      <c r="N80" s="335"/>
      <c r="O80" s="162"/>
      <c r="P80" s="162"/>
      <c r="Q80" s="162"/>
      <c r="R80" s="332"/>
      <c r="S80" s="335"/>
      <c r="T80" s="162"/>
      <c r="U80" s="162"/>
      <c r="V80" s="162"/>
      <c r="W80" s="332"/>
      <c r="X80" s="335"/>
      <c r="Y80" s="162"/>
      <c r="Z80" s="162"/>
      <c r="AA80" s="162"/>
      <c r="AB80" s="332"/>
    </row>
    <row r="81" spans="1:28" s="32" customFormat="1" ht="13.9" customHeight="1" x14ac:dyDescent="0.2">
      <c r="A81" s="338"/>
      <c r="B81" s="329" t="s">
        <v>1025</v>
      </c>
      <c r="C81" s="340"/>
      <c r="D81" s="335"/>
      <c r="E81" s="162"/>
      <c r="F81" s="162"/>
      <c r="G81" s="162"/>
      <c r="H81" s="332"/>
      <c r="I81" s="335"/>
      <c r="J81" s="162"/>
      <c r="K81" s="162"/>
      <c r="L81" s="162"/>
      <c r="M81" s="332"/>
      <c r="N81" s="335"/>
      <c r="O81" s="162"/>
      <c r="P81" s="162"/>
      <c r="Q81" s="162"/>
      <c r="R81" s="332"/>
      <c r="S81" s="335"/>
      <c r="T81" s="162"/>
      <c r="U81" s="162"/>
      <c r="V81" s="162"/>
      <c r="W81" s="332"/>
      <c r="X81" s="335"/>
      <c r="Y81" s="162"/>
      <c r="Z81" s="162"/>
      <c r="AA81" s="162"/>
      <c r="AB81" s="332"/>
    </row>
    <row r="82" spans="1:28" s="32" customFormat="1" ht="13.9" customHeight="1" x14ac:dyDescent="0.2">
      <c r="A82" s="338"/>
      <c r="B82" s="329" t="s">
        <v>1026</v>
      </c>
      <c r="C82" s="340"/>
      <c r="D82" s="335"/>
      <c r="E82" s="162"/>
      <c r="F82" s="162"/>
      <c r="G82" s="162"/>
      <c r="H82" s="332"/>
      <c r="I82" s="335"/>
      <c r="J82" s="162"/>
      <c r="K82" s="162"/>
      <c r="L82" s="162"/>
      <c r="M82" s="332"/>
      <c r="N82" s="335"/>
      <c r="O82" s="162"/>
      <c r="P82" s="162"/>
      <c r="Q82" s="162"/>
      <c r="R82" s="332"/>
      <c r="S82" s="335"/>
      <c r="T82" s="162"/>
      <c r="U82" s="162"/>
      <c r="V82" s="162"/>
      <c r="W82" s="332"/>
      <c r="X82" s="335"/>
      <c r="Y82" s="162"/>
      <c r="Z82" s="162"/>
      <c r="AA82" s="162"/>
      <c r="AB82" s="332"/>
    </row>
    <row r="83" spans="1:28" s="32" customFormat="1" ht="13.9" customHeight="1" x14ac:dyDescent="0.2">
      <c r="A83" s="338"/>
      <c r="B83" s="329" t="s">
        <v>1027</v>
      </c>
      <c r="C83" s="340"/>
      <c r="D83" s="335"/>
      <c r="E83" s="162"/>
      <c r="F83" s="162"/>
      <c r="G83" s="162"/>
      <c r="H83" s="332"/>
      <c r="I83" s="335"/>
      <c r="J83" s="162"/>
      <c r="K83" s="162"/>
      <c r="L83" s="162"/>
      <c r="M83" s="332"/>
      <c r="N83" s="335"/>
      <c r="O83" s="162"/>
      <c r="P83" s="162"/>
      <c r="Q83" s="162"/>
      <c r="R83" s="332"/>
      <c r="S83" s="335"/>
      <c r="T83" s="162"/>
      <c r="U83" s="162"/>
      <c r="V83" s="162"/>
      <c r="W83" s="332"/>
      <c r="X83" s="335"/>
      <c r="Y83" s="162"/>
      <c r="Z83" s="162"/>
      <c r="AA83" s="162"/>
      <c r="AB83" s="332"/>
    </row>
    <row r="84" spans="1:28" s="32" customFormat="1" ht="13.9" customHeight="1" x14ac:dyDescent="0.2">
      <c r="A84" s="338"/>
      <c r="B84" s="329" t="s">
        <v>1028</v>
      </c>
      <c r="C84" s="340"/>
      <c r="D84" s="335"/>
      <c r="E84" s="162"/>
      <c r="F84" s="162"/>
      <c r="G84" s="162"/>
      <c r="H84" s="332"/>
      <c r="I84" s="335"/>
      <c r="J84" s="162"/>
      <c r="K84" s="162"/>
      <c r="L84" s="162"/>
      <c r="M84" s="332"/>
      <c r="N84" s="335"/>
      <c r="O84" s="162"/>
      <c r="P84" s="162"/>
      <c r="Q84" s="162"/>
      <c r="R84" s="332"/>
      <c r="S84" s="335"/>
      <c r="T84" s="162"/>
      <c r="U84" s="162"/>
      <c r="V84" s="162"/>
      <c r="W84" s="332"/>
      <c r="X84" s="335"/>
      <c r="Y84" s="162"/>
      <c r="Z84" s="162"/>
      <c r="AA84" s="162"/>
      <c r="AB84" s="332"/>
    </row>
    <row r="85" spans="1:28" s="32" customFormat="1" ht="13.9" customHeight="1" x14ac:dyDescent="0.2">
      <c r="A85" s="338"/>
      <c r="B85" s="329" t="s">
        <v>1029</v>
      </c>
      <c r="C85" s="340"/>
      <c r="D85" s="335"/>
      <c r="E85" s="162"/>
      <c r="F85" s="162"/>
      <c r="G85" s="162"/>
      <c r="H85" s="332"/>
      <c r="I85" s="335"/>
      <c r="J85" s="162"/>
      <c r="K85" s="162"/>
      <c r="L85" s="162"/>
      <c r="M85" s="332"/>
      <c r="N85" s="335"/>
      <c r="O85" s="162"/>
      <c r="P85" s="162"/>
      <c r="Q85" s="162"/>
      <c r="R85" s="332"/>
      <c r="S85" s="335"/>
      <c r="T85" s="162"/>
      <c r="U85" s="162"/>
      <c r="V85" s="162"/>
      <c r="W85" s="332"/>
      <c r="X85" s="335"/>
      <c r="Y85" s="162"/>
      <c r="Z85" s="162"/>
      <c r="AA85" s="162"/>
      <c r="AB85" s="332"/>
    </row>
    <row r="86" spans="1:28" s="32" customFormat="1" ht="13.9" customHeight="1" x14ac:dyDescent="0.2">
      <c r="A86" s="338"/>
      <c r="B86" s="329" t="s">
        <v>1030</v>
      </c>
      <c r="C86" s="340"/>
      <c r="D86" s="335"/>
      <c r="E86" s="162"/>
      <c r="F86" s="162"/>
      <c r="G86" s="162"/>
      <c r="H86" s="332"/>
      <c r="I86" s="335"/>
      <c r="J86" s="162"/>
      <c r="K86" s="162"/>
      <c r="L86" s="162"/>
      <c r="M86" s="332"/>
      <c r="N86" s="335"/>
      <c r="O86" s="162"/>
      <c r="P86" s="162"/>
      <c r="Q86" s="162"/>
      <c r="R86" s="332"/>
      <c r="S86" s="335"/>
      <c r="T86" s="162"/>
      <c r="U86" s="162"/>
      <c r="V86" s="162"/>
      <c r="W86" s="332"/>
      <c r="X86" s="335"/>
      <c r="Y86" s="162"/>
      <c r="Z86" s="162"/>
      <c r="AA86" s="162"/>
      <c r="AB86" s="332"/>
    </row>
    <row r="87" spans="1:28" s="32" customFormat="1" ht="13.9" customHeight="1" x14ac:dyDescent="0.2">
      <c r="A87" s="338"/>
      <c r="B87" s="329" t="s">
        <v>1031</v>
      </c>
      <c r="C87" s="340"/>
      <c r="D87" s="335"/>
      <c r="E87" s="162"/>
      <c r="F87" s="162"/>
      <c r="G87" s="162"/>
      <c r="H87" s="332"/>
      <c r="I87" s="335"/>
      <c r="J87" s="162"/>
      <c r="K87" s="162"/>
      <c r="L87" s="162"/>
      <c r="M87" s="332"/>
      <c r="N87" s="335"/>
      <c r="O87" s="162"/>
      <c r="P87" s="162"/>
      <c r="Q87" s="162"/>
      <c r="R87" s="332"/>
      <c r="S87" s="335"/>
      <c r="T87" s="162"/>
      <c r="U87" s="162"/>
      <c r="V87" s="162"/>
      <c r="W87" s="332"/>
      <c r="X87" s="335"/>
      <c r="Y87" s="162"/>
      <c r="Z87" s="162"/>
      <c r="AA87" s="162"/>
      <c r="AB87" s="332"/>
    </row>
    <row r="88" spans="1:28" s="32" customFormat="1" ht="13.9" customHeight="1" x14ac:dyDescent="0.2">
      <c r="A88" s="338"/>
      <c r="B88" s="329" t="s">
        <v>1032</v>
      </c>
      <c r="C88" s="340"/>
      <c r="D88" s="335"/>
      <c r="E88" s="162"/>
      <c r="F88" s="162"/>
      <c r="G88" s="162"/>
      <c r="H88" s="332"/>
      <c r="I88" s="335"/>
      <c r="J88" s="162"/>
      <c r="K88" s="162"/>
      <c r="L88" s="162"/>
      <c r="M88" s="332"/>
      <c r="N88" s="335"/>
      <c r="O88" s="162"/>
      <c r="P88" s="162"/>
      <c r="Q88" s="162"/>
      <c r="R88" s="332"/>
      <c r="S88" s="335"/>
      <c r="T88" s="162"/>
      <c r="U88" s="162"/>
      <c r="V88" s="162"/>
      <c r="W88" s="332"/>
      <c r="X88" s="335"/>
      <c r="Y88" s="162"/>
      <c r="Z88" s="162"/>
      <c r="AA88" s="162"/>
      <c r="AB88" s="332"/>
    </row>
    <row r="89" spans="1:28" s="32" customFormat="1" ht="13.9" customHeight="1" x14ac:dyDescent="0.2">
      <c r="A89" s="338"/>
      <c r="B89" s="329" t="s">
        <v>1033</v>
      </c>
      <c r="C89" s="340"/>
      <c r="D89" s="335"/>
      <c r="E89" s="162"/>
      <c r="F89" s="162"/>
      <c r="G89" s="162"/>
      <c r="H89" s="332"/>
      <c r="I89" s="335"/>
      <c r="J89" s="162"/>
      <c r="K89" s="162"/>
      <c r="L89" s="162"/>
      <c r="M89" s="332"/>
      <c r="N89" s="335"/>
      <c r="O89" s="162"/>
      <c r="P89" s="162"/>
      <c r="Q89" s="162"/>
      <c r="R89" s="332"/>
      <c r="S89" s="335"/>
      <c r="T89" s="162"/>
      <c r="U89" s="162"/>
      <c r="V89" s="162"/>
      <c r="W89" s="332"/>
      <c r="X89" s="335"/>
      <c r="Y89" s="162"/>
      <c r="Z89" s="162"/>
      <c r="AA89" s="162"/>
      <c r="AB89" s="332"/>
    </row>
    <row r="90" spans="1:28" s="32" customFormat="1" ht="13.9" customHeight="1" x14ac:dyDescent="0.2">
      <c r="A90" s="341"/>
      <c r="B90" s="329" t="s">
        <v>1034</v>
      </c>
      <c r="C90" s="342"/>
      <c r="D90" s="336"/>
      <c r="E90" s="162"/>
      <c r="F90" s="162"/>
      <c r="G90" s="162"/>
      <c r="H90" s="333"/>
      <c r="I90" s="336"/>
      <c r="J90" s="162"/>
      <c r="K90" s="162"/>
      <c r="L90" s="162"/>
      <c r="M90" s="333"/>
      <c r="N90" s="336"/>
      <c r="O90" s="162"/>
      <c r="P90" s="162"/>
      <c r="Q90" s="162"/>
      <c r="R90" s="333"/>
      <c r="S90" s="336"/>
      <c r="T90" s="162"/>
      <c r="U90" s="162"/>
      <c r="V90" s="162"/>
      <c r="W90" s="333"/>
      <c r="X90" s="336"/>
      <c r="Y90" s="162"/>
      <c r="Z90" s="162"/>
      <c r="AA90" s="162"/>
      <c r="AB90" s="333"/>
    </row>
    <row r="91" spans="1:28" s="32" customFormat="1" ht="13.9" customHeight="1" x14ac:dyDescent="0.2">
      <c r="A91" s="337">
        <v>6</v>
      </c>
      <c r="B91" s="329" t="s">
        <v>1035</v>
      </c>
      <c r="C91" s="339"/>
      <c r="D91" s="334"/>
      <c r="E91" s="162"/>
      <c r="F91" s="162"/>
      <c r="G91" s="162"/>
      <c r="H91" s="331"/>
      <c r="I91" s="334"/>
      <c r="J91" s="162"/>
      <c r="K91" s="162"/>
      <c r="L91" s="162"/>
      <c r="M91" s="331"/>
      <c r="N91" s="334"/>
      <c r="O91" s="162"/>
      <c r="P91" s="162"/>
      <c r="Q91" s="162"/>
      <c r="R91" s="331"/>
      <c r="S91" s="334"/>
      <c r="T91" s="162"/>
      <c r="U91" s="162"/>
      <c r="V91" s="162"/>
      <c r="W91" s="331"/>
      <c r="X91" s="334"/>
      <c r="Y91" s="162"/>
      <c r="Z91" s="162"/>
      <c r="AA91" s="162"/>
      <c r="AB91" s="331"/>
    </row>
    <row r="92" spans="1:28" s="32" customFormat="1" ht="13.9" customHeight="1" x14ac:dyDescent="0.2">
      <c r="A92" s="338"/>
      <c r="B92" s="329" t="s">
        <v>1036</v>
      </c>
      <c r="C92" s="340"/>
      <c r="D92" s="335"/>
      <c r="E92" s="162"/>
      <c r="F92" s="162"/>
      <c r="G92" s="162"/>
      <c r="H92" s="332"/>
      <c r="I92" s="335"/>
      <c r="J92" s="162"/>
      <c r="K92" s="162"/>
      <c r="L92" s="162"/>
      <c r="M92" s="332"/>
      <c r="N92" s="335"/>
      <c r="O92" s="162"/>
      <c r="P92" s="162"/>
      <c r="Q92" s="162"/>
      <c r="R92" s="332"/>
      <c r="S92" s="335"/>
      <c r="T92" s="162"/>
      <c r="U92" s="162"/>
      <c r="V92" s="162"/>
      <c r="W92" s="332"/>
      <c r="X92" s="335"/>
      <c r="Y92" s="162"/>
      <c r="Z92" s="162"/>
      <c r="AA92" s="162"/>
      <c r="AB92" s="332"/>
    </row>
    <row r="93" spans="1:28" s="32" customFormat="1" ht="13.9" customHeight="1" x14ac:dyDescent="0.2">
      <c r="A93" s="338"/>
      <c r="B93" s="329" t="s">
        <v>1038</v>
      </c>
      <c r="C93" s="340"/>
      <c r="D93" s="335"/>
      <c r="E93" s="162"/>
      <c r="F93" s="162"/>
      <c r="G93" s="162"/>
      <c r="H93" s="332"/>
      <c r="I93" s="335"/>
      <c r="J93" s="162"/>
      <c r="K93" s="162"/>
      <c r="L93" s="162"/>
      <c r="M93" s="332"/>
      <c r="N93" s="335"/>
      <c r="O93" s="162"/>
      <c r="P93" s="162"/>
      <c r="Q93" s="162"/>
      <c r="R93" s="332"/>
      <c r="S93" s="335"/>
      <c r="T93" s="162"/>
      <c r="U93" s="162"/>
      <c r="V93" s="162"/>
      <c r="W93" s="332"/>
      <c r="X93" s="335"/>
      <c r="Y93" s="162"/>
      <c r="Z93" s="162"/>
      <c r="AA93" s="162"/>
      <c r="AB93" s="332"/>
    </row>
    <row r="94" spans="1:28" s="32" customFormat="1" ht="13.9" customHeight="1" x14ac:dyDescent="0.2">
      <c r="A94" s="338"/>
      <c r="B94" s="329" t="s">
        <v>1039</v>
      </c>
      <c r="C94" s="340"/>
      <c r="D94" s="335"/>
      <c r="E94" s="162"/>
      <c r="F94" s="162"/>
      <c r="G94" s="162"/>
      <c r="H94" s="332"/>
      <c r="I94" s="335"/>
      <c r="J94" s="162"/>
      <c r="K94" s="162"/>
      <c r="L94" s="162"/>
      <c r="M94" s="332"/>
      <c r="N94" s="335"/>
      <c r="O94" s="162"/>
      <c r="P94" s="162"/>
      <c r="Q94" s="162"/>
      <c r="R94" s="332"/>
      <c r="S94" s="335"/>
      <c r="T94" s="162"/>
      <c r="U94" s="162"/>
      <c r="V94" s="162"/>
      <c r="W94" s="332"/>
      <c r="X94" s="335"/>
      <c r="Y94" s="162"/>
      <c r="Z94" s="162"/>
      <c r="AA94" s="162"/>
      <c r="AB94" s="332"/>
    </row>
    <row r="95" spans="1:28" s="32" customFormat="1" ht="13.9" customHeight="1" x14ac:dyDescent="0.2">
      <c r="A95" s="338"/>
      <c r="B95" s="329" t="s">
        <v>1040</v>
      </c>
      <c r="C95" s="340"/>
      <c r="D95" s="335"/>
      <c r="E95" s="162"/>
      <c r="F95" s="162"/>
      <c r="G95" s="162"/>
      <c r="H95" s="332"/>
      <c r="I95" s="335"/>
      <c r="J95" s="162"/>
      <c r="K95" s="162"/>
      <c r="L95" s="162"/>
      <c r="M95" s="332"/>
      <c r="N95" s="335"/>
      <c r="O95" s="162"/>
      <c r="P95" s="162"/>
      <c r="Q95" s="162"/>
      <c r="R95" s="332"/>
      <c r="S95" s="335"/>
      <c r="T95" s="162"/>
      <c r="U95" s="162"/>
      <c r="V95" s="162"/>
      <c r="W95" s="332"/>
      <c r="X95" s="335"/>
      <c r="Y95" s="162"/>
      <c r="Z95" s="162"/>
      <c r="AA95" s="162"/>
      <c r="AB95" s="332"/>
    </row>
    <row r="96" spans="1:28" s="32" customFormat="1" ht="13.9" customHeight="1" x14ac:dyDescent="0.2">
      <c r="A96" s="338"/>
      <c r="B96" s="329" t="s">
        <v>1041</v>
      </c>
      <c r="C96" s="340"/>
      <c r="D96" s="335"/>
      <c r="E96" s="162"/>
      <c r="F96" s="162"/>
      <c r="G96" s="162"/>
      <c r="H96" s="332"/>
      <c r="I96" s="335"/>
      <c r="J96" s="162"/>
      <c r="K96" s="162"/>
      <c r="L96" s="162"/>
      <c r="M96" s="332"/>
      <c r="N96" s="335"/>
      <c r="O96" s="162"/>
      <c r="P96" s="162"/>
      <c r="Q96" s="162"/>
      <c r="R96" s="332"/>
      <c r="S96" s="335"/>
      <c r="T96" s="162"/>
      <c r="U96" s="162"/>
      <c r="V96" s="162"/>
      <c r="W96" s="332"/>
      <c r="X96" s="335"/>
      <c r="Y96" s="162"/>
      <c r="Z96" s="162"/>
      <c r="AA96" s="162"/>
      <c r="AB96" s="332"/>
    </row>
    <row r="97" spans="1:28" s="32" customFormat="1" ht="13.9" customHeight="1" x14ac:dyDescent="0.2">
      <c r="A97" s="338"/>
      <c r="B97" s="329" t="s">
        <v>1043</v>
      </c>
      <c r="C97" s="340"/>
      <c r="D97" s="335"/>
      <c r="E97" s="162"/>
      <c r="F97" s="162"/>
      <c r="G97" s="162"/>
      <c r="H97" s="332"/>
      <c r="I97" s="335"/>
      <c r="J97" s="162"/>
      <c r="K97" s="162"/>
      <c r="L97" s="162"/>
      <c r="M97" s="332"/>
      <c r="N97" s="335"/>
      <c r="O97" s="162"/>
      <c r="P97" s="162"/>
      <c r="Q97" s="162"/>
      <c r="R97" s="332"/>
      <c r="S97" s="335"/>
      <c r="T97" s="162"/>
      <c r="U97" s="162"/>
      <c r="V97" s="162"/>
      <c r="W97" s="332"/>
      <c r="X97" s="335"/>
      <c r="Y97" s="162"/>
      <c r="Z97" s="162"/>
      <c r="AA97" s="162"/>
      <c r="AB97" s="332"/>
    </row>
    <row r="98" spans="1:28" s="32" customFormat="1" ht="13.9" customHeight="1" x14ac:dyDescent="0.2">
      <c r="A98" s="338"/>
      <c r="B98" s="329" t="s">
        <v>1006</v>
      </c>
      <c r="C98" s="340"/>
      <c r="D98" s="335"/>
      <c r="E98" s="162"/>
      <c r="F98" s="162"/>
      <c r="G98" s="162"/>
      <c r="H98" s="332"/>
      <c r="I98" s="335"/>
      <c r="J98" s="162"/>
      <c r="K98" s="162"/>
      <c r="L98" s="162"/>
      <c r="M98" s="332"/>
      <c r="N98" s="335"/>
      <c r="O98" s="162"/>
      <c r="P98" s="162"/>
      <c r="Q98" s="162"/>
      <c r="R98" s="332"/>
      <c r="S98" s="335"/>
      <c r="T98" s="162"/>
      <c r="U98" s="162"/>
      <c r="V98" s="162"/>
      <c r="W98" s="332"/>
      <c r="X98" s="335"/>
      <c r="Y98" s="162"/>
      <c r="Z98" s="162"/>
      <c r="AA98" s="162"/>
      <c r="AB98" s="332"/>
    </row>
    <row r="99" spans="1:28" s="32" customFormat="1" ht="13.9" customHeight="1" x14ac:dyDescent="0.2">
      <c r="A99" s="338"/>
      <c r="B99" s="329" t="s">
        <v>1044</v>
      </c>
      <c r="C99" s="340"/>
      <c r="D99" s="335"/>
      <c r="E99" s="162"/>
      <c r="F99" s="162"/>
      <c r="G99" s="162"/>
      <c r="H99" s="332"/>
      <c r="I99" s="335"/>
      <c r="J99" s="162"/>
      <c r="K99" s="162"/>
      <c r="L99" s="162"/>
      <c r="M99" s="332"/>
      <c r="N99" s="335"/>
      <c r="O99" s="162"/>
      <c r="P99" s="162"/>
      <c r="Q99" s="162"/>
      <c r="R99" s="332"/>
      <c r="S99" s="335"/>
      <c r="T99" s="162"/>
      <c r="U99" s="162"/>
      <c r="V99" s="162"/>
      <c r="W99" s="332"/>
      <c r="X99" s="335"/>
      <c r="Y99" s="162"/>
      <c r="Z99" s="162"/>
      <c r="AA99" s="162"/>
      <c r="AB99" s="332"/>
    </row>
    <row r="100" spans="1:28" s="32" customFormat="1" ht="13.9" customHeight="1" x14ac:dyDescent="0.2">
      <c r="A100" s="338"/>
      <c r="B100" s="329" t="s">
        <v>1045</v>
      </c>
      <c r="C100" s="340"/>
      <c r="D100" s="335"/>
      <c r="E100" s="162"/>
      <c r="F100" s="162"/>
      <c r="G100" s="162"/>
      <c r="H100" s="332"/>
      <c r="I100" s="335"/>
      <c r="J100" s="162"/>
      <c r="K100" s="162"/>
      <c r="L100" s="162"/>
      <c r="M100" s="332"/>
      <c r="N100" s="335"/>
      <c r="O100" s="162"/>
      <c r="P100" s="162"/>
      <c r="Q100" s="162"/>
      <c r="R100" s="332"/>
      <c r="S100" s="335"/>
      <c r="T100" s="162"/>
      <c r="U100" s="162"/>
      <c r="V100" s="162"/>
      <c r="W100" s="332"/>
      <c r="X100" s="335"/>
      <c r="Y100" s="162"/>
      <c r="Z100" s="162"/>
      <c r="AA100" s="162"/>
      <c r="AB100" s="332"/>
    </row>
    <row r="101" spans="1:28" s="32" customFormat="1" ht="13.9" customHeight="1" x14ac:dyDescent="0.2">
      <c r="A101" s="338"/>
      <c r="B101" s="329" t="s">
        <v>1046</v>
      </c>
      <c r="C101" s="340"/>
      <c r="D101" s="335"/>
      <c r="E101" s="162"/>
      <c r="F101" s="162"/>
      <c r="G101" s="162"/>
      <c r="H101" s="332"/>
      <c r="I101" s="335"/>
      <c r="J101" s="162"/>
      <c r="K101" s="162"/>
      <c r="L101" s="162"/>
      <c r="M101" s="332"/>
      <c r="N101" s="335"/>
      <c r="O101" s="162"/>
      <c r="P101" s="162"/>
      <c r="Q101" s="162"/>
      <c r="R101" s="332"/>
      <c r="S101" s="335"/>
      <c r="T101" s="162"/>
      <c r="U101" s="162"/>
      <c r="V101" s="162"/>
      <c r="W101" s="332"/>
      <c r="X101" s="335"/>
      <c r="Y101" s="162"/>
      <c r="Z101" s="162"/>
      <c r="AA101" s="162"/>
      <c r="AB101" s="332"/>
    </row>
    <row r="102" spans="1:28" s="32" customFormat="1" ht="13.9" customHeight="1" x14ac:dyDescent="0.2">
      <c r="A102" s="338"/>
      <c r="B102" s="330" t="s">
        <v>1047</v>
      </c>
      <c r="C102" s="340"/>
      <c r="D102" s="335"/>
      <c r="E102" s="162"/>
      <c r="F102" s="162"/>
      <c r="G102" s="162"/>
      <c r="H102" s="332"/>
      <c r="I102" s="335"/>
      <c r="J102" s="162"/>
      <c r="K102" s="162"/>
      <c r="L102" s="162"/>
      <c r="M102" s="332"/>
      <c r="N102" s="335"/>
      <c r="O102" s="162"/>
      <c r="P102" s="162"/>
      <c r="Q102" s="162"/>
      <c r="R102" s="332"/>
      <c r="S102" s="335"/>
      <c r="T102" s="162"/>
      <c r="U102" s="162"/>
      <c r="V102" s="162"/>
      <c r="W102" s="332"/>
      <c r="X102" s="335"/>
      <c r="Y102" s="162"/>
      <c r="Z102" s="162"/>
      <c r="AA102" s="162"/>
      <c r="AB102" s="332"/>
    </row>
    <row r="103" spans="1:28" s="32" customFormat="1" ht="15" customHeight="1" x14ac:dyDescent="0.2">
      <c r="A103" s="337">
        <v>7</v>
      </c>
      <c r="B103" s="259" t="s">
        <v>866</v>
      </c>
      <c r="C103" s="339">
        <f>D103+E103+F103+G103</f>
        <v>1300</v>
      </c>
      <c r="D103" s="334">
        <v>1300</v>
      </c>
      <c r="E103" s="162">
        <v>0</v>
      </c>
      <c r="F103" s="162">
        <v>0</v>
      </c>
      <c r="G103" s="162">
        <v>0</v>
      </c>
      <c r="H103" s="331">
        <f>I103+J103+K103+L103</f>
        <v>1417</v>
      </c>
      <c r="I103" s="334">
        <v>1417</v>
      </c>
      <c r="J103" s="162">
        <v>0</v>
      </c>
      <c r="K103" s="162">
        <v>0</v>
      </c>
      <c r="L103" s="162">
        <v>0</v>
      </c>
      <c r="M103" s="334">
        <v>0</v>
      </c>
      <c r="N103" s="334">
        <v>0</v>
      </c>
      <c r="O103" s="162">
        <v>0</v>
      </c>
      <c r="P103" s="162">
        <v>0</v>
      </c>
      <c r="Q103" s="162">
        <v>0</v>
      </c>
      <c r="R103" s="334">
        <v>0</v>
      </c>
      <c r="S103" s="334">
        <v>0</v>
      </c>
      <c r="T103" s="162">
        <v>0</v>
      </c>
      <c r="U103" s="162">
        <v>0</v>
      </c>
      <c r="V103" s="162">
        <v>0</v>
      </c>
      <c r="W103" s="334">
        <v>0</v>
      </c>
      <c r="X103" s="334">
        <v>0</v>
      </c>
      <c r="Y103" s="162">
        <v>0</v>
      </c>
      <c r="Z103" s="162">
        <v>0</v>
      </c>
      <c r="AA103" s="162">
        <v>0</v>
      </c>
      <c r="AB103" s="331">
        <f t="shared" si="6"/>
        <v>2717</v>
      </c>
    </row>
    <row r="104" spans="1:28" s="32" customFormat="1" ht="15" customHeight="1" x14ac:dyDescent="0.2">
      <c r="A104" s="338"/>
      <c r="B104" s="259" t="s">
        <v>867</v>
      </c>
      <c r="C104" s="340"/>
      <c r="D104" s="335"/>
      <c r="E104" s="162"/>
      <c r="F104" s="162"/>
      <c r="G104" s="162"/>
      <c r="H104" s="332"/>
      <c r="I104" s="335"/>
      <c r="J104" s="162"/>
      <c r="K104" s="162"/>
      <c r="L104" s="162"/>
      <c r="M104" s="335"/>
      <c r="N104" s="335"/>
      <c r="O104" s="162"/>
      <c r="P104" s="162"/>
      <c r="Q104" s="162"/>
      <c r="R104" s="335"/>
      <c r="S104" s="335"/>
      <c r="T104" s="162"/>
      <c r="U104" s="162"/>
      <c r="V104" s="162"/>
      <c r="W104" s="335"/>
      <c r="X104" s="335"/>
      <c r="Y104" s="162"/>
      <c r="Z104" s="162"/>
      <c r="AA104" s="162"/>
      <c r="AB104" s="332"/>
    </row>
    <row r="105" spans="1:28" s="32" customFormat="1" ht="15" customHeight="1" x14ac:dyDescent="0.2">
      <c r="A105" s="338"/>
      <c r="B105" s="259" t="s">
        <v>868</v>
      </c>
      <c r="C105" s="340"/>
      <c r="D105" s="335"/>
      <c r="E105" s="162"/>
      <c r="F105" s="162"/>
      <c r="G105" s="162"/>
      <c r="H105" s="332"/>
      <c r="I105" s="335"/>
      <c r="J105" s="162"/>
      <c r="K105" s="162"/>
      <c r="L105" s="162"/>
      <c r="M105" s="335"/>
      <c r="N105" s="335"/>
      <c r="O105" s="162"/>
      <c r="P105" s="162"/>
      <c r="Q105" s="162"/>
      <c r="R105" s="335"/>
      <c r="S105" s="335"/>
      <c r="T105" s="162"/>
      <c r="U105" s="162"/>
      <c r="V105" s="162"/>
      <c r="W105" s="335"/>
      <c r="X105" s="335"/>
      <c r="Y105" s="162"/>
      <c r="Z105" s="162"/>
      <c r="AA105" s="162"/>
      <c r="AB105" s="332"/>
    </row>
    <row r="106" spans="1:28" s="32" customFormat="1" ht="15" customHeight="1" x14ac:dyDescent="0.2">
      <c r="A106" s="338"/>
      <c r="B106" s="259" t="s">
        <v>887</v>
      </c>
      <c r="C106" s="340"/>
      <c r="D106" s="335"/>
      <c r="E106" s="162"/>
      <c r="F106" s="162"/>
      <c r="G106" s="162"/>
      <c r="H106" s="332"/>
      <c r="I106" s="335"/>
      <c r="J106" s="162"/>
      <c r="K106" s="162"/>
      <c r="L106" s="162"/>
      <c r="M106" s="335"/>
      <c r="N106" s="335"/>
      <c r="O106" s="162"/>
      <c r="P106" s="162"/>
      <c r="Q106" s="162"/>
      <c r="R106" s="335"/>
      <c r="S106" s="335"/>
      <c r="T106" s="162"/>
      <c r="U106" s="162"/>
      <c r="V106" s="162"/>
      <c r="W106" s="335"/>
      <c r="X106" s="335"/>
      <c r="Y106" s="162"/>
      <c r="Z106" s="162"/>
      <c r="AA106" s="162"/>
      <c r="AB106" s="332"/>
    </row>
    <row r="107" spans="1:28" s="32" customFormat="1" ht="15" customHeight="1" x14ac:dyDescent="0.2">
      <c r="A107" s="338"/>
      <c r="B107" s="259" t="s">
        <v>888</v>
      </c>
      <c r="C107" s="340"/>
      <c r="D107" s="335"/>
      <c r="E107" s="162"/>
      <c r="F107" s="162"/>
      <c r="G107" s="162"/>
      <c r="H107" s="332"/>
      <c r="I107" s="335"/>
      <c r="J107" s="162"/>
      <c r="K107" s="162"/>
      <c r="L107" s="162"/>
      <c r="M107" s="335"/>
      <c r="N107" s="335"/>
      <c r="O107" s="162"/>
      <c r="P107" s="162"/>
      <c r="Q107" s="162"/>
      <c r="R107" s="335"/>
      <c r="S107" s="335"/>
      <c r="T107" s="162"/>
      <c r="U107" s="162"/>
      <c r="V107" s="162"/>
      <c r="W107" s="335"/>
      <c r="X107" s="335"/>
      <c r="Y107" s="162"/>
      <c r="Z107" s="162"/>
      <c r="AA107" s="162"/>
      <c r="AB107" s="332"/>
    </row>
    <row r="108" spans="1:28" s="32" customFormat="1" ht="15" customHeight="1" x14ac:dyDescent="0.2">
      <c r="A108" s="338"/>
      <c r="B108" s="259" t="s">
        <v>889</v>
      </c>
      <c r="C108" s="340"/>
      <c r="D108" s="335"/>
      <c r="E108" s="162"/>
      <c r="F108" s="162"/>
      <c r="G108" s="162"/>
      <c r="H108" s="332"/>
      <c r="I108" s="335"/>
      <c r="J108" s="162"/>
      <c r="K108" s="162"/>
      <c r="L108" s="162"/>
      <c r="M108" s="335"/>
      <c r="N108" s="335"/>
      <c r="O108" s="162"/>
      <c r="P108" s="162"/>
      <c r="Q108" s="162"/>
      <c r="R108" s="335"/>
      <c r="S108" s="335"/>
      <c r="T108" s="162"/>
      <c r="U108" s="162"/>
      <c r="V108" s="162"/>
      <c r="W108" s="335"/>
      <c r="X108" s="335"/>
      <c r="Y108" s="162"/>
      <c r="Z108" s="162"/>
      <c r="AA108" s="162"/>
      <c r="AB108" s="332"/>
    </row>
    <row r="109" spans="1:28" s="32" customFormat="1" ht="15" customHeight="1" x14ac:dyDescent="0.2">
      <c r="A109" s="338"/>
      <c r="B109" s="259" t="s">
        <v>869</v>
      </c>
      <c r="C109" s="340"/>
      <c r="D109" s="335"/>
      <c r="E109" s="162"/>
      <c r="F109" s="162"/>
      <c r="G109" s="162"/>
      <c r="H109" s="332"/>
      <c r="I109" s="335"/>
      <c r="J109" s="162"/>
      <c r="K109" s="162"/>
      <c r="L109" s="162"/>
      <c r="M109" s="335"/>
      <c r="N109" s="335"/>
      <c r="O109" s="162"/>
      <c r="P109" s="162"/>
      <c r="Q109" s="162"/>
      <c r="R109" s="335"/>
      <c r="S109" s="335"/>
      <c r="T109" s="162"/>
      <c r="U109" s="162"/>
      <c r="V109" s="162"/>
      <c r="W109" s="335"/>
      <c r="X109" s="335"/>
      <c r="Y109" s="162"/>
      <c r="Z109" s="162"/>
      <c r="AA109" s="162"/>
      <c r="AB109" s="332"/>
    </row>
    <row r="110" spans="1:28" s="32" customFormat="1" ht="15" customHeight="1" x14ac:dyDescent="0.2">
      <c r="A110" s="338"/>
      <c r="B110" s="259" t="s">
        <v>890</v>
      </c>
      <c r="C110" s="340"/>
      <c r="D110" s="335"/>
      <c r="E110" s="162"/>
      <c r="F110" s="162"/>
      <c r="G110" s="162"/>
      <c r="H110" s="332"/>
      <c r="I110" s="335"/>
      <c r="J110" s="162"/>
      <c r="K110" s="162"/>
      <c r="L110" s="162"/>
      <c r="M110" s="335"/>
      <c r="N110" s="335"/>
      <c r="O110" s="162"/>
      <c r="P110" s="162"/>
      <c r="Q110" s="162"/>
      <c r="R110" s="335"/>
      <c r="S110" s="335"/>
      <c r="T110" s="162"/>
      <c r="U110" s="162"/>
      <c r="V110" s="162"/>
      <c r="W110" s="335"/>
      <c r="X110" s="335"/>
      <c r="Y110" s="162"/>
      <c r="Z110" s="162"/>
      <c r="AA110" s="162"/>
      <c r="AB110" s="332"/>
    </row>
    <row r="111" spans="1:28" s="32" customFormat="1" ht="15" customHeight="1" x14ac:dyDescent="0.2">
      <c r="A111" s="338"/>
      <c r="B111" s="259" t="s">
        <v>870</v>
      </c>
      <c r="C111" s="340"/>
      <c r="D111" s="335"/>
      <c r="E111" s="162"/>
      <c r="F111" s="162"/>
      <c r="G111" s="162"/>
      <c r="H111" s="332"/>
      <c r="I111" s="335"/>
      <c r="J111" s="162"/>
      <c r="K111" s="162"/>
      <c r="L111" s="162"/>
      <c r="M111" s="335"/>
      <c r="N111" s="335"/>
      <c r="O111" s="162"/>
      <c r="P111" s="162"/>
      <c r="Q111" s="162"/>
      <c r="R111" s="335"/>
      <c r="S111" s="335"/>
      <c r="T111" s="162"/>
      <c r="U111" s="162"/>
      <c r="V111" s="162"/>
      <c r="W111" s="335"/>
      <c r="X111" s="335"/>
      <c r="Y111" s="162"/>
      <c r="Z111" s="162"/>
      <c r="AA111" s="162"/>
      <c r="AB111" s="332"/>
    </row>
    <row r="112" spans="1:28" s="32" customFormat="1" ht="15" customHeight="1" x14ac:dyDescent="0.2">
      <c r="A112" s="341"/>
      <c r="B112" s="259" t="s">
        <v>891</v>
      </c>
      <c r="C112" s="342"/>
      <c r="D112" s="336"/>
      <c r="E112" s="162"/>
      <c r="F112" s="162"/>
      <c r="G112" s="162"/>
      <c r="H112" s="333"/>
      <c r="I112" s="336"/>
      <c r="J112" s="162"/>
      <c r="K112" s="162"/>
      <c r="L112" s="162"/>
      <c r="M112" s="336"/>
      <c r="N112" s="336"/>
      <c r="O112" s="162"/>
      <c r="P112" s="162"/>
      <c r="Q112" s="162"/>
      <c r="R112" s="336"/>
      <c r="S112" s="336"/>
      <c r="T112" s="162"/>
      <c r="U112" s="162"/>
      <c r="V112" s="162"/>
      <c r="W112" s="336"/>
      <c r="X112" s="336"/>
      <c r="Y112" s="162"/>
      <c r="Z112" s="162"/>
      <c r="AA112" s="162"/>
      <c r="AB112" s="333"/>
    </row>
    <row r="113" spans="1:28" s="32" customFormat="1" ht="15" customHeight="1" x14ac:dyDescent="0.2">
      <c r="A113" s="337">
        <v>8</v>
      </c>
      <c r="B113" s="260" t="s">
        <v>871</v>
      </c>
      <c r="C113" s="331">
        <f>D113+E113+F113+G113</f>
        <v>12265</v>
      </c>
      <c r="D113" s="334">
        <v>12265</v>
      </c>
      <c r="E113" s="162">
        <v>0</v>
      </c>
      <c r="F113" s="162">
        <v>0</v>
      </c>
      <c r="G113" s="162">
        <v>0</v>
      </c>
      <c r="H113" s="331">
        <f>I113+J113+K113+L113</f>
        <v>12265</v>
      </c>
      <c r="I113" s="334">
        <v>12265</v>
      </c>
      <c r="J113" s="162">
        <v>0</v>
      </c>
      <c r="K113" s="162">
        <v>0</v>
      </c>
      <c r="L113" s="162">
        <v>0</v>
      </c>
      <c r="M113" s="334">
        <v>0</v>
      </c>
      <c r="N113" s="334">
        <v>0</v>
      </c>
      <c r="O113" s="162">
        <v>0</v>
      </c>
      <c r="P113" s="162">
        <v>0</v>
      </c>
      <c r="Q113" s="162">
        <v>0</v>
      </c>
      <c r="R113" s="334">
        <v>0</v>
      </c>
      <c r="S113" s="334">
        <v>0</v>
      </c>
      <c r="T113" s="162">
        <v>0</v>
      </c>
      <c r="U113" s="162">
        <v>0</v>
      </c>
      <c r="V113" s="162">
        <v>0</v>
      </c>
      <c r="W113" s="334">
        <v>0</v>
      </c>
      <c r="X113" s="334">
        <v>0</v>
      </c>
      <c r="Y113" s="162">
        <v>0</v>
      </c>
      <c r="Z113" s="162">
        <v>0</v>
      </c>
      <c r="AA113" s="162">
        <v>0</v>
      </c>
      <c r="AB113" s="331">
        <f t="shared" si="6"/>
        <v>24530</v>
      </c>
    </row>
    <row r="114" spans="1:28" s="32" customFormat="1" ht="15" customHeight="1" x14ac:dyDescent="0.2">
      <c r="A114" s="338"/>
      <c r="B114" s="259" t="s">
        <v>867</v>
      </c>
      <c r="C114" s="332"/>
      <c r="D114" s="335"/>
      <c r="E114" s="162"/>
      <c r="F114" s="162"/>
      <c r="G114" s="162"/>
      <c r="H114" s="332"/>
      <c r="I114" s="335"/>
      <c r="J114" s="162"/>
      <c r="K114" s="162"/>
      <c r="L114" s="162"/>
      <c r="M114" s="335"/>
      <c r="N114" s="335"/>
      <c r="O114" s="162"/>
      <c r="P114" s="162"/>
      <c r="Q114" s="162"/>
      <c r="R114" s="335"/>
      <c r="S114" s="335"/>
      <c r="T114" s="162"/>
      <c r="U114" s="162"/>
      <c r="V114" s="162"/>
      <c r="W114" s="335"/>
      <c r="X114" s="335"/>
      <c r="Y114" s="162"/>
      <c r="Z114" s="162"/>
      <c r="AA114" s="162"/>
      <c r="AB114" s="332"/>
    </row>
    <row r="115" spans="1:28" s="32" customFormat="1" ht="15" customHeight="1" x14ac:dyDescent="0.2">
      <c r="A115" s="338"/>
      <c r="B115" s="259" t="s">
        <v>872</v>
      </c>
      <c r="C115" s="332"/>
      <c r="D115" s="335"/>
      <c r="E115" s="162"/>
      <c r="F115" s="162"/>
      <c r="G115" s="162"/>
      <c r="H115" s="332"/>
      <c r="I115" s="335"/>
      <c r="J115" s="162"/>
      <c r="K115" s="162"/>
      <c r="L115" s="162"/>
      <c r="M115" s="335"/>
      <c r="N115" s="335"/>
      <c r="O115" s="162"/>
      <c r="P115" s="162"/>
      <c r="Q115" s="162"/>
      <c r="R115" s="335"/>
      <c r="S115" s="335"/>
      <c r="T115" s="162"/>
      <c r="U115" s="162"/>
      <c r="V115" s="162"/>
      <c r="W115" s="335"/>
      <c r="X115" s="335"/>
      <c r="Y115" s="162"/>
      <c r="Z115" s="162"/>
      <c r="AA115" s="162"/>
      <c r="AB115" s="332"/>
    </row>
    <row r="116" spans="1:28" s="32" customFormat="1" ht="15" customHeight="1" x14ac:dyDescent="0.2">
      <c r="A116" s="341"/>
      <c r="B116" s="259" t="s">
        <v>873</v>
      </c>
      <c r="C116" s="333"/>
      <c r="D116" s="336"/>
      <c r="E116" s="162"/>
      <c r="F116" s="162"/>
      <c r="G116" s="162"/>
      <c r="H116" s="333"/>
      <c r="I116" s="336"/>
      <c r="J116" s="162"/>
      <c r="K116" s="162"/>
      <c r="L116" s="162"/>
      <c r="M116" s="336"/>
      <c r="N116" s="336"/>
      <c r="O116" s="162"/>
      <c r="P116" s="162"/>
      <c r="Q116" s="162"/>
      <c r="R116" s="336"/>
      <c r="S116" s="336"/>
      <c r="T116" s="162"/>
      <c r="U116" s="162"/>
      <c r="V116" s="162"/>
      <c r="W116" s="336"/>
      <c r="X116" s="336"/>
      <c r="Y116" s="162"/>
      <c r="Z116" s="162"/>
      <c r="AA116" s="162"/>
      <c r="AB116" s="333"/>
    </row>
    <row r="117" spans="1:28" s="32" customFormat="1" ht="15" customHeight="1" x14ac:dyDescent="0.2">
      <c r="A117" s="337">
        <v>9</v>
      </c>
      <c r="B117" s="260" t="s">
        <v>874</v>
      </c>
      <c r="C117" s="331">
        <f>D117+E117+F117+G117</f>
        <v>2170</v>
      </c>
      <c r="D117" s="334">
        <v>2170</v>
      </c>
      <c r="E117" s="162">
        <v>0</v>
      </c>
      <c r="F117" s="162">
        <v>0</v>
      </c>
      <c r="G117" s="162">
        <v>0</v>
      </c>
      <c r="H117" s="331">
        <f>I117+J117+K117+L117</f>
        <v>2170</v>
      </c>
      <c r="I117" s="334">
        <v>2170</v>
      </c>
      <c r="J117" s="162">
        <v>0</v>
      </c>
      <c r="K117" s="162">
        <v>0</v>
      </c>
      <c r="L117" s="162">
        <v>0</v>
      </c>
      <c r="M117" s="334">
        <v>0</v>
      </c>
      <c r="N117" s="334">
        <v>0</v>
      </c>
      <c r="O117" s="162">
        <v>0</v>
      </c>
      <c r="P117" s="162">
        <v>0</v>
      </c>
      <c r="Q117" s="162">
        <v>0</v>
      </c>
      <c r="R117" s="334">
        <v>0</v>
      </c>
      <c r="S117" s="334">
        <v>0</v>
      </c>
      <c r="T117" s="162">
        <v>0</v>
      </c>
      <c r="U117" s="162">
        <v>0</v>
      </c>
      <c r="V117" s="162">
        <v>0</v>
      </c>
      <c r="W117" s="334">
        <v>0</v>
      </c>
      <c r="X117" s="334">
        <v>0</v>
      </c>
      <c r="Y117" s="162">
        <v>0</v>
      </c>
      <c r="Z117" s="162">
        <v>0</v>
      </c>
      <c r="AA117" s="162">
        <v>0</v>
      </c>
      <c r="AB117" s="331">
        <f t="shared" si="6"/>
        <v>4340</v>
      </c>
    </row>
    <row r="118" spans="1:28" s="32" customFormat="1" ht="15" customHeight="1" x14ac:dyDescent="0.2">
      <c r="A118" s="338"/>
      <c r="B118" s="259" t="s">
        <v>867</v>
      </c>
      <c r="C118" s="332"/>
      <c r="D118" s="335"/>
      <c r="E118" s="162"/>
      <c r="F118" s="162"/>
      <c r="G118" s="162"/>
      <c r="H118" s="332"/>
      <c r="I118" s="335"/>
      <c r="J118" s="162"/>
      <c r="K118" s="162"/>
      <c r="L118" s="162"/>
      <c r="M118" s="335"/>
      <c r="N118" s="335"/>
      <c r="O118" s="162"/>
      <c r="P118" s="162"/>
      <c r="Q118" s="162"/>
      <c r="R118" s="335"/>
      <c r="S118" s="335"/>
      <c r="T118" s="162"/>
      <c r="U118" s="162"/>
      <c r="V118" s="162"/>
      <c r="W118" s="335"/>
      <c r="X118" s="335"/>
      <c r="Y118" s="162"/>
      <c r="Z118" s="162"/>
      <c r="AA118" s="162"/>
      <c r="AB118" s="332"/>
    </row>
    <row r="119" spans="1:28" s="32" customFormat="1" ht="15" customHeight="1" x14ac:dyDescent="0.2">
      <c r="A119" s="338"/>
      <c r="B119" s="259" t="s">
        <v>875</v>
      </c>
      <c r="C119" s="332"/>
      <c r="D119" s="335"/>
      <c r="E119" s="162"/>
      <c r="F119" s="162"/>
      <c r="G119" s="162"/>
      <c r="H119" s="332"/>
      <c r="I119" s="335"/>
      <c r="J119" s="162"/>
      <c r="K119" s="162"/>
      <c r="L119" s="162"/>
      <c r="M119" s="335"/>
      <c r="N119" s="335"/>
      <c r="O119" s="162"/>
      <c r="P119" s="162"/>
      <c r="Q119" s="162"/>
      <c r="R119" s="335"/>
      <c r="S119" s="335"/>
      <c r="T119" s="162"/>
      <c r="U119" s="162"/>
      <c r="V119" s="162"/>
      <c r="W119" s="335"/>
      <c r="X119" s="335"/>
      <c r="Y119" s="162"/>
      <c r="Z119" s="162"/>
      <c r="AA119" s="162"/>
      <c r="AB119" s="332"/>
    </row>
    <row r="120" spans="1:28" s="32" customFormat="1" ht="15" customHeight="1" x14ac:dyDescent="0.2">
      <c r="A120" s="338"/>
      <c r="B120" s="259" t="s">
        <v>876</v>
      </c>
      <c r="C120" s="332"/>
      <c r="D120" s="335"/>
      <c r="E120" s="162"/>
      <c r="F120" s="162"/>
      <c r="G120" s="162"/>
      <c r="H120" s="332"/>
      <c r="I120" s="335"/>
      <c r="J120" s="162"/>
      <c r="K120" s="162"/>
      <c r="L120" s="162"/>
      <c r="M120" s="335"/>
      <c r="N120" s="335"/>
      <c r="O120" s="162"/>
      <c r="P120" s="162"/>
      <c r="Q120" s="162"/>
      <c r="R120" s="335"/>
      <c r="S120" s="335"/>
      <c r="T120" s="162"/>
      <c r="U120" s="162"/>
      <c r="V120" s="162"/>
      <c r="W120" s="335"/>
      <c r="X120" s="335"/>
      <c r="Y120" s="162"/>
      <c r="Z120" s="162"/>
      <c r="AA120" s="162"/>
      <c r="AB120" s="332"/>
    </row>
    <row r="121" spans="1:28" s="32" customFormat="1" ht="15" customHeight="1" x14ac:dyDescent="0.2">
      <c r="A121" s="338"/>
      <c r="B121" s="259" t="s">
        <v>877</v>
      </c>
      <c r="C121" s="332"/>
      <c r="D121" s="335"/>
      <c r="E121" s="162"/>
      <c r="F121" s="162"/>
      <c r="G121" s="162"/>
      <c r="H121" s="332"/>
      <c r="I121" s="335"/>
      <c r="J121" s="162"/>
      <c r="K121" s="162"/>
      <c r="L121" s="162"/>
      <c r="M121" s="335"/>
      <c r="N121" s="335"/>
      <c r="O121" s="162"/>
      <c r="P121" s="162"/>
      <c r="Q121" s="162"/>
      <c r="R121" s="335"/>
      <c r="S121" s="335"/>
      <c r="T121" s="162"/>
      <c r="U121" s="162"/>
      <c r="V121" s="162"/>
      <c r="W121" s="335"/>
      <c r="X121" s="335"/>
      <c r="Y121" s="162"/>
      <c r="Z121" s="162"/>
      <c r="AA121" s="162"/>
      <c r="AB121" s="332"/>
    </row>
    <row r="122" spans="1:28" s="32" customFormat="1" ht="15" customHeight="1" x14ac:dyDescent="0.2">
      <c r="A122" s="341"/>
      <c r="B122" s="259" t="s">
        <v>878</v>
      </c>
      <c r="C122" s="333"/>
      <c r="D122" s="336"/>
      <c r="E122" s="162"/>
      <c r="F122" s="162"/>
      <c r="G122" s="162"/>
      <c r="H122" s="333"/>
      <c r="I122" s="336"/>
      <c r="J122" s="162"/>
      <c r="K122" s="162"/>
      <c r="L122" s="162"/>
      <c r="M122" s="336"/>
      <c r="N122" s="336"/>
      <c r="O122" s="162"/>
      <c r="P122" s="162"/>
      <c r="Q122" s="162"/>
      <c r="R122" s="336"/>
      <c r="S122" s="336"/>
      <c r="T122" s="162"/>
      <c r="U122" s="162"/>
      <c r="V122" s="162"/>
      <c r="W122" s="336"/>
      <c r="X122" s="336"/>
      <c r="Y122" s="162"/>
      <c r="Z122" s="162"/>
      <c r="AA122" s="162"/>
      <c r="AB122" s="333"/>
    </row>
    <row r="123" spans="1:28" s="32" customFormat="1" ht="15" customHeight="1" x14ac:dyDescent="0.2">
      <c r="A123" s="337">
        <v>10</v>
      </c>
      <c r="B123" s="260" t="s">
        <v>879</v>
      </c>
      <c r="C123" s="331">
        <f>D123+E123+F123+G123</f>
        <v>3486</v>
      </c>
      <c r="D123" s="334">
        <v>3486</v>
      </c>
      <c r="E123" s="162">
        <v>0</v>
      </c>
      <c r="F123" s="162">
        <v>0</v>
      </c>
      <c r="G123" s="162">
        <v>0</v>
      </c>
      <c r="H123" s="331">
        <f>I123+J123+K123+L123</f>
        <v>57</v>
      </c>
      <c r="I123" s="334">
        <v>57</v>
      </c>
      <c r="J123" s="162">
        <v>0</v>
      </c>
      <c r="K123" s="162">
        <v>0</v>
      </c>
      <c r="L123" s="162">
        <v>0</v>
      </c>
      <c r="M123" s="334">
        <v>0</v>
      </c>
      <c r="N123" s="334">
        <v>0</v>
      </c>
      <c r="O123" s="162">
        <v>0</v>
      </c>
      <c r="P123" s="162">
        <v>0</v>
      </c>
      <c r="Q123" s="162">
        <v>0</v>
      </c>
      <c r="R123" s="334">
        <v>0</v>
      </c>
      <c r="S123" s="334">
        <v>0</v>
      </c>
      <c r="T123" s="162">
        <v>0</v>
      </c>
      <c r="U123" s="162">
        <v>0</v>
      </c>
      <c r="V123" s="162">
        <v>0</v>
      </c>
      <c r="W123" s="334">
        <v>0</v>
      </c>
      <c r="X123" s="334">
        <v>0</v>
      </c>
      <c r="Y123" s="162">
        <v>0</v>
      </c>
      <c r="Z123" s="162">
        <v>0</v>
      </c>
      <c r="AA123" s="162">
        <v>0</v>
      </c>
      <c r="AB123" s="331">
        <f t="shared" si="6"/>
        <v>3543</v>
      </c>
    </row>
    <row r="124" spans="1:28" s="32" customFormat="1" ht="15" customHeight="1" x14ac:dyDescent="0.2">
      <c r="A124" s="338"/>
      <c r="B124" s="259" t="s">
        <v>867</v>
      </c>
      <c r="C124" s="332"/>
      <c r="D124" s="335"/>
      <c r="E124" s="162"/>
      <c r="F124" s="162"/>
      <c r="G124" s="162"/>
      <c r="H124" s="332"/>
      <c r="I124" s="335"/>
      <c r="J124" s="162"/>
      <c r="K124" s="162"/>
      <c r="L124" s="162"/>
      <c r="M124" s="335"/>
      <c r="N124" s="335"/>
      <c r="O124" s="162"/>
      <c r="P124" s="162"/>
      <c r="Q124" s="162"/>
      <c r="R124" s="335"/>
      <c r="S124" s="335"/>
      <c r="T124" s="162"/>
      <c r="U124" s="162"/>
      <c r="V124" s="162"/>
      <c r="W124" s="335"/>
      <c r="X124" s="335"/>
      <c r="Y124" s="162"/>
      <c r="Z124" s="162"/>
      <c r="AA124" s="162"/>
      <c r="AB124" s="332"/>
    </row>
    <row r="125" spans="1:28" s="32" customFormat="1" ht="15" customHeight="1" x14ac:dyDescent="0.2">
      <c r="A125" s="341"/>
      <c r="B125" s="258" t="s">
        <v>880</v>
      </c>
      <c r="C125" s="333"/>
      <c r="D125" s="336"/>
      <c r="E125" s="162"/>
      <c r="F125" s="162"/>
      <c r="G125" s="162"/>
      <c r="H125" s="333"/>
      <c r="I125" s="336"/>
      <c r="J125" s="162"/>
      <c r="K125" s="162"/>
      <c r="L125" s="162"/>
      <c r="M125" s="336"/>
      <c r="N125" s="336"/>
      <c r="O125" s="162"/>
      <c r="P125" s="162"/>
      <c r="Q125" s="162"/>
      <c r="R125" s="336"/>
      <c r="S125" s="336"/>
      <c r="T125" s="162"/>
      <c r="U125" s="162"/>
      <c r="V125" s="162"/>
      <c r="W125" s="336"/>
      <c r="X125" s="336"/>
      <c r="Y125" s="162"/>
      <c r="Z125" s="162"/>
      <c r="AA125" s="162"/>
      <c r="AB125" s="333"/>
    </row>
    <row r="126" spans="1:28" s="32" customFormat="1" ht="22.15" customHeight="1" x14ac:dyDescent="0.2">
      <c r="A126" s="277">
        <v>11</v>
      </c>
      <c r="B126" s="258" t="s">
        <v>840</v>
      </c>
      <c r="C126" s="161">
        <f t="shared" ref="C126" si="7">SUM(D126:G126)</f>
        <v>1352</v>
      </c>
      <c r="D126" s="162">
        <v>1352</v>
      </c>
      <c r="E126" s="162">
        <v>0</v>
      </c>
      <c r="F126" s="162">
        <v>0</v>
      </c>
      <c r="G126" s="162">
        <v>0</v>
      </c>
      <c r="H126" s="161">
        <f t="shared" ref="H126:H127" si="8">SUM(I126:L126)</f>
        <v>1352</v>
      </c>
      <c r="I126" s="162">
        <v>1352</v>
      </c>
      <c r="J126" s="162">
        <v>0</v>
      </c>
      <c r="K126" s="162">
        <v>0</v>
      </c>
      <c r="L126" s="162">
        <v>0</v>
      </c>
      <c r="M126" s="161">
        <f t="shared" ref="M126:M127" si="9">SUM(N126:Q126)</f>
        <v>4500</v>
      </c>
      <c r="N126" s="162">
        <v>4500</v>
      </c>
      <c r="O126" s="162">
        <v>0</v>
      </c>
      <c r="P126" s="162">
        <v>0</v>
      </c>
      <c r="Q126" s="162">
        <v>0</v>
      </c>
      <c r="R126" s="161">
        <f t="shared" ref="R126:R127" si="10">SUM(S126:V126)</f>
        <v>4500</v>
      </c>
      <c r="S126" s="162">
        <v>4500</v>
      </c>
      <c r="T126" s="162">
        <v>0</v>
      </c>
      <c r="U126" s="162">
        <v>0</v>
      </c>
      <c r="V126" s="162">
        <v>0</v>
      </c>
      <c r="W126" s="161">
        <f t="shared" ref="W126:W127" si="11">SUM(X126:AA126)</f>
        <v>4500</v>
      </c>
      <c r="X126" s="162">
        <v>4500</v>
      </c>
      <c r="Y126" s="162">
        <v>0</v>
      </c>
      <c r="Z126" s="162">
        <v>0</v>
      </c>
      <c r="AA126" s="162">
        <v>0</v>
      </c>
      <c r="AB126" s="161">
        <f t="shared" si="6"/>
        <v>16204</v>
      </c>
    </row>
    <row r="127" spans="1:28" s="32" customFormat="1" ht="21.6" customHeight="1" x14ac:dyDescent="0.2">
      <c r="A127" s="277">
        <v>12</v>
      </c>
      <c r="B127" s="251" t="s">
        <v>203</v>
      </c>
      <c r="C127" s="161">
        <f t="shared" ref="C127" si="12">SUM(D127:G127)</f>
        <v>0</v>
      </c>
      <c r="D127" s="162">
        <v>0</v>
      </c>
      <c r="E127" s="162">
        <v>0</v>
      </c>
      <c r="F127" s="162">
        <v>0</v>
      </c>
      <c r="G127" s="162">
        <v>0</v>
      </c>
      <c r="H127" s="161">
        <f t="shared" si="8"/>
        <v>0</v>
      </c>
      <c r="I127" s="162">
        <v>0</v>
      </c>
      <c r="J127" s="162">
        <v>0</v>
      </c>
      <c r="K127" s="162">
        <v>0</v>
      </c>
      <c r="L127" s="162">
        <v>0</v>
      </c>
      <c r="M127" s="161">
        <f t="shared" si="9"/>
        <v>892.8</v>
      </c>
      <c r="N127" s="162">
        <v>892.8</v>
      </c>
      <c r="O127" s="162">
        <v>0</v>
      </c>
      <c r="P127" s="162">
        <v>0</v>
      </c>
      <c r="Q127" s="162">
        <v>0</v>
      </c>
      <c r="R127" s="161">
        <f t="shared" si="10"/>
        <v>892.8</v>
      </c>
      <c r="S127" s="162">
        <v>892.8</v>
      </c>
      <c r="T127" s="162">
        <v>0</v>
      </c>
      <c r="U127" s="162">
        <v>0</v>
      </c>
      <c r="V127" s="162">
        <v>0</v>
      </c>
      <c r="W127" s="161">
        <f t="shared" si="11"/>
        <v>0</v>
      </c>
      <c r="X127" s="162">
        <v>0</v>
      </c>
      <c r="Y127" s="162">
        <v>0</v>
      </c>
      <c r="Z127" s="162">
        <v>0</v>
      </c>
      <c r="AA127" s="162">
        <v>0</v>
      </c>
      <c r="AB127" s="161">
        <f t="shared" si="6"/>
        <v>1785.6</v>
      </c>
    </row>
    <row r="128" spans="1:28" s="32" customFormat="1" ht="24.6" customHeight="1" x14ac:dyDescent="0.2">
      <c r="A128" s="277">
        <v>13</v>
      </c>
      <c r="B128" s="251" t="s">
        <v>201</v>
      </c>
      <c r="C128" s="161">
        <f t="shared" ref="C128" si="13">SUM(D128:G128)</f>
        <v>4176</v>
      </c>
      <c r="D128" s="162">
        <v>4176</v>
      </c>
      <c r="E128" s="162">
        <v>0</v>
      </c>
      <c r="F128" s="162">
        <v>0</v>
      </c>
      <c r="G128" s="162">
        <v>0</v>
      </c>
      <c r="H128" s="161">
        <f t="shared" ref="H128" si="14">SUM(I128:L128)</f>
        <v>4176</v>
      </c>
      <c r="I128" s="162">
        <v>4176</v>
      </c>
      <c r="J128" s="162">
        <v>0</v>
      </c>
      <c r="K128" s="162">
        <v>0</v>
      </c>
      <c r="L128" s="162">
        <v>0</v>
      </c>
      <c r="M128" s="161">
        <f t="shared" ref="M128" si="15">SUM(N128:Q128)</f>
        <v>4176</v>
      </c>
      <c r="N128" s="162">
        <v>4176</v>
      </c>
      <c r="O128" s="162">
        <v>0</v>
      </c>
      <c r="P128" s="162">
        <v>0</v>
      </c>
      <c r="Q128" s="162">
        <v>0</v>
      </c>
      <c r="R128" s="161">
        <f t="shared" ref="R128" si="16">SUM(S128:V128)</f>
        <v>4176</v>
      </c>
      <c r="S128" s="162">
        <v>4176</v>
      </c>
      <c r="T128" s="162">
        <v>0</v>
      </c>
      <c r="U128" s="162">
        <v>0</v>
      </c>
      <c r="V128" s="162">
        <v>0</v>
      </c>
      <c r="W128" s="161">
        <f t="shared" ref="W128" si="17">SUM(X128:AA128)</f>
        <v>4176</v>
      </c>
      <c r="X128" s="162">
        <v>4176</v>
      </c>
      <c r="Y128" s="162">
        <v>0</v>
      </c>
      <c r="Z128" s="162">
        <v>0</v>
      </c>
      <c r="AA128" s="162">
        <v>0</v>
      </c>
      <c r="AB128" s="161">
        <f t="shared" si="6"/>
        <v>20880</v>
      </c>
    </row>
    <row r="129" spans="1:29" s="32" customFormat="1" ht="22.9" customHeight="1" x14ac:dyDescent="0.2">
      <c r="A129" s="277">
        <v>14</v>
      </c>
      <c r="B129" s="251" t="s">
        <v>197</v>
      </c>
      <c r="C129" s="161">
        <f>D129+E129+F129+G129</f>
        <v>26139</v>
      </c>
      <c r="D129" s="162">
        <v>26139</v>
      </c>
      <c r="E129" s="162">
        <v>0</v>
      </c>
      <c r="F129" s="162">
        <v>0</v>
      </c>
      <c r="G129" s="162">
        <v>0</v>
      </c>
      <c r="H129" s="161">
        <f>I129+J129+K129+L129</f>
        <v>26139</v>
      </c>
      <c r="I129" s="162">
        <v>26139</v>
      </c>
      <c r="J129" s="162">
        <v>0</v>
      </c>
      <c r="K129" s="162">
        <v>0</v>
      </c>
      <c r="L129" s="162">
        <v>0</v>
      </c>
      <c r="M129" s="161">
        <f>N129+O129+P129+Q129</f>
        <v>26839</v>
      </c>
      <c r="N129" s="162">
        <v>26839</v>
      </c>
      <c r="O129" s="162">
        <v>0</v>
      </c>
      <c r="P129" s="162">
        <v>0</v>
      </c>
      <c r="Q129" s="162">
        <v>0</v>
      </c>
      <c r="R129" s="161">
        <f>S129+T129+U129+V129</f>
        <v>26839</v>
      </c>
      <c r="S129" s="162">
        <f>26539+300</f>
        <v>26839</v>
      </c>
      <c r="T129" s="162">
        <v>0</v>
      </c>
      <c r="U129" s="162">
        <v>0</v>
      </c>
      <c r="V129" s="162">
        <v>0</v>
      </c>
      <c r="W129" s="161">
        <f>X129+Y129+Z129+AA129</f>
        <v>26839</v>
      </c>
      <c r="X129" s="162">
        <f>26539+300</f>
        <v>26839</v>
      </c>
      <c r="Y129" s="162">
        <v>0</v>
      </c>
      <c r="Z129" s="162">
        <v>0</v>
      </c>
      <c r="AA129" s="162">
        <v>0</v>
      </c>
      <c r="AB129" s="161">
        <f>C129+H129+M129+R129+W129</f>
        <v>132795</v>
      </c>
    </row>
    <row r="130" spans="1:29" s="81" customFormat="1" ht="30.6" customHeight="1" x14ac:dyDescent="0.2">
      <c r="A130" s="344" t="s">
        <v>729</v>
      </c>
      <c r="B130" s="344"/>
      <c r="C130" s="163">
        <f>SUM(C7:C129)</f>
        <v>175472</v>
      </c>
      <c r="D130" s="163">
        <f t="shared" ref="D130:AB130" si="18">SUM(D7:D129)</f>
        <v>175472</v>
      </c>
      <c r="E130" s="163">
        <f t="shared" si="18"/>
        <v>0</v>
      </c>
      <c r="F130" s="163">
        <f t="shared" si="18"/>
        <v>0</v>
      </c>
      <c r="G130" s="163">
        <f t="shared" si="18"/>
        <v>0</v>
      </c>
      <c r="H130" s="163">
        <f t="shared" si="18"/>
        <v>100493</v>
      </c>
      <c r="I130" s="163">
        <f t="shared" si="18"/>
        <v>100493</v>
      </c>
      <c r="J130" s="163">
        <f t="shared" si="18"/>
        <v>0</v>
      </c>
      <c r="K130" s="163">
        <f t="shared" si="18"/>
        <v>0</v>
      </c>
      <c r="L130" s="163">
        <f t="shared" si="18"/>
        <v>0</v>
      </c>
      <c r="M130" s="163">
        <f t="shared" si="18"/>
        <v>66188.800000000003</v>
      </c>
      <c r="N130" s="163">
        <f t="shared" si="18"/>
        <v>66188.800000000003</v>
      </c>
      <c r="O130" s="163">
        <f t="shared" si="18"/>
        <v>0</v>
      </c>
      <c r="P130" s="163">
        <f t="shared" si="18"/>
        <v>0</v>
      </c>
      <c r="Q130" s="163">
        <f t="shared" si="18"/>
        <v>0</v>
      </c>
      <c r="R130" s="163">
        <f t="shared" si="18"/>
        <v>66188.800000000003</v>
      </c>
      <c r="S130" s="163">
        <f t="shared" si="18"/>
        <v>66188.800000000003</v>
      </c>
      <c r="T130" s="163">
        <f t="shared" si="18"/>
        <v>0</v>
      </c>
      <c r="U130" s="163">
        <f t="shared" si="18"/>
        <v>0</v>
      </c>
      <c r="V130" s="163">
        <f t="shared" si="18"/>
        <v>0</v>
      </c>
      <c r="W130" s="163">
        <f t="shared" si="18"/>
        <v>65296</v>
      </c>
      <c r="X130" s="163">
        <f t="shared" si="18"/>
        <v>65296</v>
      </c>
      <c r="Y130" s="163">
        <f t="shared" si="18"/>
        <v>0</v>
      </c>
      <c r="Z130" s="163">
        <f t="shared" si="18"/>
        <v>0</v>
      </c>
      <c r="AA130" s="163">
        <f t="shared" si="18"/>
        <v>0</v>
      </c>
      <c r="AB130" s="163">
        <f t="shared" si="18"/>
        <v>473638.6</v>
      </c>
      <c r="AC130" s="159"/>
    </row>
    <row r="131" spans="1:29" s="84" customFormat="1" ht="42" customHeight="1" x14ac:dyDescent="0.2">
      <c r="A131" s="288"/>
      <c r="B131" s="275"/>
      <c r="C131" s="2"/>
      <c r="D131" s="6"/>
      <c r="E131" s="6"/>
      <c r="F131" s="6"/>
      <c r="G131" s="6"/>
      <c r="H131" s="2"/>
      <c r="I131" s="6"/>
      <c r="J131" s="6"/>
      <c r="K131" s="6"/>
      <c r="L131" s="6"/>
      <c r="M131" s="2"/>
      <c r="N131" s="6"/>
      <c r="O131" s="6"/>
      <c r="P131" s="6"/>
      <c r="Q131" s="6"/>
      <c r="R131" s="2"/>
      <c r="S131" s="6"/>
      <c r="T131" s="6"/>
      <c r="U131" s="6"/>
      <c r="V131" s="6"/>
      <c r="W131" s="2"/>
      <c r="X131" s="32"/>
      <c r="Y131" s="32"/>
      <c r="Z131" s="32"/>
      <c r="AA131" s="32"/>
      <c r="AB131" s="81"/>
      <c r="AC131" s="32"/>
    </row>
    <row r="132" spans="1:29" s="262" customFormat="1" ht="42" customHeight="1" x14ac:dyDescent="0.2">
      <c r="A132" s="289"/>
      <c r="B132" s="276"/>
      <c r="C132" s="290"/>
      <c r="D132" s="207"/>
      <c r="E132" s="207"/>
      <c r="F132" s="207"/>
      <c r="G132" s="207"/>
      <c r="H132" s="206"/>
      <c r="I132" s="291"/>
      <c r="J132" s="291"/>
      <c r="K132" s="291"/>
      <c r="L132" s="291"/>
      <c r="M132" s="290"/>
      <c r="N132" s="291"/>
      <c r="O132" s="291"/>
      <c r="P132" s="291"/>
      <c r="Q132" s="291"/>
      <c r="R132" s="290"/>
      <c r="S132" s="291"/>
      <c r="T132" s="291"/>
      <c r="U132" s="291"/>
      <c r="V132" s="291"/>
      <c r="W132" s="290"/>
      <c r="X132" s="292"/>
      <c r="Y132" s="292"/>
      <c r="Z132" s="292"/>
      <c r="AA132" s="292"/>
      <c r="AB132" s="263"/>
      <c r="AC132" s="264"/>
    </row>
    <row r="133" spans="1:29" s="84" customFormat="1" ht="42" customHeight="1" x14ac:dyDescent="0.2">
      <c r="A133" s="288"/>
      <c r="B133" s="275"/>
      <c r="C133" s="2"/>
      <c r="D133" s="6"/>
      <c r="E133" s="6"/>
      <c r="F133" s="6"/>
      <c r="G133" s="6"/>
      <c r="H133" s="2"/>
      <c r="I133" s="6"/>
      <c r="J133" s="6"/>
      <c r="K133" s="6"/>
      <c r="L133" s="6"/>
      <c r="M133" s="2"/>
      <c r="N133" s="6"/>
      <c r="O133" s="6"/>
      <c r="P133" s="6"/>
      <c r="Q133" s="6"/>
      <c r="R133" s="2"/>
      <c r="S133" s="6"/>
      <c r="T133" s="6"/>
      <c r="U133" s="6"/>
      <c r="V133" s="6"/>
      <c r="W133" s="2"/>
      <c r="X133" s="32"/>
      <c r="Y133" s="32"/>
      <c r="Z133" s="32"/>
      <c r="AA133" s="32"/>
      <c r="AB133" s="81"/>
      <c r="AC133" s="39"/>
    </row>
    <row r="134" spans="1:29" s="84" customFormat="1" ht="42" customHeight="1" x14ac:dyDescent="0.2">
      <c r="A134" s="288"/>
      <c r="B134" s="275"/>
      <c r="C134" s="2"/>
      <c r="D134" s="6"/>
      <c r="E134" s="6"/>
      <c r="F134" s="6"/>
      <c r="G134" s="6"/>
      <c r="H134" s="2"/>
      <c r="I134" s="6"/>
      <c r="J134" s="6"/>
      <c r="K134" s="6"/>
      <c r="L134" s="6"/>
      <c r="M134" s="2"/>
      <c r="N134" s="6"/>
      <c r="O134" s="6"/>
      <c r="P134" s="6"/>
      <c r="Q134" s="6"/>
      <c r="R134" s="2"/>
      <c r="S134" s="6"/>
      <c r="T134" s="6"/>
      <c r="U134" s="6"/>
      <c r="V134" s="6"/>
      <c r="W134" s="2"/>
      <c r="X134" s="32"/>
      <c r="Y134" s="32"/>
      <c r="Z134" s="32"/>
      <c r="AA134" s="32"/>
      <c r="AB134" s="81"/>
      <c r="AC134" s="39"/>
    </row>
    <row r="135" spans="1:29" s="84" customFormat="1" ht="42" customHeight="1" x14ac:dyDescent="0.2">
      <c r="A135" s="288"/>
      <c r="B135" s="275"/>
      <c r="C135" s="2"/>
      <c r="D135" s="6"/>
      <c r="E135" s="6"/>
      <c r="F135" s="6"/>
      <c r="G135" s="6"/>
      <c r="H135" s="2"/>
      <c r="I135" s="6"/>
      <c r="J135" s="6"/>
      <c r="K135" s="6"/>
      <c r="L135" s="6"/>
      <c r="M135" s="2"/>
      <c r="N135" s="6"/>
      <c r="O135" s="6"/>
      <c r="P135" s="6"/>
      <c r="Q135" s="6"/>
      <c r="R135" s="2"/>
      <c r="S135" s="6"/>
      <c r="T135" s="6"/>
      <c r="U135" s="6"/>
      <c r="V135" s="6"/>
      <c r="W135" s="2"/>
      <c r="X135" s="32"/>
      <c r="Y135" s="32"/>
      <c r="Z135" s="32"/>
      <c r="AA135" s="32"/>
      <c r="AB135" s="81"/>
      <c r="AC135" s="39"/>
    </row>
    <row r="136" spans="1:29" s="84" customFormat="1" ht="42" customHeight="1" x14ac:dyDescent="0.2">
      <c r="A136" s="288"/>
      <c r="B136" s="275"/>
      <c r="C136" s="2"/>
      <c r="D136" s="6"/>
      <c r="E136" s="6"/>
      <c r="F136" s="6"/>
      <c r="G136" s="6"/>
      <c r="H136" s="2"/>
      <c r="I136" s="6"/>
      <c r="J136" s="6"/>
      <c r="K136" s="6"/>
      <c r="L136" s="6"/>
      <c r="M136" s="2"/>
      <c r="N136" s="6"/>
      <c r="O136" s="6"/>
      <c r="P136" s="6"/>
      <c r="Q136" s="6"/>
      <c r="R136" s="2"/>
      <c r="S136" s="6"/>
      <c r="T136" s="6"/>
      <c r="U136" s="6"/>
      <c r="V136" s="6"/>
      <c r="W136" s="2"/>
      <c r="X136" s="32"/>
      <c r="Y136" s="32"/>
      <c r="Z136" s="32"/>
      <c r="AA136" s="32"/>
      <c r="AB136" s="81"/>
      <c r="AC136" s="39"/>
    </row>
    <row r="137" spans="1:29" s="84" customFormat="1" ht="42" customHeight="1" x14ac:dyDescent="0.2">
      <c r="A137" s="288"/>
      <c r="B137" s="275"/>
      <c r="C137" s="2"/>
      <c r="D137" s="6"/>
      <c r="E137" s="6"/>
      <c r="F137" s="6"/>
      <c r="G137" s="6"/>
      <c r="H137" s="2"/>
      <c r="I137" s="6"/>
      <c r="J137" s="6"/>
      <c r="K137" s="6"/>
      <c r="L137" s="6"/>
      <c r="M137" s="2"/>
      <c r="N137" s="6"/>
      <c r="O137" s="6"/>
      <c r="P137" s="6"/>
      <c r="Q137" s="6"/>
      <c r="R137" s="2"/>
      <c r="S137" s="6"/>
      <c r="T137" s="6"/>
      <c r="U137" s="6"/>
      <c r="V137" s="6"/>
      <c r="W137" s="2"/>
      <c r="X137" s="32"/>
      <c r="Y137" s="32"/>
      <c r="Z137" s="32"/>
      <c r="AA137" s="32"/>
      <c r="AB137" s="81"/>
      <c r="AC137" s="39"/>
    </row>
    <row r="138" spans="1:29" s="84" customFormat="1" ht="42" customHeight="1" x14ac:dyDescent="0.2">
      <c r="A138" s="288"/>
      <c r="B138" s="275"/>
      <c r="C138" s="2"/>
      <c r="D138" s="6"/>
      <c r="E138" s="6"/>
      <c r="F138" s="6"/>
      <c r="G138" s="6"/>
      <c r="H138" s="2"/>
      <c r="I138" s="6"/>
      <c r="J138" s="6"/>
      <c r="K138" s="6"/>
      <c r="L138" s="6"/>
      <c r="M138" s="2"/>
      <c r="N138" s="6"/>
      <c r="O138" s="6"/>
      <c r="P138" s="6"/>
      <c r="Q138" s="6"/>
      <c r="R138" s="2"/>
      <c r="S138" s="6"/>
      <c r="T138" s="6"/>
      <c r="U138" s="6"/>
      <c r="V138" s="6"/>
      <c r="W138" s="2"/>
      <c r="X138" s="32"/>
      <c r="Y138" s="32"/>
      <c r="Z138" s="32"/>
      <c r="AA138" s="32"/>
      <c r="AB138" s="81"/>
      <c r="AC138" s="39"/>
    </row>
    <row r="139" spans="1:29" s="84" customFormat="1" ht="42" customHeight="1" x14ac:dyDescent="0.2">
      <c r="A139" s="288"/>
      <c r="B139" s="275"/>
      <c r="C139" s="2"/>
      <c r="D139" s="6"/>
      <c r="E139" s="6"/>
      <c r="F139" s="6"/>
      <c r="G139" s="6"/>
      <c r="H139" s="2"/>
      <c r="I139" s="6"/>
      <c r="J139" s="6"/>
      <c r="K139" s="6"/>
      <c r="L139" s="6"/>
      <c r="M139" s="2"/>
      <c r="N139" s="6"/>
      <c r="O139" s="6"/>
      <c r="P139" s="6"/>
      <c r="Q139" s="6"/>
      <c r="R139" s="2"/>
      <c r="S139" s="6"/>
      <c r="T139" s="6"/>
      <c r="U139" s="6"/>
      <c r="V139" s="6"/>
      <c r="W139" s="2"/>
      <c r="X139" s="32"/>
      <c r="Y139" s="32"/>
      <c r="Z139" s="32"/>
      <c r="AA139" s="32"/>
      <c r="AB139" s="81"/>
      <c r="AC139" s="39"/>
    </row>
    <row r="140" spans="1:29" s="84" customFormat="1" ht="42" customHeight="1" x14ac:dyDescent="0.2">
      <c r="A140" s="288"/>
      <c r="B140" s="275"/>
      <c r="C140" s="2"/>
      <c r="D140" s="6"/>
      <c r="E140" s="6"/>
      <c r="F140" s="6"/>
      <c r="G140" s="6"/>
      <c r="H140" s="2"/>
      <c r="I140" s="6"/>
      <c r="J140" s="6"/>
      <c r="K140" s="6"/>
      <c r="L140" s="6"/>
      <c r="M140" s="2"/>
      <c r="N140" s="6"/>
      <c r="O140" s="6"/>
      <c r="P140" s="6"/>
      <c r="Q140" s="6"/>
      <c r="R140" s="2"/>
      <c r="S140" s="6"/>
      <c r="T140" s="6"/>
      <c r="U140" s="6"/>
      <c r="V140" s="6"/>
      <c r="W140" s="2"/>
      <c r="X140" s="32"/>
      <c r="Y140" s="32"/>
      <c r="Z140" s="32"/>
      <c r="AA140" s="32"/>
      <c r="AB140" s="81"/>
      <c r="AC140" s="39"/>
    </row>
    <row r="141" spans="1:29" s="84" customFormat="1" ht="42" customHeight="1" x14ac:dyDescent="0.2">
      <c r="A141" s="288"/>
      <c r="B141" s="275"/>
      <c r="C141" s="2"/>
      <c r="D141" s="6"/>
      <c r="E141" s="6"/>
      <c r="F141" s="6"/>
      <c r="G141" s="6"/>
      <c r="H141" s="2"/>
      <c r="I141" s="6"/>
      <c r="J141" s="6"/>
      <c r="K141" s="6"/>
      <c r="L141" s="6"/>
      <c r="M141" s="2"/>
      <c r="N141" s="6"/>
      <c r="O141" s="6"/>
      <c r="P141" s="6"/>
      <c r="Q141" s="6"/>
      <c r="R141" s="2"/>
      <c r="S141" s="6"/>
      <c r="T141" s="6"/>
      <c r="U141" s="6"/>
      <c r="V141" s="6"/>
      <c r="W141" s="2"/>
      <c r="X141" s="32"/>
      <c r="Y141" s="32"/>
      <c r="Z141" s="32"/>
      <c r="AA141" s="32"/>
      <c r="AB141" s="81"/>
      <c r="AC141" s="39"/>
    </row>
    <row r="142" spans="1:29" s="84" customFormat="1" ht="42" customHeight="1" x14ac:dyDescent="0.2">
      <c r="A142" s="288"/>
      <c r="B142" s="275"/>
      <c r="C142" s="2"/>
      <c r="D142" s="6"/>
      <c r="E142" s="6"/>
      <c r="F142" s="6"/>
      <c r="G142" s="6"/>
      <c r="H142" s="2"/>
      <c r="I142" s="6"/>
      <c r="J142" s="6"/>
      <c r="K142" s="6"/>
      <c r="L142" s="6"/>
      <c r="M142" s="2"/>
      <c r="N142" s="6"/>
      <c r="O142" s="6"/>
      <c r="P142" s="6"/>
      <c r="Q142" s="6"/>
      <c r="R142" s="2"/>
      <c r="S142" s="6"/>
      <c r="T142" s="6"/>
      <c r="U142" s="6"/>
      <c r="V142" s="6"/>
      <c r="W142" s="2"/>
      <c r="X142" s="32"/>
      <c r="Y142" s="32"/>
      <c r="Z142" s="32"/>
      <c r="AA142" s="32"/>
      <c r="AB142" s="81"/>
      <c r="AC142" s="39"/>
    </row>
    <row r="143" spans="1:29" s="84" customFormat="1" ht="42" customHeight="1" x14ac:dyDescent="0.2">
      <c r="A143" s="288"/>
      <c r="B143" s="275"/>
      <c r="C143" s="2"/>
      <c r="D143" s="6"/>
      <c r="E143" s="6"/>
      <c r="F143" s="6"/>
      <c r="G143" s="6"/>
      <c r="H143" s="2"/>
      <c r="I143" s="6"/>
      <c r="J143" s="6"/>
      <c r="K143" s="6"/>
      <c r="L143" s="6"/>
      <c r="M143" s="2"/>
      <c r="N143" s="6"/>
      <c r="O143" s="6"/>
      <c r="P143" s="6"/>
      <c r="Q143" s="6"/>
      <c r="R143" s="2"/>
      <c r="S143" s="6"/>
      <c r="T143" s="6"/>
      <c r="U143" s="6"/>
      <c r="V143" s="6"/>
      <c r="W143" s="2"/>
      <c r="X143" s="32"/>
      <c r="Y143" s="32"/>
      <c r="Z143" s="32"/>
      <c r="AA143" s="32"/>
      <c r="AB143" s="81"/>
      <c r="AC143" s="39"/>
    </row>
    <row r="144" spans="1:29" s="84" customFormat="1" ht="42" customHeight="1" x14ac:dyDescent="0.2">
      <c r="A144" s="288"/>
      <c r="B144" s="275"/>
      <c r="C144" s="2"/>
      <c r="D144" s="6"/>
      <c r="E144" s="6"/>
      <c r="F144" s="6"/>
      <c r="G144" s="6"/>
      <c r="H144" s="2"/>
      <c r="I144" s="6"/>
      <c r="J144" s="6"/>
      <c r="K144" s="6"/>
      <c r="L144" s="6"/>
      <c r="M144" s="2"/>
      <c r="N144" s="6"/>
      <c r="O144" s="6"/>
      <c r="P144" s="6"/>
      <c r="Q144" s="6"/>
      <c r="R144" s="2"/>
      <c r="S144" s="6"/>
      <c r="T144" s="6"/>
      <c r="U144" s="6"/>
      <c r="V144" s="6"/>
      <c r="W144" s="2"/>
      <c r="X144" s="32"/>
      <c r="Y144" s="32"/>
      <c r="Z144" s="32"/>
      <c r="AA144" s="32"/>
      <c r="AB144" s="81"/>
      <c r="AC144" s="39"/>
    </row>
    <row r="145" spans="1:29" s="84" customFormat="1" ht="42" customHeight="1" x14ac:dyDescent="0.2">
      <c r="A145" s="288"/>
      <c r="B145" s="275"/>
      <c r="C145" s="2"/>
      <c r="D145" s="6"/>
      <c r="E145" s="6"/>
      <c r="F145" s="6"/>
      <c r="G145" s="6"/>
      <c r="H145" s="2"/>
      <c r="I145" s="6"/>
      <c r="J145" s="6"/>
      <c r="K145" s="6"/>
      <c r="L145" s="6"/>
      <c r="M145" s="2"/>
      <c r="N145" s="6"/>
      <c r="O145" s="6"/>
      <c r="P145" s="6"/>
      <c r="Q145" s="6"/>
      <c r="R145" s="2"/>
      <c r="S145" s="6"/>
      <c r="T145" s="6"/>
      <c r="U145" s="6"/>
      <c r="V145" s="6"/>
      <c r="W145" s="2"/>
      <c r="X145" s="32"/>
      <c r="Y145" s="32"/>
      <c r="Z145" s="32"/>
      <c r="AA145" s="32"/>
      <c r="AB145" s="81"/>
      <c r="AC145" s="39"/>
    </row>
    <row r="146" spans="1:29" s="84" customFormat="1" ht="42" customHeight="1" x14ac:dyDescent="0.2">
      <c r="A146" s="288"/>
      <c r="B146" s="275"/>
      <c r="C146" s="2"/>
      <c r="D146" s="6"/>
      <c r="E146" s="6"/>
      <c r="F146" s="6"/>
      <c r="G146" s="6"/>
      <c r="H146" s="2"/>
      <c r="I146" s="6"/>
      <c r="J146" s="6"/>
      <c r="K146" s="6"/>
      <c r="L146" s="6"/>
      <c r="M146" s="2"/>
      <c r="N146" s="6"/>
      <c r="O146" s="6"/>
      <c r="P146" s="6"/>
      <c r="Q146" s="6"/>
      <c r="R146" s="2"/>
      <c r="S146" s="6"/>
      <c r="T146" s="6"/>
      <c r="U146" s="6"/>
      <c r="V146" s="6"/>
      <c r="W146" s="2"/>
      <c r="X146" s="32"/>
      <c r="Y146" s="32"/>
      <c r="Z146" s="32"/>
      <c r="AA146" s="32"/>
      <c r="AB146" s="81"/>
      <c r="AC146" s="39"/>
    </row>
    <row r="147" spans="1:29" s="84" customFormat="1" ht="42" customHeight="1" x14ac:dyDescent="0.2">
      <c r="A147" s="288"/>
      <c r="B147" s="275"/>
      <c r="C147" s="2"/>
      <c r="D147" s="6"/>
      <c r="E147" s="6"/>
      <c r="F147" s="6"/>
      <c r="G147" s="6"/>
      <c r="H147" s="2"/>
      <c r="I147" s="6"/>
      <c r="J147" s="6"/>
      <c r="K147" s="6"/>
      <c r="L147" s="6"/>
      <c r="M147" s="2"/>
      <c r="N147" s="6"/>
      <c r="O147" s="6"/>
      <c r="P147" s="6"/>
      <c r="Q147" s="6"/>
      <c r="R147" s="2"/>
      <c r="S147" s="6"/>
      <c r="T147" s="6"/>
      <c r="U147" s="6"/>
      <c r="V147" s="6"/>
      <c r="W147" s="2"/>
      <c r="X147" s="32"/>
      <c r="Y147" s="32"/>
      <c r="Z147" s="32"/>
      <c r="AA147" s="32"/>
      <c r="AB147" s="81"/>
      <c r="AC147" s="39"/>
    </row>
    <row r="148" spans="1:29" s="84" customFormat="1" ht="42" customHeight="1" x14ac:dyDescent="0.2">
      <c r="A148" s="288"/>
      <c r="B148" s="275"/>
      <c r="C148" s="2"/>
      <c r="D148" s="6"/>
      <c r="E148" s="6"/>
      <c r="F148" s="6"/>
      <c r="G148" s="6"/>
      <c r="H148" s="2"/>
      <c r="I148" s="6"/>
      <c r="J148" s="6"/>
      <c r="K148" s="6"/>
      <c r="L148" s="6"/>
      <c r="M148" s="2"/>
      <c r="N148" s="6"/>
      <c r="O148" s="6"/>
      <c r="P148" s="6"/>
      <c r="Q148" s="6"/>
      <c r="R148" s="2"/>
      <c r="S148" s="6"/>
      <c r="T148" s="6"/>
      <c r="U148" s="6"/>
      <c r="V148" s="6"/>
      <c r="W148" s="2"/>
      <c r="X148" s="32"/>
      <c r="Y148" s="32"/>
      <c r="Z148" s="32"/>
      <c r="AA148" s="32"/>
      <c r="AB148" s="81"/>
      <c r="AC148" s="39"/>
    </row>
    <row r="149" spans="1:29" s="84" customFormat="1" ht="42" customHeight="1" x14ac:dyDescent="0.2">
      <c r="A149" s="288"/>
      <c r="B149" s="275"/>
      <c r="C149" s="2"/>
      <c r="D149" s="6"/>
      <c r="E149" s="6"/>
      <c r="F149" s="6"/>
      <c r="G149" s="6"/>
      <c r="H149" s="2"/>
      <c r="I149" s="6"/>
      <c r="J149" s="6"/>
      <c r="K149" s="6"/>
      <c r="L149" s="6"/>
      <c r="M149" s="2"/>
      <c r="N149" s="6"/>
      <c r="O149" s="6"/>
      <c r="P149" s="6"/>
      <c r="Q149" s="6"/>
      <c r="R149" s="2"/>
      <c r="S149" s="6"/>
      <c r="T149" s="6"/>
      <c r="U149" s="6"/>
      <c r="V149" s="6"/>
      <c r="W149" s="2"/>
      <c r="X149" s="32"/>
      <c r="Y149" s="32"/>
      <c r="Z149" s="32"/>
      <c r="AA149" s="32"/>
      <c r="AB149" s="81"/>
      <c r="AC149" s="39"/>
    </row>
    <row r="150" spans="1:29" s="84" customFormat="1" ht="42" customHeight="1" x14ac:dyDescent="0.2">
      <c r="A150" s="288"/>
      <c r="B150" s="275"/>
      <c r="C150" s="2"/>
      <c r="D150" s="6"/>
      <c r="E150" s="6"/>
      <c r="F150" s="6"/>
      <c r="G150" s="6"/>
      <c r="H150" s="2"/>
      <c r="I150" s="6"/>
      <c r="J150" s="6"/>
      <c r="K150" s="6"/>
      <c r="L150" s="6"/>
      <c r="M150" s="2"/>
      <c r="N150" s="6"/>
      <c r="O150" s="6"/>
      <c r="P150" s="6"/>
      <c r="Q150" s="6"/>
      <c r="R150" s="2"/>
      <c r="S150" s="6"/>
      <c r="T150" s="6"/>
      <c r="U150" s="6"/>
      <c r="V150" s="6"/>
      <c r="W150" s="2"/>
      <c r="X150" s="32"/>
      <c r="Y150" s="32"/>
      <c r="Z150" s="32"/>
      <c r="AA150" s="32"/>
      <c r="AB150" s="81"/>
      <c r="AC150" s="39"/>
    </row>
    <row r="151" spans="1:29" s="84" customFormat="1" ht="42" customHeight="1" x14ac:dyDescent="0.2">
      <c r="A151" s="288"/>
      <c r="B151" s="275"/>
      <c r="C151" s="2"/>
      <c r="D151" s="6"/>
      <c r="E151" s="6"/>
      <c r="F151" s="6"/>
      <c r="G151" s="6"/>
      <c r="H151" s="2"/>
      <c r="I151" s="6"/>
      <c r="J151" s="6"/>
      <c r="K151" s="6"/>
      <c r="L151" s="6"/>
      <c r="M151" s="2"/>
      <c r="N151" s="6"/>
      <c r="O151" s="6"/>
      <c r="P151" s="6"/>
      <c r="Q151" s="6"/>
      <c r="R151" s="2"/>
      <c r="S151" s="6"/>
      <c r="T151" s="6"/>
      <c r="U151" s="6"/>
      <c r="V151" s="6"/>
      <c r="W151" s="2"/>
      <c r="X151" s="32"/>
      <c r="Y151" s="32"/>
      <c r="Z151" s="32"/>
      <c r="AA151" s="32"/>
      <c r="AB151" s="81"/>
      <c r="AC151" s="39"/>
    </row>
    <row r="152" spans="1:29" s="84" customFormat="1" ht="42" customHeight="1" x14ac:dyDescent="0.2">
      <c r="A152" s="288"/>
      <c r="B152" s="275"/>
      <c r="C152" s="2"/>
      <c r="D152" s="6"/>
      <c r="E152" s="6"/>
      <c r="F152" s="6"/>
      <c r="G152" s="6"/>
      <c r="H152" s="2"/>
      <c r="I152" s="6"/>
      <c r="J152" s="6"/>
      <c r="K152" s="6"/>
      <c r="L152" s="6"/>
      <c r="M152" s="2"/>
      <c r="N152" s="6"/>
      <c r="O152" s="6"/>
      <c r="P152" s="6"/>
      <c r="Q152" s="6"/>
      <c r="R152" s="2"/>
      <c r="S152" s="6"/>
      <c r="T152" s="6"/>
      <c r="U152" s="6"/>
      <c r="V152" s="6"/>
      <c r="W152" s="2"/>
      <c r="X152" s="32"/>
      <c r="Y152" s="32"/>
      <c r="Z152" s="32"/>
      <c r="AA152" s="32"/>
      <c r="AB152" s="81"/>
      <c r="AC152" s="39"/>
    </row>
    <row r="153" spans="1:29" s="84" customFormat="1" ht="42" customHeight="1" x14ac:dyDescent="0.2">
      <c r="A153" s="288"/>
      <c r="B153" s="275"/>
      <c r="C153" s="2"/>
      <c r="D153" s="6"/>
      <c r="E153" s="6"/>
      <c r="F153" s="6"/>
      <c r="G153" s="6"/>
      <c r="H153" s="2"/>
      <c r="I153" s="6"/>
      <c r="J153" s="6"/>
      <c r="K153" s="6"/>
      <c r="L153" s="6"/>
      <c r="M153" s="2"/>
      <c r="N153" s="6"/>
      <c r="O153" s="6"/>
      <c r="P153" s="6"/>
      <c r="Q153" s="6"/>
      <c r="R153" s="2"/>
      <c r="S153" s="6"/>
      <c r="T153" s="6"/>
      <c r="U153" s="6"/>
      <c r="V153" s="6"/>
      <c r="W153" s="2"/>
      <c r="X153" s="32"/>
      <c r="Y153" s="32"/>
      <c r="Z153" s="32"/>
      <c r="AA153" s="32"/>
      <c r="AB153" s="81"/>
      <c r="AC153" s="39"/>
    </row>
    <row r="154" spans="1:29" s="84" customFormat="1" ht="42" customHeight="1" x14ac:dyDescent="0.2">
      <c r="A154" s="288"/>
      <c r="B154" s="275"/>
      <c r="C154" s="2"/>
      <c r="D154" s="6"/>
      <c r="E154" s="6"/>
      <c r="F154" s="6"/>
      <c r="G154" s="6"/>
      <c r="H154" s="2"/>
      <c r="I154" s="6"/>
      <c r="J154" s="6"/>
      <c r="K154" s="6"/>
      <c r="L154" s="6"/>
      <c r="M154" s="2"/>
      <c r="N154" s="6"/>
      <c r="O154" s="6"/>
      <c r="P154" s="6"/>
      <c r="Q154" s="6"/>
      <c r="R154" s="2"/>
      <c r="S154" s="6"/>
      <c r="T154" s="6"/>
      <c r="U154" s="6"/>
      <c r="V154" s="6"/>
      <c r="W154" s="2"/>
      <c r="X154" s="32"/>
      <c r="Y154" s="32"/>
      <c r="Z154" s="32"/>
      <c r="AA154" s="32"/>
      <c r="AB154" s="81"/>
      <c r="AC154" s="39"/>
    </row>
    <row r="155" spans="1:29" s="84" customFormat="1" ht="42" customHeight="1" x14ac:dyDescent="0.2">
      <c r="A155" s="288"/>
      <c r="B155" s="275"/>
      <c r="C155" s="2"/>
      <c r="D155" s="6"/>
      <c r="E155" s="6"/>
      <c r="F155" s="6"/>
      <c r="G155" s="6"/>
      <c r="H155" s="2"/>
      <c r="I155" s="6"/>
      <c r="J155" s="6"/>
      <c r="K155" s="6"/>
      <c r="L155" s="6"/>
      <c r="M155" s="2"/>
      <c r="N155" s="6"/>
      <c r="O155" s="6"/>
      <c r="P155" s="6"/>
      <c r="Q155" s="6"/>
      <c r="R155" s="2"/>
      <c r="S155" s="6"/>
      <c r="T155" s="6"/>
      <c r="U155" s="6"/>
      <c r="V155" s="6"/>
      <c r="W155" s="2"/>
      <c r="X155" s="32"/>
      <c r="Y155" s="32"/>
      <c r="Z155" s="32"/>
      <c r="AA155" s="32"/>
      <c r="AB155" s="81"/>
      <c r="AC155" s="39"/>
    </row>
    <row r="156" spans="1:29" s="84" customFormat="1" ht="42" customHeight="1" x14ac:dyDescent="0.2">
      <c r="A156" s="288"/>
      <c r="B156" s="275"/>
      <c r="C156" s="2"/>
      <c r="D156" s="6"/>
      <c r="E156" s="6"/>
      <c r="F156" s="6"/>
      <c r="G156" s="6"/>
      <c r="H156" s="2"/>
      <c r="I156" s="6"/>
      <c r="J156" s="6"/>
      <c r="K156" s="6"/>
      <c r="L156" s="6"/>
      <c r="M156" s="2"/>
      <c r="N156" s="6"/>
      <c r="O156" s="6"/>
      <c r="P156" s="6"/>
      <c r="Q156" s="6"/>
      <c r="R156" s="2"/>
      <c r="S156" s="6"/>
      <c r="T156" s="6"/>
      <c r="U156" s="6"/>
      <c r="V156" s="6"/>
      <c r="W156" s="2"/>
      <c r="X156" s="32"/>
      <c r="Y156" s="32"/>
      <c r="Z156" s="32"/>
      <c r="AA156" s="32"/>
      <c r="AB156" s="81"/>
      <c r="AC156" s="39"/>
    </row>
    <row r="157" spans="1:29" s="84" customFormat="1" ht="42" customHeight="1" x14ac:dyDescent="0.2">
      <c r="A157" s="288"/>
      <c r="B157" s="275"/>
      <c r="C157" s="2"/>
      <c r="D157" s="6"/>
      <c r="E157" s="6"/>
      <c r="F157" s="6"/>
      <c r="G157" s="6"/>
      <c r="H157" s="2"/>
      <c r="I157" s="6"/>
      <c r="J157" s="6"/>
      <c r="K157" s="6"/>
      <c r="L157" s="6"/>
      <c r="M157" s="2"/>
      <c r="N157" s="6"/>
      <c r="O157" s="6"/>
      <c r="P157" s="6"/>
      <c r="Q157" s="6"/>
      <c r="R157" s="2"/>
      <c r="S157" s="6"/>
      <c r="T157" s="6"/>
      <c r="U157" s="6"/>
      <c r="V157" s="6"/>
      <c r="W157" s="2"/>
      <c r="X157" s="32"/>
      <c r="Y157" s="32"/>
      <c r="Z157" s="32"/>
      <c r="AA157" s="32"/>
      <c r="AB157" s="81"/>
      <c r="AC157" s="39"/>
    </row>
    <row r="158" spans="1:29" s="84" customFormat="1" ht="42" customHeight="1" x14ac:dyDescent="0.2">
      <c r="A158" s="288"/>
      <c r="B158" s="275"/>
      <c r="C158" s="2"/>
      <c r="D158" s="6"/>
      <c r="E158" s="6"/>
      <c r="F158" s="6"/>
      <c r="G158" s="6"/>
      <c r="H158" s="2"/>
      <c r="I158" s="6"/>
      <c r="J158" s="6"/>
      <c r="K158" s="6"/>
      <c r="L158" s="6"/>
      <c r="M158" s="2"/>
      <c r="N158" s="6"/>
      <c r="O158" s="6"/>
      <c r="P158" s="6"/>
      <c r="Q158" s="6"/>
      <c r="R158" s="2"/>
      <c r="S158" s="6"/>
      <c r="T158" s="6"/>
      <c r="U158" s="6"/>
      <c r="V158" s="6"/>
      <c r="W158" s="2"/>
      <c r="X158" s="32"/>
      <c r="Y158" s="32"/>
      <c r="Z158" s="32"/>
      <c r="AA158" s="32"/>
      <c r="AB158" s="81"/>
      <c r="AC158" s="39"/>
    </row>
    <row r="159" spans="1:29" s="84" customFormat="1" ht="42" customHeight="1" x14ac:dyDescent="0.2">
      <c r="A159" s="288"/>
      <c r="B159" s="275"/>
      <c r="C159" s="2"/>
      <c r="D159" s="6"/>
      <c r="E159" s="6"/>
      <c r="F159" s="6"/>
      <c r="G159" s="6"/>
      <c r="H159" s="2"/>
      <c r="I159" s="6"/>
      <c r="J159" s="6"/>
      <c r="K159" s="6"/>
      <c r="L159" s="6"/>
      <c r="M159" s="2"/>
      <c r="N159" s="6"/>
      <c r="O159" s="6"/>
      <c r="P159" s="6"/>
      <c r="Q159" s="6"/>
      <c r="R159" s="2"/>
      <c r="S159" s="6"/>
      <c r="T159" s="6"/>
      <c r="U159" s="6"/>
      <c r="V159" s="6"/>
      <c r="W159" s="2"/>
      <c r="X159" s="32"/>
      <c r="Y159" s="32"/>
      <c r="Z159" s="32"/>
      <c r="AA159" s="32"/>
      <c r="AB159" s="81"/>
      <c r="AC159" s="39"/>
    </row>
    <row r="160" spans="1:29" s="84" customFormat="1" ht="42" customHeight="1" x14ac:dyDescent="0.2">
      <c r="A160" s="288"/>
      <c r="B160" s="275"/>
      <c r="C160" s="2"/>
      <c r="D160" s="6"/>
      <c r="E160" s="6"/>
      <c r="F160" s="6"/>
      <c r="G160" s="6"/>
      <c r="H160" s="2"/>
      <c r="I160" s="6"/>
      <c r="J160" s="6"/>
      <c r="K160" s="6"/>
      <c r="L160" s="6"/>
      <c r="M160" s="2"/>
      <c r="N160" s="6"/>
      <c r="O160" s="6"/>
      <c r="P160" s="6"/>
      <c r="Q160" s="6"/>
      <c r="R160" s="2"/>
      <c r="S160" s="6"/>
      <c r="T160" s="6"/>
      <c r="U160" s="6"/>
      <c r="V160" s="6"/>
      <c r="W160" s="2"/>
      <c r="X160" s="32"/>
      <c r="Y160" s="32"/>
      <c r="Z160" s="32"/>
      <c r="AA160" s="32"/>
      <c r="AB160" s="81"/>
      <c r="AC160" s="39"/>
    </row>
    <row r="161" spans="1:29" s="84" customFormat="1" ht="42" customHeight="1" x14ac:dyDescent="0.2">
      <c r="A161" s="288"/>
      <c r="B161" s="275"/>
      <c r="C161" s="2"/>
      <c r="D161" s="6"/>
      <c r="E161" s="6"/>
      <c r="F161" s="6"/>
      <c r="G161" s="6"/>
      <c r="H161" s="2"/>
      <c r="I161" s="6"/>
      <c r="J161" s="6"/>
      <c r="K161" s="6"/>
      <c r="L161" s="6"/>
      <c r="M161" s="2"/>
      <c r="N161" s="6"/>
      <c r="O161" s="6"/>
      <c r="P161" s="6"/>
      <c r="Q161" s="6"/>
      <c r="R161" s="2"/>
      <c r="S161" s="6"/>
      <c r="T161" s="6"/>
      <c r="U161" s="6"/>
      <c r="V161" s="6"/>
      <c r="W161" s="2"/>
      <c r="X161" s="32"/>
      <c r="Y161" s="32"/>
      <c r="Z161" s="32"/>
      <c r="AA161" s="32"/>
      <c r="AB161" s="81"/>
      <c r="AC161" s="39"/>
    </row>
    <row r="162" spans="1:29" s="84" customFormat="1" ht="42" customHeight="1" x14ac:dyDescent="0.2">
      <c r="A162" s="288"/>
      <c r="B162" s="275"/>
      <c r="C162" s="2"/>
      <c r="D162" s="6"/>
      <c r="E162" s="6"/>
      <c r="F162" s="6"/>
      <c r="G162" s="6"/>
      <c r="H162" s="2"/>
      <c r="I162" s="6"/>
      <c r="J162" s="6"/>
      <c r="K162" s="6"/>
      <c r="L162" s="6"/>
      <c r="M162" s="2"/>
      <c r="N162" s="6"/>
      <c r="O162" s="6"/>
      <c r="P162" s="6"/>
      <c r="Q162" s="6"/>
      <c r="R162" s="2"/>
      <c r="S162" s="6"/>
      <c r="T162" s="6"/>
      <c r="U162" s="6"/>
      <c r="V162" s="6"/>
      <c r="W162" s="2"/>
      <c r="X162" s="32"/>
      <c r="Y162" s="32"/>
      <c r="Z162" s="32"/>
      <c r="AA162" s="32"/>
      <c r="AB162" s="81"/>
      <c r="AC162" s="39"/>
    </row>
    <row r="163" spans="1:29" s="84" customFormat="1" ht="42" customHeight="1" x14ac:dyDescent="0.2">
      <c r="A163" s="288"/>
      <c r="B163" s="275"/>
      <c r="C163" s="2"/>
      <c r="D163" s="6"/>
      <c r="E163" s="6"/>
      <c r="F163" s="6"/>
      <c r="G163" s="6"/>
      <c r="H163" s="2"/>
      <c r="I163" s="6"/>
      <c r="J163" s="6"/>
      <c r="K163" s="6"/>
      <c r="L163" s="6"/>
      <c r="M163" s="2"/>
      <c r="N163" s="6"/>
      <c r="O163" s="6"/>
      <c r="P163" s="6"/>
      <c r="Q163" s="6"/>
      <c r="R163" s="2"/>
      <c r="S163" s="6"/>
      <c r="T163" s="6"/>
      <c r="U163" s="6"/>
      <c r="V163" s="6"/>
      <c r="W163" s="2"/>
      <c r="X163" s="32"/>
      <c r="Y163" s="32"/>
      <c r="Z163" s="32"/>
      <c r="AA163" s="32"/>
      <c r="AB163" s="81"/>
      <c r="AC163" s="39"/>
    </row>
    <row r="164" spans="1:29" s="84" customFormat="1" ht="42" customHeight="1" x14ac:dyDescent="0.2">
      <c r="A164" s="288"/>
      <c r="B164" s="275"/>
      <c r="C164" s="2"/>
      <c r="D164" s="6"/>
      <c r="E164" s="6"/>
      <c r="F164" s="6"/>
      <c r="G164" s="6"/>
      <c r="H164" s="2"/>
      <c r="I164" s="6"/>
      <c r="J164" s="6"/>
      <c r="K164" s="6"/>
      <c r="L164" s="6"/>
      <c r="M164" s="2"/>
      <c r="N164" s="6"/>
      <c r="O164" s="6"/>
      <c r="P164" s="6"/>
      <c r="Q164" s="6"/>
      <c r="R164" s="2"/>
      <c r="S164" s="6"/>
      <c r="T164" s="6"/>
      <c r="U164" s="6"/>
      <c r="V164" s="6"/>
      <c r="W164" s="2"/>
      <c r="X164" s="32"/>
      <c r="Y164" s="32"/>
      <c r="Z164" s="32"/>
      <c r="AA164" s="32"/>
      <c r="AB164" s="81"/>
      <c r="AC164" s="39"/>
    </row>
    <row r="165" spans="1:29" s="84" customFormat="1" ht="42" customHeight="1" x14ac:dyDescent="0.2">
      <c r="A165" s="288"/>
      <c r="B165" s="275"/>
      <c r="C165" s="2"/>
      <c r="D165" s="6"/>
      <c r="E165" s="6"/>
      <c r="F165" s="6"/>
      <c r="G165" s="6"/>
      <c r="H165" s="2"/>
      <c r="I165" s="6"/>
      <c r="J165" s="6"/>
      <c r="K165" s="6"/>
      <c r="L165" s="6"/>
      <c r="M165" s="2"/>
      <c r="N165" s="6"/>
      <c r="O165" s="6"/>
      <c r="P165" s="6"/>
      <c r="Q165" s="6"/>
      <c r="R165" s="2"/>
      <c r="S165" s="6"/>
      <c r="T165" s="6"/>
      <c r="U165" s="6"/>
      <c r="V165" s="6"/>
      <c r="W165" s="2"/>
      <c r="X165" s="32"/>
      <c r="Y165" s="32"/>
      <c r="Z165" s="32"/>
      <c r="AA165" s="32"/>
      <c r="AB165" s="81"/>
      <c r="AC165" s="39"/>
    </row>
    <row r="166" spans="1:29" s="84" customFormat="1" ht="42" customHeight="1" x14ac:dyDescent="0.2">
      <c r="A166" s="288"/>
      <c r="B166" s="275"/>
      <c r="C166" s="2"/>
      <c r="D166" s="6"/>
      <c r="E166" s="6"/>
      <c r="F166" s="6"/>
      <c r="G166" s="6"/>
      <c r="H166" s="2"/>
      <c r="I166" s="6"/>
      <c r="J166" s="6"/>
      <c r="K166" s="6"/>
      <c r="L166" s="6"/>
      <c r="M166" s="2"/>
      <c r="N166" s="6"/>
      <c r="O166" s="6"/>
      <c r="P166" s="6"/>
      <c r="Q166" s="6"/>
      <c r="R166" s="2"/>
      <c r="S166" s="6"/>
      <c r="T166" s="6"/>
      <c r="U166" s="6"/>
      <c r="V166" s="6"/>
      <c r="W166" s="2"/>
      <c r="X166" s="32"/>
      <c r="Y166" s="32"/>
      <c r="Z166" s="32"/>
      <c r="AA166" s="32"/>
      <c r="AB166" s="81"/>
      <c r="AC166" s="39"/>
    </row>
    <row r="167" spans="1:29" s="84" customFormat="1" ht="42" customHeight="1" x14ac:dyDescent="0.2">
      <c r="A167" s="288"/>
      <c r="B167" s="275"/>
      <c r="C167" s="2"/>
      <c r="D167" s="6"/>
      <c r="E167" s="6"/>
      <c r="F167" s="6"/>
      <c r="G167" s="6"/>
      <c r="H167" s="2"/>
      <c r="I167" s="6"/>
      <c r="J167" s="6"/>
      <c r="K167" s="6"/>
      <c r="L167" s="6"/>
      <c r="M167" s="2"/>
      <c r="N167" s="6"/>
      <c r="O167" s="6"/>
      <c r="P167" s="6"/>
      <c r="Q167" s="6"/>
      <c r="R167" s="2"/>
      <c r="S167" s="6"/>
      <c r="T167" s="6"/>
      <c r="U167" s="6"/>
      <c r="V167" s="6"/>
      <c r="W167" s="2"/>
      <c r="X167" s="32"/>
      <c r="Y167" s="32"/>
      <c r="Z167" s="32"/>
      <c r="AA167" s="32"/>
      <c r="AB167" s="81"/>
      <c r="AC167" s="39"/>
    </row>
    <row r="168" spans="1:29" s="84" customFormat="1" ht="42" customHeight="1" x14ac:dyDescent="0.2">
      <c r="A168" s="288"/>
      <c r="B168" s="275"/>
      <c r="C168" s="2"/>
      <c r="D168" s="6"/>
      <c r="E168" s="6"/>
      <c r="F168" s="6"/>
      <c r="G168" s="6"/>
      <c r="H168" s="2"/>
      <c r="I168" s="6"/>
      <c r="J168" s="6"/>
      <c r="K168" s="6"/>
      <c r="L168" s="6"/>
      <c r="M168" s="2"/>
      <c r="N168" s="6"/>
      <c r="O168" s="6"/>
      <c r="P168" s="6"/>
      <c r="Q168" s="6"/>
      <c r="R168" s="2"/>
      <c r="S168" s="6"/>
      <c r="T168" s="6"/>
      <c r="U168" s="6"/>
      <c r="V168" s="6"/>
      <c r="W168" s="2"/>
      <c r="X168" s="32"/>
      <c r="Y168" s="32"/>
      <c r="Z168" s="32"/>
      <c r="AA168" s="32"/>
      <c r="AB168" s="81"/>
      <c r="AC168" s="39"/>
    </row>
    <row r="169" spans="1:29" s="84" customFormat="1" ht="42" customHeight="1" x14ac:dyDescent="0.2">
      <c r="A169" s="288"/>
      <c r="B169" s="275"/>
      <c r="C169" s="2"/>
      <c r="D169" s="6"/>
      <c r="E169" s="6"/>
      <c r="F169" s="6"/>
      <c r="G169" s="6"/>
      <c r="H169" s="2"/>
      <c r="I169" s="6"/>
      <c r="J169" s="6"/>
      <c r="K169" s="6"/>
      <c r="L169" s="6"/>
      <c r="M169" s="2"/>
      <c r="N169" s="6"/>
      <c r="O169" s="6"/>
      <c r="P169" s="6"/>
      <c r="Q169" s="6"/>
      <c r="R169" s="2"/>
      <c r="S169" s="6"/>
      <c r="T169" s="6"/>
      <c r="U169" s="6"/>
      <c r="V169" s="6"/>
      <c r="W169" s="2"/>
      <c r="X169" s="32"/>
      <c r="Y169" s="32"/>
      <c r="Z169" s="32"/>
      <c r="AA169" s="32"/>
      <c r="AB169" s="81"/>
      <c r="AC169" s="39"/>
    </row>
    <row r="170" spans="1:29" s="84" customFormat="1" ht="42" customHeight="1" x14ac:dyDescent="0.2">
      <c r="A170" s="288"/>
      <c r="B170" s="275"/>
      <c r="C170" s="2"/>
      <c r="D170" s="6"/>
      <c r="E170" s="6"/>
      <c r="F170" s="6"/>
      <c r="G170" s="6"/>
      <c r="H170" s="2"/>
      <c r="I170" s="6"/>
      <c r="J170" s="6"/>
      <c r="K170" s="6"/>
      <c r="L170" s="6"/>
      <c r="M170" s="2"/>
      <c r="N170" s="6"/>
      <c r="O170" s="6"/>
      <c r="P170" s="6"/>
      <c r="Q170" s="6"/>
      <c r="R170" s="2"/>
      <c r="S170" s="6"/>
      <c r="T170" s="6"/>
      <c r="U170" s="6"/>
      <c r="V170" s="6"/>
      <c r="W170" s="2"/>
      <c r="X170" s="32"/>
      <c r="Y170" s="32"/>
      <c r="Z170" s="32"/>
      <c r="AA170" s="32"/>
      <c r="AB170" s="81"/>
      <c r="AC170" s="39"/>
    </row>
    <row r="171" spans="1:29" s="84" customFormat="1" ht="42" customHeight="1" x14ac:dyDescent="0.2">
      <c r="A171" s="288"/>
      <c r="B171" s="275"/>
      <c r="C171" s="2"/>
      <c r="D171" s="6"/>
      <c r="E171" s="6"/>
      <c r="F171" s="6"/>
      <c r="G171" s="6"/>
      <c r="H171" s="2"/>
      <c r="I171" s="6"/>
      <c r="J171" s="6"/>
      <c r="K171" s="6"/>
      <c r="L171" s="6"/>
      <c r="M171" s="2"/>
      <c r="N171" s="6"/>
      <c r="O171" s="6"/>
      <c r="P171" s="6"/>
      <c r="Q171" s="6"/>
      <c r="R171" s="2"/>
      <c r="S171" s="6"/>
      <c r="T171" s="6"/>
      <c r="U171" s="6"/>
      <c r="V171" s="6"/>
      <c r="W171" s="2"/>
      <c r="X171" s="32"/>
      <c r="Y171" s="32"/>
      <c r="Z171" s="32"/>
      <c r="AA171" s="32"/>
      <c r="AB171" s="81"/>
      <c r="AC171" s="39"/>
    </row>
    <row r="172" spans="1:29" s="84" customFormat="1" ht="42" customHeight="1" x14ac:dyDescent="0.2">
      <c r="A172" s="288"/>
      <c r="B172" s="275"/>
      <c r="C172" s="2"/>
      <c r="D172" s="6"/>
      <c r="E172" s="6"/>
      <c r="F172" s="6"/>
      <c r="G172" s="6"/>
      <c r="H172" s="2"/>
      <c r="I172" s="6"/>
      <c r="J172" s="6"/>
      <c r="K172" s="6"/>
      <c r="L172" s="6"/>
      <c r="M172" s="2"/>
      <c r="N172" s="6"/>
      <c r="O172" s="6"/>
      <c r="P172" s="6"/>
      <c r="Q172" s="6"/>
      <c r="R172" s="2"/>
      <c r="S172" s="6"/>
      <c r="T172" s="6"/>
      <c r="U172" s="6"/>
      <c r="V172" s="6"/>
      <c r="W172" s="2"/>
      <c r="X172" s="32"/>
      <c r="Y172" s="32"/>
      <c r="Z172" s="32"/>
      <c r="AA172" s="32"/>
      <c r="AB172" s="81"/>
      <c r="AC172" s="39"/>
    </row>
    <row r="173" spans="1:29" s="84" customFormat="1" ht="42" customHeight="1" x14ac:dyDescent="0.2">
      <c r="A173" s="288"/>
      <c r="B173" s="275"/>
      <c r="C173" s="2"/>
      <c r="D173" s="6"/>
      <c r="E173" s="6"/>
      <c r="F173" s="6"/>
      <c r="G173" s="6"/>
      <c r="H173" s="2"/>
      <c r="I173" s="6"/>
      <c r="J173" s="6"/>
      <c r="K173" s="6"/>
      <c r="L173" s="6"/>
      <c r="M173" s="2"/>
      <c r="N173" s="6"/>
      <c r="O173" s="6"/>
      <c r="P173" s="6"/>
      <c r="Q173" s="6"/>
      <c r="R173" s="2"/>
      <c r="S173" s="6"/>
      <c r="T173" s="6"/>
      <c r="U173" s="6"/>
      <c r="V173" s="6"/>
      <c r="W173" s="2"/>
      <c r="X173" s="32"/>
      <c r="Y173" s="32"/>
      <c r="Z173" s="32"/>
      <c r="AA173" s="32"/>
      <c r="AB173" s="81"/>
      <c r="AC173" s="39"/>
    </row>
    <row r="174" spans="1:29" s="84" customFormat="1" ht="42" customHeight="1" x14ac:dyDescent="0.2">
      <c r="A174" s="288"/>
      <c r="B174" s="275"/>
      <c r="C174" s="2"/>
      <c r="D174" s="6"/>
      <c r="E174" s="6"/>
      <c r="F174" s="6"/>
      <c r="G174" s="6"/>
      <c r="H174" s="2"/>
      <c r="I174" s="6"/>
      <c r="J174" s="6"/>
      <c r="K174" s="6"/>
      <c r="L174" s="6"/>
      <c r="M174" s="2"/>
      <c r="N174" s="6"/>
      <c r="O174" s="6"/>
      <c r="P174" s="6"/>
      <c r="Q174" s="6"/>
      <c r="R174" s="2"/>
      <c r="S174" s="6"/>
      <c r="T174" s="6"/>
      <c r="U174" s="6"/>
      <c r="V174" s="6"/>
      <c r="W174" s="2"/>
      <c r="X174" s="32"/>
      <c r="Y174" s="32"/>
      <c r="Z174" s="32"/>
      <c r="AA174" s="32"/>
      <c r="AB174" s="81"/>
      <c r="AC174" s="39"/>
    </row>
    <row r="175" spans="1:29" s="84" customFormat="1" ht="42" customHeight="1" x14ac:dyDescent="0.2">
      <c r="A175" s="288"/>
      <c r="B175" s="275"/>
      <c r="C175" s="2"/>
      <c r="D175" s="6"/>
      <c r="E175" s="6"/>
      <c r="F175" s="6"/>
      <c r="G175" s="6"/>
      <c r="H175" s="2"/>
      <c r="I175" s="6"/>
      <c r="J175" s="6"/>
      <c r="K175" s="6"/>
      <c r="L175" s="6"/>
      <c r="M175" s="2"/>
      <c r="N175" s="6"/>
      <c r="O175" s="6"/>
      <c r="P175" s="6"/>
      <c r="Q175" s="6"/>
      <c r="R175" s="2"/>
      <c r="S175" s="6"/>
      <c r="T175" s="6"/>
      <c r="U175" s="6"/>
      <c r="V175" s="6"/>
      <c r="W175" s="2"/>
      <c r="X175" s="32"/>
      <c r="Y175" s="32"/>
      <c r="Z175" s="32"/>
      <c r="AA175" s="32"/>
      <c r="AB175" s="81"/>
      <c r="AC175" s="39"/>
    </row>
    <row r="176" spans="1:29" s="84" customFormat="1" ht="42" customHeight="1" x14ac:dyDescent="0.2">
      <c r="A176" s="288"/>
      <c r="B176" s="275"/>
      <c r="C176" s="2"/>
      <c r="D176" s="6"/>
      <c r="E176" s="6"/>
      <c r="F176" s="6"/>
      <c r="G176" s="6"/>
      <c r="H176" s="2"/>
      <c r="I176" s="6"/>
      <c r="J176" s="6"/>
      <c r="K176" s="6"/>
      <c r="L176" s="6"/>
      <c r="M176" s="2"/>
      <c r="N176" s="6"/>
      <c r="O176" s="6"/>
      <c r="P176" s="6"/>
      <c r="Q176" s="6"/>
      <c r="R176" s="2"/>
      <c r="S176" s="6"/>
      <c r="T176" s="6"/>
      <c r="U176" s="6"/>
      <c r="V176" s="6"/>
      <c r="W176" s="2"/>
      <c r="X176" s="32"/>
      <c r="Y176" s="32"/>
      <c r="Z176" s="32"/>
      <c r="AA176" s="32"/>
      <c r="AB176" s="81"/>
      <c r="AC176" s="39"/>
    </row>
    <row r="177" spans="1:29" s="84" customFormat="1" ht="42" customHeight="1" x14ac:dyDescent="0.2">
      <c r="A177" s="288"/>
      <c r="B177" s="275"/>
      <c r="C177" s="2"/>
      <c r="D177" s="6"/>
      <c r="E177" s="6"/>
      <c r="F177" s="6"/>
      <c r="G177" s="6"/>
      <c r="H177" s="2"/>
      <c r="I177" s="6"/>
      <c r="J177" s="6"/>
      <c r="K177" s="6"/>
      <c r="L177" s="6"/>
      <c r="M177" s="2"/>
      <c r="N177" s="6"/>
      <c r="O177" s="6"/>
      <c r="P177" s="6"/>
      <c r="Q177" s="6"/>
      <c r="R177" s="2"/>
      <c r="S177" s="6"/>
      <c r="T177" s="6"/>
      <c r="U177" s="6"/>
      <c r="V177" s="6"/>
      <c r="W177" s="2"/>
      <c r="X177" s="32"/>
      <c r="Y177" s="32"/>
      <c r="Z177" s="32"/>
      <c r="AA177" s="32"/>
      <c r="AB177" s="81"/>
      <c r="AC177" s="39"/>
    </row>
    <row r="178" spans="1:29" s="84" customFormat="1" ht="42" customHeight="1" x14ac:dyDescent="0.2">
      <c r="A178" s="288"/>
      <c r="B178" s="275"/>
      <c r="C178" s="2"/>
      <c r="D178" s="6"/>
      <c r="E178" s="6"/>
      <c r="F178" s="6"/>
      <c r="G178" s="6"/>
      <c r="H178" s="2"/>
      <c r="I178" s="6"/>
      <c r="J178" s="6"/>
      <c r="K178" s="6"/>
      <c r="L178" s="6"/>
      <c r="M178" s="2"/>
      <c r="N178" s="6"/>
      <c r="O178" s="6"/>
      <c r="P178" s="6"/>
      <c r="Q178" s="6"/>
      <c r="R178" s="2"/>
      <c r="S178" s="6"/>
      <c r="T178" s="6"/>
      <c r="U178" s="6"/>
      <c r="V178" s="6"/>
      <c r="W178" s="2"/>
      <c r="X178" s="32"/>
      <c r="Y178" s="32"/>
      <c r="Z178" s="32"/>
      <c r="AA178" s="32"/>
      <c r="AB178" s="81"/>
      <c r="AC178" s="39"/>
    </row>
    <row r="179" spans="1:29" s="84" customFormat="1" ht="42" customHeight="1" x14ac:dyDescent="0.2">
      <c r="A179" s="288"/>
      <c r="B179" s="275"/>
      <c r="C179" s="2"/>
      <c r="D179" s="6"/>
      <c r="E179" s="6"/>
      <c r="F179" s="6"/>
      <c r="G179" s="6"/>
      <c r="H179" s="2"/>
      <c r="I179" s="6"/>
      <c r="J179" s="6"/>
      <c r="K179" s="6"/>
      <c r="L179" s="6"/>
      <c r="M179" s="2"/>
      <c r="N179" s="6"/>
      <c r="O179" s="6"/>
      <c r="P179" s="6"/>
      <c r="Q179" s="6"/>
      <c r="R179" s="2"/>
      <c r="S179" s="6"/>
      <c r="T179" s="6"/>
      <c r="U179" s="6"/>
      <c r="V179" s="6"/>
      <c r="W179" s="2"/>
      <c r="X179" s="32"/>
      <c r="Y179" s="32"/>
      <c r="Z179" s="32"/>
      <c r="AA179" s="32"/>
      <c r="AB179" s="81"/>
      <c r="AC179" s="39"/>
    </row>
    <row r="180" spans="1:29" s="84" customFormat="1" ht="42" customHeight="1" x14ac:dyDescent="0.2">
      <c r="A180" s="288"/>
      <c r="B180" s="275"/>
      <c r="C180" s="2"/>
      <c r="D180" s="6"/>
      <c r="E180" s="6"/>
      <c r="F180" s="6"/>
      <c r="G180" s="6"/>
      <c r="H180" s="2"/>
      <c r="I180" s="6"/>
      <c r="J180" s="6"/>
      <c r="K180" s="6"/>
      <c r="L180" s="6"/>
      <c r="M180" s="2"/>
      <c r="N180" s="6"/>
      <c r="O180" s="6"/>
      <c r="P180" s="6"/>
      <c r="Q180" s="6"/>
      <c r="R180" s="2"/>
      <c r="S180" s="6"/>
      <c r="T180" s="6"/>
      <c r="U180" s="6"/>
      <c r="V180" s="6"/>
      <c r="W180" s="2"/>
      <c r="X180" s="32"/>
      <c r="Y180" s="32"/>
      <c r="Z180" s="32"/>
      <c r="AA180" s="32"/>
      <c r="AB180" s="81"/>
      <c r="AC180" s="39"/>
    </row>
    <row r="181" spans="1:29" s="84" customFormat="1" ht="42" customHeight="1" x14ac:dyDescent="0.2">
      <c r="A181" s="288"/>
      <c r="B181" s="275"/>
      <c r="C181" s="2"/>
      <c r="D181" s="6"/>
      <c r="E181" s="6"/>
      <c r="F181" s="6"/>
      <c r="G181" s="6"/>
      <c r="H181" s="2"/>
      <c r="I181" s="6"/>
      <c r="J181" s="6"/>
      <c r="K181" s="6"/>
      <c r="L181" s="6"/>
      <c r="M181" s="2"/>
      <c r="N181" s="6"/>
      <c r="O181" s="6"/>
      <c r="P181" s="6"/>
      <c r="Q181" s="6"/>
      <c r="R181" s="2"/>
      <c r="S181" s="6"/>
      <c r="T181" s="6"/>
      <c r="U181" s="6"/>
      <c r="V181" s="6"/>
      <c r="W181" s="2"/>
      <c r="X181" s="32"/>
      <c r="Y181" s="32"/>
      <c r="Z181" s="32"/>
      <c r="AA181" s="32"/>
      <c r="AB181" s="81"/>
      <c r="AC181" s="39"/>
    </row>
    <row r="182" spans="1:29" s="84" customFormat="1" ht="42" customHeight="1" x14ac:dyDescent="0.2">
      <c r="A182" s="288"/>
      <c r="B182" s="275"/>
      <c r="C182" s="2"/>
      <c r="D182" s="6"/>
      <c r="E182" s="6"/>
      <c r="F182" s="6"/>
      <c r="G182" s="6"/>
      <c r="H182" s="2"/>
      <c r="I182" s="6"/>
      <c r="J182" s="6"/>
      <c r="K182" s="6"/>
      <c r="L182" s="6"/>
      <c r="M182" s="2"/>
      <c r="N182" s="6"/>
      <c r="O182" s="6"/>
      <c r="P182" s="6"/>
      <c r="Q182" s="6"/>
      <c r="R182" s="2"/>
      <c r="S182" s="6"/>
      <c r="T182" s="6"/>
      <c r="U182" s="6"/>
      <c r="V182" s="6"/>
      <c r="W182" s="2"/>
      <c r="X182" s="32"/>
      <c r="Y182" s="32"/>
      <c r="Z182" s="32"/>
      <c r="AA182" s="32"/>
      <c r="AB182" s="81"/>
      <c r="AC182" s="39"/>
    </row>
    <row r="183" spans="1:29" s="84" customFormat="1" ht="42" customHeight="1" x14ac:dyDescent="0.2">
      <c r="A183" s="288"/>
      <c r="B183" s="275"/>
      <c r="C183" s="2"/>
      <c r="D183" s="6"/>
      <c r="E183" s="6"/>
      <c r="F183" s="6"/>
      <c r="G183" s="6"/>
      <c r="H183" s="2"/>
      <c r="I183" s="6"/>
      <c r="J183" s="6"/>
      <c r="K183" s="6"/>
      <c r="L183" s="6"/>
      <c r="M183" s="2"/>
      <c r="N183" s="6"/>
      <c r="O183" s="6"/>
      <c r="P183" s="6"/>
      <c r="Q183" s="6"/>
      <c r="R183" s="2"/>
      <c r="S183" s="6"/>
      <c r="T183" s="6"/>
      <c r="U183" s="6"/>
      <c r="V183" s="6"/>
      <c r="W183" s="2"/>
      <c r="X183" s="32"/>
      <c r="Y183" s="32"/>
      <c r="Z183" s="32"/>
      <c r="AA183" s="32"/>
      <c r="AB183" s="81"/>
      <c r="AC183" s="39"/>
    </row>
    <row r="184" spans="1:29" s="84" customFormat="1" ht="42" customHeight="1" x14ac:dyDescent="0.2">
      <c r="A184" s="288"/>
      <c r="B184" s="275"/>
      <c r="C184" s="2"/>
      <c r="D184" s="6"/>
      <c r="E184" s="6"/>
      <c r="F184" s="6"/>
      <c r="G184" s="6"/>
      <c r="H184" s="2"/>
      <c r="I184" s="6"/>
      <c r="J184" s="6"/>
      <c r="K184" s="6"/>
      <c r="L184" s="6"/>
      <c r="M184" s="2"/>
      <c r="N184" s="6"/>
      <c r="O184" s="6"/>
      <c r="P184" s="6"/>
      <c r="Q184" s="6"/>
      <c r="R184" s="2"/>
      <c r="S184" s="6"/>
      <c r="T184" s="6"/>
      <c r="U184" s="6"/>
      <c r="V184" s="6"/>
      <c r="W184" s="2"/>
      <c r="X184" s="32"/>
      <c r="Y184" s="32"/>
      <c r="Z184" s="32"/>
      <c r="AA184" s="32"/>
      <c r="AB184" s="81"/>
      <c r="AC184" s="39"/>
    </row>
    <row r="185" spans="1:29" s="84" customFormat="1" ht="42" customHeight="1" x14ac:dyDescent="0.2">
      <c r="A185" s="288"/>
      <c r="B185" s="275"/>
      <c r="C185" s="2"/>
      <c r="D185" s="6"/>
      <c r="E185" s="6"/>
      <c r="F185" s="6"/>
      <c r="G185" s="6"/>
      <c r="H185" s="2"/>
      <c r="I185" s="6"/>
      <c r="J185" s="6"/>
      <c r="K185" s="6"/>
      <c r="L185" s="6"/>
      <c r="M185" s="2"/>
      <c r="N185" s="6"/>
      <c r="O185" s="6"/>
      <c r="P185" s="6"/>
      <c r="Q185" s="6"/>
      <c r="R185" s="2"/>
      <c r="S185" s="6"/>
      <c r="T185" s="6"/>
      <c r="U185" s="6"/>
      <c r="V185" s="6"/>
      <c r="W185" s="2"/>
      <c r="X185" s="32"/>
      <c r="Y185" s="32"/>
      <c r="Z185" s="32"/>
      <c r="AA185" s="32"/>
      <c r="AB185" s="81"/>
      <c r="AC185" s="39"/>
    </row>
    <row r="186" spans="1:29" s="84" customFormat="1" ht="42" customHeight="1" x14ac:dyDescent="0.2">
      <c r="A186" s="288"/>
      <c r="B186" s="275"/>
      <c r="C186" s="2"/>
      <c r="D186" s="6"/>
      <c r="E186" s="6"/>
      <c r="F186" s="6"/>
      <c r="G186" s="6"/>
      <c r="H186" s="2"/>
      <c r="I186" s="6"/>
      <c r="J186" s="6"/>
      <c r="K186" s="6"/>
      <c r="L186" s="6"/>
      <c r="M186" s="2"/>
      <c r="N186" s="6"/>
      <c r="O186" s="6"/>
      <c r="P186" s="6"/>
      <c r="Q186" s="6"/>
      <c r="R186" s="2"/>
      <c r="S186" s="6"/>
      <c r="T186" s="6"/>
      <c r="U186" s="6"/>
      <c r="V186" s="6"/>
      <c r="W186" s="2"/>
      <c r="X186" s="32"/>
      <c r="Y186" s="32"/>
      <c r="Z186" s="32"/>
      <c r="AA186" s="32"/>
      <c r="AB186" s="81"/>
      <c r="AC186" s="39"/>
    </row>
    <row r="187" spans="1:29" s="84" customFormat="1" ht="42" customHeight="1" x14ac:dyDescent="0.2">
      <c r="A187" s="288"/>
      <c r="B187" s="275"/>
      <c r="C187" s="2"/>
      <c r="D187" s="6"/>
      <c r="E187" s="6"/>
      <c r="F187" s="6"/>
      <c r="G187" s="6"/>
      <c r="H187" s="2"/>
      <c r="I187" s="6"/>
      <c r="J187" s="6"/>
      <c r="K187" s="6"/>
      <c r="L187" s="6"/>
      <c r="M187" s="2"/>
      <c r="N187" s="6"/>
      <c r="O187" s="6"/>
      <c r="P187" s="6"/>
      <c r="Q187" s="6"/>
      <c r="R187" s="2"/>
      <c r="S187" s="6"/>
      <c r="T187" s="6"/>
      <c r="U187" s="6"/>
      <c r="V187" s="6"/>
      <c r="W187" s="2"/>
      <c r="X187" s="32"/>
      <c r="Y187" s="32"/>
      <c r="Z187" s="32"/>
      <c r="AA187" s="32"/>
      <c r="AB187" s="81"/>
      <c r="AC187" s="39"/>
    </row>
    <row r="188" spans="1:29" s="84" customFormat="1" ht="42" customHeight="1" x14ac:dyDescent="0.2">
      <c r="A188" s="288"/>
      <c r="B188" s="275"/>
      <c r="C188" s="2"/>
      <c r="D188" s="6"/>
      <c r="E188" s="6"/>
      <c r="F188" s="6"/>
      <c r="G188" s="6"/>
      <c r="H188" s="2"/>
      <c r="I188" s="6"/>
      <c r="J188" s="6"/>
      <c r="K188" s="6"/>
      <c r="L188" s="6"/>
      <c r="M188" s="2"/>
      <c r="N188" s="6"/>
      <c r="O188" s="6"/>
      <c r="P188" s="6"/>
      <c r="Q188" s="6"/>
      <c r="R188" s="2"/>
      <c r="S188" s="6"/>
      <c r="T188" s="6"/>
      <c r="U188" s="6"/>
      <c r="V188" s="6"/>
      <c r="W188" s="2"/>
      <c r="X188" s="32"/>
      <c r="Y188" s="32"/>
      <c r="Z188" s="32"/>
      <c r="AA188" s="32"/>
      <c r="AB188" s="81"/>
      <c r="AC188" s="39"/>
    </row>
    <row r="189" spans="1:29" s="84" customFormat="1" ht="42" customHeight="1" x14ac:dyDescent="0.2">
      <c r="A189" s="288"/>
      <c r="B189" s="275"/>
      <c r="C189" s="2"/>
      <c r="D189" s="6"/>
      <c r="E189" s="6"/>
      <c r="F189" s="6"/>
      <c r="G189" s="6"/>
      <c r="H189" s="2"/>
      <c r="I189" s="6"/>
      <c r="J189" s="6"/>
      <c r="K189" s="6"/>
      <c r="L189" s="6"/>
      <c r="M189" s="2"/>
      <c r="N189" s="6"/>
      <c r="O189" s="6"/>
      <c r="P189" s="6"/>
      <c r="Q189" s="6"/>
      <c r="R189" s="2"/>
      <c r="S189" s="6"/>
      <c r="T189" s="6"/>
      <c r="U189" s="6"/>
      <c r="V189" s="6"/>
      <c r="W189" s="2"/>
      <c r="X189" s="32"/>
      <c r="Y189" s="32"/>
      <c r="Z189" s="32"/>
      <c r="AA189" s="32"/>
      <c r="AB189" s="81"/>
      <c r="AC189" s="39"/>
    </row>
    <row r="190" spans="1:29" s="84" customFormat="1" ht="42" customHeight="1" x14ac:dyDescent="0.2">
      <c r="A190" s="288"/>
      <c r="B190" s="275"/>
      <c r="C190" s="2"/>
      <c r="D190" s="6"/>
      <c r="E190" s="6"/>
      <c r="F190" s="6"/>
      <c r="G190" s="6"/>
      <c r="H190" s="2"/>
      <c r="I190" s="6"/>
      <c r="J190" s="6"/>
      <c r="K190" s="6"/>
      <c r="L190" s="6"/>
      <c r="M190" s="2"/>
      <c r="N190" s="6"/>
      <c r="O190" s="6"/>
      <c r="P190" s="6"/>
      <c r="Q190" s="6"/>
      <c r="R190" s="2"/>
      <c r="S190" s="6"/>
      <c r="T190" s="6"/>
      <c r="U190" s="6"/>
      <c r="V190" s="6"/>
      <c r="W190" s="2"/>
      <c r="X190" s="32"/>
      <c r="Y190" s="32"/>
      <c r="Z190" s="32"/>
      <c r="AA190" s="32"/>
      <c r="AB190" s="81"/>
      <c r="AC190" s="39"/>
    </row>
    <row r="191" spans="1:29" s="84" customFormat="1" ht="42" customHeight="1" x14ac:dyDescent="0.2">
      <c r="A191" s="288"/>
      <c r="B191" s="275"/>
      <c r="C191" s="2"/>
      <c r="D191" s="6"/>
      <c r="E191" s="6"/>
      <c r="F191" s="6"/>
      <c r="G191" s="6"/>
      <c r="H191" s="2"/>
      <c r="I191" s="6"/>
      <c r="J191" s="6"/>
      <c r="K191" s="6"/>
      <c r="L191" s="6"/>
      <c r="M191" s="2"/>
      <c r="N191" s="6"/>
      <c r="O191" s="6"/>
      <c r="P191" s="6"/>
      <c r="Q191" s="6"/>
      <c r="R191" s="2"/>
      <c r="S191" s="6"/>
      <c r="T191" s="6"/>
      <c r="U191" s="6"/>
      <c r="V191" s="6"/>
      <c r="W191" s="2"/>
      <c r="X191" s="32"/>
      <c r="Y191" s="32"/>
      <c r="Z191" s="32"/>
      <c r="AA191" s="32"/>
      <c r="AB191" s="81"/>
      <c r="AC191" s="39"/>
    </row>
    <row r="192" spans="1:29" s="84" customFormat="1" ht="42" customHeight="1" x14ac:dyDescent="0.2">
      <c r="A192" s="288"/>
      <c r="B192" s="275"/>
      <c r="C192" s="2"/>
      <c r="D192" s="6"/>
      <c r="E192" s="6"/>
      <c r="F192" s="6"/>
      <c r="G192" s="6"/>
      <c r="H192" s="2"/>
      <c r="I192" s="6"/>
      <c r="J192" s="6"/>
      <c r="K192" s="6"/>
      <c r="L192" s="6"/>
      <c r="M192" s="2"/>
      <c r="N192" s="6"/>
      <c r="O192" s="6"/>
      <c r="P192" s="6"/>
      <c r="Q192" s="6"/>
      <c r="R192" s="2"/>
      <c r="S192" s="6"/>
      <c r="T192" s="6"/>
      <c r="U192" s="6"/>
      <c r="V192" s="6"/>
      <c r="W192" s="2"/>
      <c r="X192" s="32"/>
      <c r="Y192" s="32"/>
      <c r="Z192" s="32"/>
      <c r="AA192" s="32"/>
      <c r="AB192" s="81"/>
      <c r="AC192" s="39"/>
    </row>
    <row r="193" spans="1:29" s="84" customFormat="1" ht="42" customHeight="1" x14ac:dyDescent="0.2">
      <c r="A193" s="288"/>
      <c r="B193" s="275"/>
      <c r="C193" s="2"/>
      <c r="D193" s="6"/>
      <c r="E193" s="6"/>
      <c r="F193" s="6"/>
      <c r="G193" s="6"/>
      <c r="H193" s="2"/>
      <c r="I193" s="6"/>
      <c r="J193" s="6"/>
      <c r="K193" s="6"/>
      <c r="L193" s="6"/>
      <c r="M193" s="2"/>
      <c r="N193" s="6"/>
      <c r="O193" s="6"/>
      <c r="P193" s="6"/>
      <c r="Q193" s="6"/>
      <c r="R193" s="2"/>
      <c r="S193" s="6"/>
      <c r="T193" s="6"/>
      <c r="U193" s="6"/>
      <c r="V193" s="6"/>
      <c r="W193" s="2"/>
      <c r="X193" s="32"/>
      <c r="Y193" s="32"/>
      <c r="Z193" s="32"/>
      <c r="AA193" s="32"/>
      <c r="AB193" s="81"/>
      <c r="AC193" s="39"/>
    </row>
    <row r="194" spans="1:29" s="84" customFormat="1" ht="42" customHeight="1" x14ac:dyDescent="0.2">
      <c r="A194" s="288"/>
      <c r="B194" s="275"/>
      <c r="C194" s="2"/>
      <c r="D194" s="6"/>
      <c r="E194" s="6"/>
      <c r="F194" s="6"/>
      <c r="G194" s="6"/>
      <c r="H194" s="2"/>
      <c r="I194" s="6"/>
      <c r="J194" s="6"/>
      <c r="K194" s="6"/>
      <c r="L194" s="6"/>
      <c r="M194" s="2"/>
      <c r="N194" s="6"/>
      <c r="O194" s="6"/>
      <c r="P194" s="6"/>
      <c r="Q194" s="6"/>
      <c r="R194" s="2"/>
      <c r="S194" s="6"/>
      <c r="T194" s="6"/>
      <c r="U194" s="6"/>
      <c r="V194" s="6"/>
      <c r="W194" s="2"/>
      <c r="X194" s="32"/>
      <c r="Y194" s="32"/>
      <c r="Z194" s="32"/>
      <c r="AA194" s="32"/>
      <c r="AB194" s="81"/>
      <c r="AC194" s="39"/>
    </row>
    <row r="195" spans="1:29" s="84" customFormat="1" ht="42" customHeight="1" x14ac:dyDescent="0.2">
      <c r="A195" s="288"/>
      <c r="B195" s="275"/>
      <c r="C195" s="2"/>
      <c r="D195" s="6"/>
      <c r="E195" s="6"/>
      <c r="F195" s="6"/>
      <c r="G195" s="6"/>
      <c r="H195" s="2"/>
      <c r="I195" s="6"/>
      <c r="J195" s="6"/>
      <c r="K195" s="6"/>
      <c r="L195" s="6"/>
      <c r="M195" s="2"/>
      <c r="N195" s="6"/>
      <c r="O195" s="6"/>
      <c r="P195" s="6"/>
      <c r="Q195" s="6"/>
      <c r="R195" s="2"/>
      <c r="S195" s="6"/>
      <c r="T195" s="6"/>
      <c r="U195" s="6"/>
      <c r="V195" s="6"/>
      <c r="W195" s="2"/>
      <c r="X195" s="32"/>
      <c r="Y195" s="32"/>
      <c r="Z195" s="32"/>
      <c r="AA195" s="32"/>
      <c r="AB195" s="81"/>
      <c r="AC195" s="39"/>
    </row>
    <row r="196" spans="1:29" s="84" customFormat="1" ht="42" customHeight="1" x14ac:dyDescent="0.2">
      <c r="A196" s="288"/>
      <c r="B196" s="275"/>
      <c r="C196" s="2"/>
      <c r="D196" s="6"/>
      <c r="E196" s="6"/>
      <c r="F196" s="6"/>
      <c r="G196" s="6"/>
      <c r="H196" s="2"/>
      <c r="I196" s="6"/>
      <c r="J196" s="6"/>
      <c r="K196" s="6"/>
      <c r="L196" s="6"/>
      <c r="M196" s="2"/>
      <c r="N196" s="6"/>
      <c r="O196" s="6"/>
      <c r="P196" s="6"/>
      <c r="Q196" s="6"/>
      <c r="R196" s="2"/>
      <c r="S196" s="6"/>
      <c r="T196" s="6"/>
      <c r="U196" s="6"/>
      <c r="V196" s="6"/>
      <c r="W196" s="2"/>
      <c r="X196" s="32"/>
      <c r="Y196" s="32"/>
      <c r="Z196" s="32"/>
      <c r="AA196" s="32"/>
      <c r="AB196" s="81"/>
      <c r="AC196" s="39"/>
    </row>
    <row r="197" spans="1:29" s="84" customFormat="1" ht="42" customHeight="1" x14ac:dyDescent="0.2">
      <c r="A197" s="288"/>
      <c r="B197" s="275"/>
      <c r="C197" s="2"/>
      <c r="D197" s="6"/>
      <c r="E197" s="6"/>
      <c r="F197" s="6"/>
      <c r="G197" s="6"/>
      <c r="H197" s="2"/>
      <c r="I197" s="6"/>
      <c r="J197" s="6"/>
      <c r="K197" s="6"/>
      <c r="L197" s="6"/>
      <c r="M197" s="2"/>
      <c r="N197" s="6"/>
      <c r="O197" s="6"/>
      <c r="P197" s="6"/>
      <c r="Q197" s="6"/>
      <c r="R197" s="2"/>
      <c r="S197" s="6"/>
      <c r="T197" s="6"/>
      <c r="U197" s="6"/>
      <c r="V197" s="6"/>
      <c r="W197" s="2"/>
      <c r="X197" s="32"/>
      <c r="Y197" s="32"/>
      <c r="Z197" s="32"/>
      <c r="AA197" s="32"/>
      <c r="AB197" s="81"/>
      <c r="AC197" s="39"/>
    </row>
    <row r="198" spans="1:29" s="84" customFormat="1" ht="42" customHeight="1" x14ac:dyDescent="0.2">
      <c r="A198" s="288"/>
      <c r="B198" s="275"/>
      <c r="C198" s="2"/>
      <c r="D198" s="6"/>
      <c r="E198" s="6"/>
      <c r="F198" s="6"/>
      <c r="G198" s="6"/>
      <c r="H198" s="2"/>
      <c r="I198" s="6"/>
      <c r="J198" s="6"/>
      <c r="K198" s="6"/>
      <c r="L198" s="6"/>
      <c r="M198" s="2"/>
      <c r="N198" s="6"/>
      <c r="O198" s="6"/>
      <c r="P198" s="6"/>
      <c r="Q198" s="6"/>
      <c r="R198" s="2"/>
      <c r="S198" s="6"/>
      <c r="T198" s="6"/>
      <c r="U198" s="6"/>
      <c r="V198" s="6"/>
      <c r="W198" s="2"/>
      <c r="X198" s="32"/>
      <c r="Y198" s="32"/>
      <c r="Z198" s="32"/>
      <c r="AA198" s="32"/>
      <c r="AB198" s="81"/>
      <c r="AC198" s="39"/>
    </row>
    <row r="199" spans="1:29" s="84" customFormat="1" ht="42" customHeight="1" x14ac:dyDescent="0.2">
      <c r="A199" s="288"/>
      <c r="B199" s="275"/>
      <c r="C199" s="2"/>
      <c r="D199" s="6"/>
      <c r="E199" s="6"/>
      <c r="F199" s="6"/>
      <c r="G199" s="6"/>
      <c r="H199" s="2"/>
      <c r="I199" s="6"/>
      <c r="J199" s="6"/>
      <c r="K199" s="6"/>
      <c r="L199" s="6"/>
      <c r="M199" s="2"/>
      <c r="N199" s="6"/>
      <c r="O199" s="6"/>
      <c r="P199" s="6"/>
      <c r="Q199" s="6"/>
      <c r="R199" s="2"/>
      <c r="S199" s="6"/>
      <c r="T199" s="6"/>
      <c r="U199" s="6"/>
      <c r="V199" s="6"/>
      <c r="W199" s="2"/>
      <c r="X199" s="32"/>
      <c r="Y199" s="32"/>
      <c r="Z199" s="32"/>
      <c r="AA199" s="32"/>
      <c r="AB199" s="81"/>
      <c r="AC199" s="39"/>
    </row>
    <row r="200" spans="1:29" s="84" customFormat="1" ht="42" customHeight="1" x14ac:dyDescent="0.2">
      <c r="A200" s="288"/>
      <c r="B200" s="275"/>
      <c r="C200" s="2"/>
      <c r="D200" s="6"/>
      <c r="E200" s="6"/>
      <c r="F200" s="6"/>
      <c r="G200" s="6"/>
      <c r="H200" s="2"/>
      <c r="I200" s="6"/>
      <c r="J200" s="6"/>
      <c r="K200" s="6"/>
      <c r="L200" s="6"/>
      <c r="M200" s="2"/>
      <c r="N200" s="6"/>
      <c r="O200" s="6"/>
      <c r="P200" s="6"/>
      <c r="Q200" s="6"/>
      <c r="R200" s="2"/>
      <c r="S200" s="6"/>
      <c r="T200" s="6"/>
      <c r="U200" s="6"/>
      <c r="V200" s="6"/>
      <c r="W200" s="2"/>
      <c r="X200" s="32"/>
      <c r="Y200" s="32"/>
      <c r="Z200" s="32"/>
      <c r="AA200" s="32"/>
      <c r="AB200" s="81"/>
      <c r="AC200" s="39"/>
    </row>
    <row r="201" spans="1:29" s="84" customFormat="1" ht="42" customHeight="1" x14ac:dyDescent="0.2">
      <c r="A201" s="288"/>
      <c r="B201" s="275"/>
      <c r="C201" s="2"/>
      <c r="D201" s="6"/>
      <c r="E201" s="6"/>
      <c r="F201" s="6"/>
      <c r="G201" s="6"/>
      <c r="H201" s="2"/>
      <c r="I201" s="6"/>
      <c r="J201" s="6"/>
      <c r="K201" s="6"/>
      <c r="L201" s="6"/>
      <c r="M201" s="2"/>
      <c r="N201" s="6"/>
      <c r="O201" s="6"/>
      <c r="P201" s="6"/>
      <c r="Q201" s="6"/>
      <c r="R201" s="2"/>
      <c r="S201" s="6"/>
      <c r="T201" s="6"/>
      <c r="U201" s="6"/>
      <c r="V201" s="6"/>
      <c r="W201" s="2"/>
      <c r="X201" s="32"/>
      <c r="Y201" s="32"/>
      <c r="Z201" s="32"/>
      <c r="AA201" s="32"/>
      <c r="AB201" s="81"/>
      <c r="AC201" s="39"/>
    </row>
    <row r="202" spans="1:29" s="84" customFormat="1" ht="42" customHeight="1" x14ac:dyDescent="0.2">
      <c r="A202" s="288"/>
      <c r="B202" s="275"/>
      <c r="C202" s="2"/>
      <c r="D202" s="6"/>
      <c r="E202" s="6"/>
      <c r="F202" s="6"/>
      <c r="G202" s="6"/>
      <c r="H202" s="2"/>
      <c r="I202" s="6"/>
      <c r="J202" s="6"/>
      <c r="K202" s="6"/>
      <c r="L202" s="6"/>
      <c r="M202" s="2"/>
      <c r="N202" s="6"/>
      <c r="O202" s="6"/>
      <c r="P202" s="6"/>
      <c r="Q202" s="6"/>
      <c r="R202" s="2"/>
      <c r="S202" s="6"/>
      <c r="T202" s="6"/>
      <c r="U202" s="6"/>
      <c r="V202" s="6"/>
      <c r="W202" s="2"/>
      <c r="X202" s="32"/>
      <c r="Y202" s="32"/>
      <c r="Z202" s="32"/>
      <c r="AA202" s="32"/>
      <c r="AB202" s="81"/>
      <c r="AC202" s="39"/>
    </row>
    <row r="203" spans="1:29" s="84" customFormat="1" ht="42" customHeight="1" x14ac:dyDescent="0.2">
      <c r="A203" s="288"/>
      <c r="B203" s="275"/>
      <c r="C203" s="2"/>
      <c r="D203" s="6"/>
      <c r="E203" s="6"/>
      <c r="F203" s="6"/>
      <c r="G203" s="6"/>
      <c r="H203" s="2"/>
      <c r="I203" s="6"/>
      <c r="J203" s="6"/>
      <c r="K203" s="6"/>
      <c r="L203" s="6"/>
      <c r="M203" s="2"/>
      <c r="N203" s="6"/>
      <c r="O203" s="6"/>
      <c r="P203" s="6"/>
      <c r="Q203" s="6"/>
      <c r="R203" s="2"/>
      <c r="S203" s="6"/>
      <c r="T203" s="6"/>
      <c r="U203" s="6"/>
      <c r="V203" s="6"/>
      <c r="W203" s="2"/>
      <c r="X203" s="32"/>
      <c r="Y203" s="32"/>
      <c r="Z203" s="32"/>
      <c r="AA203" s="32"/>
      <c r="AB203" s="81"/>
      <c r="AC203" s="39"/>
    </row>
    <row r="204" spans="1:29" s="84" customFormat="1" ht="42" customHeight="1" x14ac:dyDescent="0.2">
      <c r="A204" s="288"/>
      <c r="B204" s="275"/>
      <c r="C204" s="2"/>
      <c r="D204" s="6"/>
      <c r="E204" s="6"/>
      <c r="F204" s="6"/>
      <c r="G204" s="6"/>
      <c r="H204" s="2"/>
      <c r="I204" s="6"/>
      <c r="J204" s="6"/>
      <c r="K204" s="6"/>
      <c r="L204" s="6"/>
      <c r="M204" s="2"/>
      <c r="N204" s="6"/>
      <c r="O204" s="6"/>
      <c r="P204" s="6"/>
      <c r="Q204" s="6"/>
      <c r="R204" s="2"/>
      <c r="S204" s="6"/>
      <c r="T204" s="6"/>
      <c r="U204" s="6"/>
      <c r="V204" s="6"/>
      <c r="W204" s="2"/>
      <c r="X204" s="32"/>
      <c r="Y204" s="32"/>
      <c r="Z204" s="32"/>
      <c r="AA204" s="32"/>
      <c r="AB204" s="81"/>
      <c r="AC204" s="39"/>
    </row>
    <row r="205" spans="1:29" s="84" customFormat="1" ht="42" customHeight="1" x14ac:dyDescent="0.2">
      <c r="A205" s="288"/>
      <c r="B205" s="275"/>
      <c r="C205" s="2"/>
      <c r="D205" s="6"/>
      <c r="E205" s="6"/>
      <c r="F205" s="6"/>
      <c r="G205" s="6"/>
      <c r="H205" s="2"/>
      <c r="I205" s="6"/>
      <c r="J205" s="6"/>
      <c r="K205" s="6"/>
      <c r="L205" s="6"/>
      <c r="M205" s="2"/>
      <c r="N205" s="6"/>
      <c r="O205" s="6"/>
      <c r="P205" s="6"/>
      <c r="Q205" s="6"/>
      <c r="R205" s="2"/>
      <c r="S205" s="6"/>
      <c r="T205" s="6"/>
      <c r="U205" s="6"/>
      <c r="V205" s="6"/>
      <c r="W205" s="2"/>
      <c r="X205" s="32"/>
      <c r="Y205" s="32"/>
      <c r="Z205" s="32"/>
      <c r="AA205" s="32"/>
      <c r="AB205" s="81"/>
      <c r="AC205" s="39"/>
    </row>
    <row r="206" spans="1:29" s="84" customFormat="1" ht="42" customHeight="1" x14ac:dyDescent="0.2">
      <c r="A206" s="288"/>
      <c r="B206" s="275"/>
      <c r="C206" s="2"/>
      <c r="D206" s="6"/>
      <c r="E206" s="6"/>
      <c r="F206" s="6"/>
      <c r="G206" s="6"/>
      <c r="H206" s="2"/>
      <c r="I206" s="6"/>
      <c r="J206" s="6"/>
      <c r="K206" s="6"/>
      <c r="L206" s="6"/>
      <c r="M206" s="2"/>
      <c r="N206" s="6"/>
      <c r="O206" s="6"/>
      <c r="P206" s="6"/>
      <c r="Q206" s="6"/>
      <c r="R206" s="2"/>
      <c r="S206" s="6"/>
      <c r="T206" s="6"/>
      <c r="U206" s="6"/>
      <c r="V206" s="6"/>
      <c r="W206" s="2"/>
      <c r="X206" s="32"/>
      <c r="Y206" s="32"/>
      <c r="Z206" s="32"/>
      <c r="AA206" s="32"/>
      <c r="AB206" s="81"/>
      <c r="AC206" s="39"/>
    </row>
    <row r="207" spans="1:29" s="84" customFormat="1" ht="42" customHeight="1" x14ac:dyDescent="0.2">
      <c r="A207" s="32"/>
      <c r="B207" s="83"/>
      <c r="C207" s="2"/>
      <c r="D207" s="6"/>
      <c r="E207" s="6"/>
      <c r="F207" s="6"/>
      <c r="G207" s="6"/>
      <c r="H207" s="2"/>
      <c r="I207" s="6"/>
      <c r="J207" s="6"/>
      <c r="K207" s="6"/>
      <c r="L207" s="6"/>
      <c r="M207" s="2"/>
      <c r="N207" s="6"/>
      <c r="O207" s="6"/>
      <c r="P207" s="6"/>
      <c r="Q207" s="6"/>
      <c r="R207" s="2"/>
      <c r="S207" s="6"/>
      <c r="T207" s="6"/>
      <c r="U207" s="6"/>
      <c r="V207" s="6"/>
      <c r="W207" s="2"/>
      <c r="X207" s="32"/>
      <c r="Y207" s="32"/>
      <c r="Z207" s="32"/>
      <c r="AA207" s="32"/>
      <c r="AB207" s="81"/>
      <c r="AC207" s="39"/>
    </row>
    <row r="208" spans="1:29" s="84" customFormat="1" ht="42" customHeight="1" x14ac:dyDescent="0.2">
      <c r="A208" s="32"/>
      <c r="B208" s="83"/>
      <c r="C208" s="2"/>
      <c r="D208" s="6"/>
      <c r="E208" s="6"/>
      <c r="F208" s="6"/>
      <c r="G208" s="6"/>
      <c r="H208" s="2"/>
      <c r="I208" s="6"/>
      <c r="J208" s="6"/>
      <c r="K208" s="6"/>
      <c r="L208" s="6"/>
      <c r="M208" s="2"/>
      <c r="N208" s="6"/>
      <c r="O208" s="6"/>
      <c r="P208" s="6"/>
      <c r="Q208" s="6"/>
      <c r="R208" s="2"/>
      <c r="S208" s="6"/>
      <c r="T208" s="6"/>
      <c r="U208" s="6"/>
      <c r="V208" s="6"/>
      <c r="W208" s="2"/>
      <c r="X208" s="32"/>
      <c r="Y208" s="32"/>
      <c r="Z208" s="32"/>
      <c r="AA208" s="32"/>
      <c r="AB208" s="81"/>
      <c r="AC208" s="39"/>
    </row>
    <row r="209" spans="1:29" s="84" customFormat="1" ht="42" customHeight="1" x14ac:dyDescent="0.2">
      <c r="A209" s="32"/>
      <c r="B209" s="83"/>
      <c r="C209" s="2"/>
      <c r="D209" s="6"/>
      <c r="E209" s="6"/>
      <c r="F209" s="6"/>
      <c r="G209" s="6"/>
      <c r="H209" s="2"/>
      <c r="I209" s="6"/>
      <c r="J209" s="6"/>
      <c r="K209" s="6"/>
      <c r="L209" s="6"/>
      <c r="M209" s="2"/>
      <c r="N209" s="6"/>
      <c r="O209" s="6"/>
      <c r="P209" s="6"/>
      <c r="Q209" s="6"/>
      <c r="R209" s="2"/>
      <c r="S209" s="6"/>
      <c r="T209" s="6"/>
      <c r="U209" s="6"/>
      <c r="V209" s="6"/>
      <c r="W209" s="2"/>
      <c r="X209" s="32"/>
      <c r="Y209" s="32"/>
      <c r="Z209" s="32"/>
      <c r="AA209" s="32"/>
      <c r="AB209" s="81"/>
      <c r="AC209" s="39"/>
    </row>
    <row r="210" spans="1:29" s="84" customFormat="1" ht="42" customHeight="1" x14ac:dyDescent="0.2">
      <c r="A210" s="32"/>
      <c r="B210" s="83"/>
      <c r="C210" s="2"/>
      <c r="D210" s="6"/>
      <c r="E210" s="6"/>
      <c r="F210" s="6"/>
      <c r="G210" s="6"/>
      <c r="H210" s="2"/>
      <c r="I210" s="6"/>
      <c r="J210" s="6"/>
      <c r="K210" s="6"/>
      <c r="L210" s="6"/>
      <c r="M210" s="2"/>
      <c r="N210" s="6"/>
      <c r="O210" s="6"/>
      <c r="P210" s="6"/>
      <c r="Q210" s="6"/>
      <c r="R210" s="2"/>
      <c r="S210" s="6"/>
      <c r="T210" s="6"/>
      <c r="U210" s="6"/>
      <c r="V210" s="6"/>
      <c r="W210" s="2"/>
      <c r="X210" s="32"/>
      <c r="Y210" s="32"/>
      <c r="Z210" s="32"/>
      <c r="AA210" s="32"/>
      <c r="AB210" s="81"/>
      <c r="AC210" s="39"/>
    </row>
    <row r="211" spans="1:29" s="84" customFormat="1" ht="42" customHeight="1" x14ac:dyDescent="0.2">
      <c r="A211" s="32"/>
      <c r="B211" s="83"/>
      <c r="C211" s="2"/>
      <c r="D211" s="6"/>
      <c r="E211" s="6"/>
      <c r="F211" s="6"/>
      <c r="G211" s="6"/>
      <c r="H211" s="2"/>
      <c r="I211" s="6"/>
      <c r="J211" s="6"/>
      <c r="K211" s="6"/>
      <c r="L211" s="6"/>
      <c r="M211" s="2"/>
      <c r="N211" s="6"/>
      <c r="O211" s="6"/>
      <c r="P211" s="6"/>
      <c r="Q211" s="6"/>
      <c r="R211" s="2"/>
      <c r="S211" s="6"/>
      <c r="T211" s="6"/>
      <c r="U211" s="6"/>
      <c r="V211" s="6"/>
      <c r="W211" s="2"/>
      <c r="X211" s="32"/>
      <c r="Y211" s="32"/>
      <c r="Z211" s="32"/>
      <c r="AA211" s="32"/>
      <c r="AB211" s="81"/>
      <c r="AC211" s="39"/>
    </row>
    <row r="212" spans="1:29" s="84" customFormat="1" ht="42" customHeight="1" x14ac:dyDescent="0.2">
      <c r="A212" s="32"/>
      <c r="B212" s="83"/>
      <c r="C212" s="2"/>
      <c r="D212" s="6"/>
      <c r="E212" s="6"/>
      <c r="F212" s="6"/>
      <c r="G212" s="6"/>
      <c r="H212" s="2"/>
      <c r="I212" s="6"/>
      <c r="J212" s="6"/>
      <c r="K212" s="6"/>
      <c r="L212" s="6"/>
      <c r="M212" s="2"/>
      <c r="N212" s="6"/>
      <c r="O212" s="6"/>
      <c r="P212" s="6"/>
      <c r="Q212" s="6"/>
      <c r="R212" s="2"/>
      <c r="S212" s="6"/>
      <c r="T212" s="6"/>
      <c r="U212" s="6"/>
      <c r="V212" s="6"/>
      <c r="W212" s="2"/>
      <c r="X212" s="32"/>
      <c r="Y212" s="32"/>
      <c r="Z212" s="32"/>
      <c r="AA212" s="32"/>
      <c r="AB212" s="81"/>
      <c r="AC212" s="39"/>
    </row>
    <row r="213" spans="1:29" s="84" customFormat="1" ht="42" customHeight="1" x14ac:dyDescent="0.2">
      <c r="A213" s="32"/>
      <c r="B213" s="83"/>
      <c r="C213" s="2"/>
      <c r="D213" s="6"/>
      <c r="E213" s="6"/>
      <c r="F213" s="6"/>
      <c r="G213" s="6"/>
      <c r="H213" s="2"/>
      <c r="I213" s="6"/>
      <c r="J213" s="6"/>
      <c r="K213" s="6"/>
      <c r="L213" s="6"/>
      <c r="M213" s="2"/>
      <c r="N213" s="6"/>
      <c r="O213" s="6"/>
      <c r="P213" s="6"/>
      <c r="Q213" s="6"/>
      <c r="R213" s="2"/>
      <c r="S213" s="6"/>
      <c r="T213" s="6"/>
      <c r="U213" s="6"/>
      <c r="V213" s="6"/>
      <c r="W213" s="2"/>
      <c r="X213" s="32"/>
      <c r="Y213" s="32"/>
      <c r="Z213" s="32"/>
      <c r="AA213" s="32"/>
      <c r="AB213" s="81"/>
      <c r="AC213" s="39"/>
    </row>
    <row r="214" spans="1:29" s="84" customFormat="1" ht="42" customHeight="1" x14ac:dyDescent="0.2">
      <c r="A214" s="32"/>
      <c r="B214" s="83"/>
      <c r="C214" s="2"/>
      <c r="D214" s="6"/>
      <c r="E214" s="6"/>
      <c r="F214" s="6"/>
      <c r="G214" s="6"/>
      <c r="H214" s="2"/>
      <c r="I214" s="6"/>
      <c r="J214" s="6"/>
      <c r="K214" s="6"/>
      <c r="L214" s="6"/>
      <c r="M214" s="2"/>
      <c r="N214" s="6"/>
      <c r="O214" s="6"/>
      <c r="P214" s="6"/>
      <c r="Q214" s="6"/>
      <c r="R214" s="2"/>
      <c r="S214" s="6"/>
      <c r="T214" s="6"/>
      <c r="U214" s="6"/>
      <c r="V214" s="6"/>
      <c r="W214" s="2"/>
      <c r="X214" s="32"/>
      <c r="Y214" s="32"/>
      <c r="Z214" s="32"/>
      <c r="AA214" s="32"/>
      <c r="AB214" s="81"/>
      <c r="AC214" s="39"/>
    </row>
    <row r="215" spans="1:29" s="84" customFormat="1" ht="42" customHeight="1" x14ac:dyDescent="0.2">
      <c r="A215" s="32"/>
      <c r="B215" s="83"/>
      <c r="C215" s="2"/>
      <c r="D215" s="6"/>
      <c r="E215" s="6"/>
      <c r="F215" s="6"/>
      <c r="G215" s="6"/>
      <c r="H215" s="2"/>
      <c r="I215" s="6"/>
      <c r="J215" s="6"/>
      <c r="K215" s="6"/>
      <c r="L215" s="6"/>
      <c r="M215" s="2"/>
      <c r="N215" s="6"/>
      <c r="O215" s="6"/>
      <c r="P215" s="6"/>
      <c r="Q215" s="6"/>
      <c r="R215" s="2"/>
      <c r="S215" s="6"/>
      <c r="T215" s="6"/>
      <c r="U215" s="6"/>
      <c r="V215" s="6"/>
      <c r="W215" s="2"/>
      <c r="X215" s="32"/>
      <c r="Y215" s="32"/>
      <c r="Z215" s="32"/>
      <c r="AA215" s="32"/>
      <c r="AB215" s="81"/>
      <c r="AC215" s="39"/>
    </row>
    <row r="216" spans="1:29" s="84" customFormat="1" ht="42" customHeight="1" x14ac:dyDescent="0.2">
      <c r="A216" s="32"/>
      <c r="B216" s="83"/>
      <c r="C216" s="2"/>
      <c r="D216" s="6"/>
      <c r="E216" s="6"/>
      <c r="F216" s="6"/>
      <c r="G216" s="6"/>
      <c r="H216" s="2"/>
      <c r="I216" s="6"/>
      <c r="J216" s="6"/>
      <c r="K216" s="6"/>
      <c r="L216" s="6"/>
      <c r="M216" s="2"/>
      <c r="N216" s="6"/>
      <c r="O216" s="6"/>
      <c r="P216" s="6"/>
      <c r="Q216" s="6"/>
      <c r="R216" s="2"/>
      <c r="S216" s="6"/>
      <c r="T216" s="6"/>
      <c r="U216" s="6"/>
      <c r="V216" s="6"/>
      <c r="W216" s="2"/>
      <c r="X216" s="32"/>
      <c r="Y216" s="32"/>
      <c r="Z216" s="32"/>
      <c r="AA216" s="32"/>
      <c r="AB216" s="81"/>
      <c r="AC216" s="39"/>
    </row>
    <row r="217" spans="1:29" s="84" customFormat="1" ht="42" customHeight="1" x14ac:dyDescent="0.2">
      <c r="A217" s="32"/>
      <c r="B217" s="83"/>
      <c r="C217" s="2"/>
      <c r="D217" s="6"/>
      <c r="E217" s="6"/>
      <c r="F217" s="6"/>
      <c r="G217" s="6"/>
      <c r="H217" s="2"/>
      <c r="I217" s="6"/>
      <c r="J217" s="6"/>
      <c r="K217" s="6"/>
      <c r="L217" s="6"/>
      <c r="M217" s="2"/>
      <c r="N217" s="6"/>
      <c r="O217" s="6"/>
      <c r="P217" s="6"/>
      <c r="Q217" s="6"/>
      <c r="R217" s="2"/>
      <c r="S217" s="6"/>
      <c r="T217" s="6"/>
      <c r="U217" s="6"/>
      <c r="V217" s="6"/>
      <c r="W217" s="2"/>
      <c r="X217" s="32"/>
      <c r="Y217" s="32"/>
      <c r="Z217" s="32"/>
      <c r="AA217" s="32"/>
      <c r="AB217" s="81"/>
      <c r="AC217" s="39"/>
    </row>
    <row r="218" spans="1:29" s="84" customFormat="1" ht="42" customHeight="1" x14ac:dyDescent="0.2">
      <c r="A218" s="32"/>
      <c r="B218" s="83"/>
      <c r="C218" s="2"/>
      <c r="D218" s="6"/>
      <c r="E218" s="6"/>
      <c r="F218" s="6"/>
      <c r="G218" s="6"/>
      <c r="H218" s="2"/>
      <c r="I218" s="6"/>
      <c r="J218" s="6"/>
      <c r="K218" s="6"/>
      <c r="L218" s="6"/>
      <c r="M218" s="2"/>
      <c r="N218" s="6"/>
      <c r="O218" s="6"/>
      <c r="P218" s="6"/>
      <c r="Q218" s="6"/>
      <c r="R218" s="2"/>
      <c r="S218" s="6"/>
      <c r="T218" s="6"/>
      <c r="U218" s="6"/>
      <c r="V218" s="6"/>
      <c r="W218" s="2"/>
      <c r="X218" s="32"/>
      <c r="Y218" s="32"/>
      <c r="Z218" s="32"/>
      <c r="AA218" s="32"/>
      <c r="AB218" s="81"/>
      <c r="AC218" s="39"/>
    </row>
    <row r="219" spans="1:29" s="84" customFormat="1" ht="42" customHeight="1" x14ac:dyDescent="0.2">
      <c r="A219" s="32"/>
      <c r="B219" s="83"/>
      <c r="C219" s="2"/>
      <c r="D219" s="6"/>
      <c r="E219" s="6"/>
      <c r="F219" s="6"/>
      <c r="G219" s="6"/>
      <c r="H219" s="2"/>
      <c r="I219" s="6"/>
      <c r="J219" s="6"/>
      <c r="K219" s="6"/>
      <c r="L219" s="6"/>
      <c r="M219" s="2"/>
      <c r="N219" s="6"/>
      <c r="O219" s="6"/>
      <c r="P219" s="6"/>
      <c r="Q219" s="6"/>
      <c r="R219" s="2"/>
      <c r="S219" s="6"/>
      <c r="T219" s="6"/>
      <c r="U219" s="6"/>
      <c r="V219" s="6"/>
      <c r="W219" s="2"/>
      <c r="X219" s="32"/>
      <c r="Y219" s="32"/>
      <c r="Z219" s="32"/>
      <c r="AA219" s="32"/>
      <c r="AB219" s="81"/>
      <c r="AC219" s="39"/>
    </row>
    <row r="220" spans="1:29" s="84" customFormat="1" ht="42" customHeight="1" x14ac:dyDescent="0.2">
      <c r="A220" s="32"/>
      <c r="B220" s="83"/>
      <c r="C220" s="2"/>
      <c r="D220" s="6"/>
      <c r="E220" s="6"/>
      <c r="F220" s="6"/>
      <c r="G220" s="6"/>
      <c r="H220" s="2"/>
      <c r="I220" s="6"/>
      <c r="J220" s="6"/>
      <c r="K220" s="6"/>
      <c r="L220" s="6"/>
      <c r="M220" s="2"/>
      <c r="N220" s="6"/>
      <c r="O220" s="6"/>
      <c r="P220" s="6"/>
      <c r="Q220" s="6"/>
      <c r="R220" s="2"/>
      <c r="S220" s="6"/>
      <c r="T220" s="6"/>
      <c r="U220" s="6"/>
      <c r="V220" s="6"/>
      <c r="W220" s="2"/>
      <c r="X220" s="32"/>
      <c r="Y220" s="32"/>
      <c r="Z220" s="32"/>
      <c r="AA220" s="32"/>
      <c r="AB220" s="81"/>
      <c r="AC220" s="39"/>
    </row>
    <row r="221" spans="1:29" s="84" customFormat="1" ht="42" customHeight="1" x14ac:dyDescent="0.2">
      <c r="A221" s="32"/>
      <c r="B221" s="83"/>
      <c r="C221" s="2"/>
      <c r="D221" s="6"/>
      <c r="E221" s="6"/>
      <c r="F221" s="6"/>
      <c r="G221" s="6"/>
      <c r="H221" s="2"/>
      <c r="I221" s="6"/>
      <c r="J221" s="6"/>
      <c r="K221" s="6"/>
      <c r="L221" s="6"/>
      <c r="M221" s="2"/>
      <c r="N221" s="6"/>
      <c r="O221" s="6"/>
      <c r="P221" s="6"/>
      <c r="Q221" s="6"/>
      <c r="R221" s="2"/>
      <c r="S221" s="6"/>
      <c r="T221" s="6"/>
      <c r="U221" s="6"/>
      <c r="V221" s="6"/>
      <c r="W221" s="2"/>
      <c r="X221" s="32"/>
      <c r="Y221" s="32"/>
      <c r="Z221" s="32"/>
      <c r="AA221" s="32"/>
      <c r="AB221" s="81"/>
      <c r="AC221" s="39"/>
    </row>
    <row r="222" spans="1:29" s="84" customFormat="1" ht="42" customHeight="1" x14ac:dyDescent="0.2">
      <c r="A222" s="32"/>
      <c r="B222" s="83"/>
      <c r="C222" s="2"/>
      <c r="D222" s="6"/>
      <c r="E222" s="6"/>
      <c r="F222" s="6"/>
      <c r="G222" s="6"/>
      <c r="H222" s="2"/>
      <c r="I222" s="6"/>
      <c r="J222" s="6"/>
      <c r="K222" s="6"/>
      <c r="L222" s="6"/>
      <c r="M222" s="2"/>
      <c r="N222" s="6"/>
      <c r="O222" s="6"/>
      <c r="P222" s="6"/>
      <c r="Q222" s="6"/>
      <c r="R222" s="2"/>
      <c r="S222" s="6"/>
      <c r="T222" s="6"/>
      <c r="U222" s="6"/>
      <c r="V222" s="6"/>
      <c r="W222" s="2"/>
      <c r="X222" s="32"/>
      <c r="Y222" s="32"/>
      <c r="Z222" s="32"/>
      <c r="AA222" s="32"/>
      <c r="AB222" s="81"/>
      <c r="AC222" s="39"/>
    </row>
    <row r="223" spans="1:29" s="84" customFormat="1" ht="42" customHeight="1" x14ac:dyDescent="0.2">
      <c r="A223" s="32"/>
      <c r="B223" s="83"/>
      <c r="C223" s="2"/>
      <c r="D223" s="6"/>
      <c r="E223" s="6"/>
      <c r="F223" s="6"/>
      <c r="G223" s="6"/>
      <c r="H223" s="2"/>
      <c r="I223" s="6"/>
      <c r="J223" s="6"/>
      <c r="K223" s="6"/>
      <c r="L223" s="6"/>
      <c r="M223" s="2"/>
      <c r="N223" s="6"/>
      <c r="O223" s="6"/>
      <c r="P223" s="6"/>
      <c r="Q223" s="6"/>
      <c r="R223" s="2"/>
      <c r="S223" s="6"/>
      <c r="T223" s="6"/>
      <c r="U223" s="6"/>
      <c r="V223" s="6"/>
      <c r="W223" s="2"/>
      <c r="X223" s="32"/>
      <c r="Y223" s="32"/>
      <c r="Z223" s="32"/>
      <c r="AA223" s="32"/>
      <c r="AB223" s="81"/>
      <c r="AC223" s="39"/>
    </row>
    <row r="224" spans="1:29" s="84" customFormat="1" ht="42" customHeight="1" x14ac:dyDescent="0.2">
      <c r="A224" s="32"/>
      <c r="B224" s="83"/>
      <c r="C224" s="2"/>
      <c r="D224" s="6"/>
      <c r="E224" s="6"/>
      <c r="F224" s="6"/>
      <c r="G224" s="6"/>
      <c r="H224" s="2"/>
      <c r="I224" s="6"/>
      <c r="J224" s="6"/>
      <c r="K224" s="6"/>
      <c r="L224" s="6"/>
      <c r="M224" s="2"/>
      <c r="N224" s="6"/>
      <c r="O224" s="6"/>
      <c r="P224" s="6"/>
      <c r="Q224" s="6"/>
      <c r="R224" s="2"/>
      <c r="S224" s="6"/>
      <c r="T224" s="6"/>
      <c r="U224" s="6"/>
      <c r="V224" s="6"/>
      <c r="W224" s="2"/>
      <c r="X224" s="32"/>
      <c r="Y224" s="32"/>
      <c r="Z224" s="32"/>
      <c r="AA224" s="32"/>
      <c r="AB224" s="81"/>
      <c r="AC224" s="39"/>
    </row>
    <row r="225" spans="1:29" s="84" customFormat="1" ht="42" customHeight="1" x14ac:dyDescent="0.2">
      <c r="A225" s="32"/>
      <c r="B225" s="83"/>
      <c r="C225" s="2"/>
      <c r="D225" s="6"/>
      <c r="E225" s="6"/>
      <c r="F225" s="6"/>
      <c r="G225" s="6"/>
      <c r="H225" s="2"/>
      <c r="I225" s="6"/>
      <c r="J225" s="6"/>
      <c r="K225" s="6"/>
      <c r="L225" s="6"/>
      <c r="M225" s="2"/>
      <c r="N225" s="6"/>
      <c r="O225" s="6"/>
      <c r="P225" s="6"/>
      <c r="Q225" s="6"/>
      <c r="R225" s="2"/>
      <c r="S225" s="6"/>
      <c r="T225" s="6"/>
      <c r="U225" s="6"/>
      <c r="V225" s="6"/>
      <c r="W225" s="2"/>
      <c r="X225" s="32"/>
      <c r="Y225" s="32"/>
      <c r="Z225" s="32"/>
      <c r="AA225" s="32"/>
      <c r="AB225" s="81"/>
      <c r="AC225" s="39"/>
    </row>
    <row r="226" spans="1:29" s="84" customFormat="1" ht="42" customHeight="1" x14ac:dyDescent="0.2">
      <c r="A226" s="32"/>
      <c r="B226" s="83"/>
      <c r="C226" s="2"/>
      <c r="D226" s="6"/>
      <c r="E226" s="6"/>
      <c r="F226" s="6"/>
      <c r="G226" s="6"/>
      <c r="H226" s="2"/>
      <c r="I226" s="6"/>
      <c r="J226" s="6"/>
      <c r="K226" s="6"/>
      <c r="L226" s="6"/>
      <c r="M226" s="2"/>
      <c r="N226" s="6"/>
      <c r="O226" s="6"/>
      <c r="P226" s="6"/>
      <c r="Q226" s="6"/>
      <c r="R226" s="2"/>
      <c r="S226" s="6"/>
      <c r="T226" s="6"/>
      <c r="U226" s="6"/>
      <c r="V226" s="6"/>
      <c r="W226" s="2"/>
      <c r="X226" s="32"/>
      <c r="Y226" s="32"/>
      <c r="Z226" s="32"/>
      <c r="AA226" s="32"/>
      <c r="AB226" s="81"/>
      <c r="AC226" s="39"/>
    </row>
    <row r="227" spans="1:29" s="84" customFormat="1" ht="42" customHeight="1" x14ac:dyDescent="0.2">
      <c r="A227" s="32"/>
      <c r="B227" s="83"/>
      <c r="C227" s="2"/>
      <c r="D227" s="6"/>
      <c r="E227" s="6"/>
      <c r="F227" s="6"/>
      <c r="G227" s="6"/>
      <c r="H227" s="2"/>
      <c r="I227" s="6"/>
      <c r="J227" s="6"/>
      <c r="K227" s="6"/>
      <c r="L227" s="6"/>
      <c r="M227" s="2"/>
      <c r="N227" s="6"/>
      <c r="O227" s="6"/>
      <c r="P227" s="6"/>
      <c r="Q227" s="6"/>
      <c r="R227" s="2"/>
      <c r="S227" s="6"/>
      <c r="T227" s="6"/>
      <c r="U227" s="6"/>
      <c r="V227" s="6"/>
      <c r="W227" s="2"/>
      <c r="X227" s="32"/>
      <c r="Y227" s="32"/>
      <c r="Z227" s="32"/>
      <c r="AA227" s="32"/>
      <c r="AB227" s="81"/>
      <c r="AC227" s="39"/>
    </row>
    <row r="228" spans="1:29" s="84" customFormat="1" ht="42" customHeight="1" x14ac:dyDescent="0.2">
      <c r="A228" s="32"/>
      <c r="B228" s="83"/>
      <c r="C228" s="2"/>
      <c r="D228" s="6"/>
      <c r="E228" s="6"/>
      <c r="F228" s="6"/>
      <c r="G228" s="6"/>
      <c r="H228" s="2"/>
      <c r="I228" s="6"/>
      <c r="J228" s="6"/>
      <c r="K228" s="6"/>
      <c r="L228" s="6"/>
      <c r="M228" s="2"/>
      <c r="N228" s="6"/>
      <c r="O228" s="6"/>
      <c r="P228" s="6"/>
      <c r="Q228" s="6"/>
      <c r="R228" s="2"/>
      <c r="S228" s="6"/>
      <c r="T228" s="6"/>
      <c r="U228" s="6"/>
      <c r="V228" s="6"/>
      <c r="W228" s="2"/>
      <c r="X228" s="32"/>
      <c r="Y228" s="32"/>
      <c r="Z228" s="32"/>
      <c r="AA228" s="32"/>
      <c r="AB228" s="81"/>
      <c r="AC228" s="39"/>
    </row>
    <row r="229" spans="1:29" s="84" customFormat="1" ht="42" customHeight="1" x14ac:dyDescent="0.2">
      <c r="A229" s="32"/>
      <c r="B229" s="83"/>
      <c r="C229" s="2"/>
      <c r="D229" s="6"/>
      <c r="E229" s="6"/>
      <c r="F229" s="6"/>
      <c r="G229" s="6"/>
      <c r="H229" s="2"/>
      <c r="I229" s="6"/>
      <c r="J229" s="6"/>
      <c r="K229" s="6"/>
      <c r="L229" s="6"/>
      <c r="M229" s="2"/>
      <c r="N229" s="6"/>
      <c r="O229" s="6"/>
      <c r="P229" s="6"/>
      <c r="Q229" s="6"/>
      <c r="R229" s="2"/>
      <c r="S229" s="6"/>
      <c r="T229" s="6"/>
      <c r="U229" s="6"/>
      <c r="V229" s="6"/>
      <c r="W229" s="2"/>
      <c r="X229" s="32"/>
      <c r="Y229" s="32"/>
      <c r="Z229" s="32"/>
      <c r="AA229" s="32"/>
      <c r="AB229" s="81"/>
      <c r="AC229" s="39"/>
    </row>
    <row r="230" spans="1:29" s="84" customFormat="1" ht="42" customHeight="1" x14ac:dyDescent="0.2">
      <c r="A230" s="32"/>
      <c r="B230" s="83"/>
      <c r="C230" s="2"/>
      <c r="D230" s="6"/>
      <c r="E230" s="6"/>
      <c r="F230" s="6"/>
      <c r="G230" s="6"/>
      <c r="H230" s="2"/>
      <c r="I230" s="6"/>
      <c r="J230" s="6"/>
      <c r="K230" s="6"/>
      <c r="L230" s="6"/>
      <c r="M230" s="2"/>
      <c r="N230" s="6"/>
      <c r="O230" s="6"/>
      <c r="P230" s="6"/>
      <c r="Q230" s="6"/>
      <c r="R230" s="2"/>
      <c r="S230" s="6"/>
      <c r="T230" s="6"/>
      <c r="U230" s="6"/>
      <c r="V230" s="6"/>
      <c r="W230" s="2"/>
      <c r="X230" s="32"/>
      <c r="Y230" s="32"/>
      <c r="Z230" s="32"/>
      <c r="AA230" s="32"/>
      <c r="AB230" s="81"/>
      <c r="AC230" s="39"/>
    </row>
    <row r="231" spans="1:29" s="84" customFormat="1" ht="42" customHeight="1" x14ac:dyDescent="0.2">
      <c r="A231" s="32"/>
      <c r="B231" s="83"/>
      <c r="C231" s="2"/>
      <c r="D231" s="6"/>
      <c r="E231" s="6"/>
      <c r="F231" s="6"/>
      <c r="G231" s="6"/>
      <c r="H231" s="2"/>
      <c r="I231" s="6"/>
      <c r="J231" s="6"/>
      <c r="K231" s="6"/>
      <c r="L231" s="6"/>
      <c r="M231" s="2"/>
      <c r="N231" s="6"/>
      <c r="O231" s="6"/>
      <c r="P231" s="6"/>
      <c r="Q231" s="6"/>
      <c r="R231" s="2"/>
      <c r="S231" s="6"/>
      <c r="T231" s="6"/>
      <c r="U231" s="6"/>
      <c r="V231" s="6"/>
      <c r="W231" s="2"/>
      <c r="X231" s="32"/>
      <c r="Y231" s="32"/>
      <c r="Z231" s="32"/>
      <c r="AA231" s="32"/>
      <c r="AB231" s="81"/>
      <c r="AC231" s="39"/>
    </row>
    <row r="232" spans="1:29" s="84" customFormat="1" ht="42" customHeight="1" x14ac:dyDescent="0.2">
      <c r="A232" s="32"/>
      <c r="B232" s="83"/>
      <c r="C232" s="2"/>
      <c r="D232" s="6"/>
      <c r="E232" s="6"/>
      <c r="F232" s="6"/>
      <c r="G232" s="6"/>
      <c r="H232" s="2"/>
      <c r="I232" s="6"/>
      <c r="J232" s="6"/>
      <c r="K232" s="6"/>
      <c r="L232" s="6"/>
      <c r="M232" s="2"/>
      <c r="N232" s="6"/>
      <c r="O232" s="6"/>
      <c r="P232" s="6"/>
      <c r="Q232" s="6"/>
      <c r="R232" s="2"/>
      <c r="S232" s="6"/>
      <c r="T232" s="6"/>
      <c r="U232" s="6"/>
      <c r="V232" s="6"/>
      <c r="W232" s="2"/>
      <c r="X232" s="32"/>
      <c r="Y232" s="32"/>
      <c r="Z232" s="32"/>
      <c r="AA232" s="32"/>
      <c r="AB232" s="81"/>
      <c r="AC232" s="39"/>
    </row>
    <row r="233" spans="1:29" s="84" customFormat="1" ht="42" customHeight="1" x14ac:dyDescent="0.2">
      <c r="A233" s="32"/>
      <c r="B233" s="83"/>
      <c r="C233" s="2"/>
      <c r="D233" s="6"/>
      <c r="E233" s="6"/>
      <c r="F233" s="6"/>
      <c r="G233" s="6"/>
      <c r="H233" s="2"/>
      <c r="I233" s="6"/>
      <c r="J233" s="6"/>
      <c r="K233" s="6"/>
      <c r="L233" s="6"/>
      <c r="M233" s="2"/>
      <c r="N233" s="6"/>
      <c r="O233" s="6"/>
      <c r="P233" s="6"/>
      <c r="Q233" s="6"/>
      <c r="R233" s="2"/>
      <c r="S233" s="6"/>
      <c r="T233" s="6"/>
      <c r="U233" s="6"/>
      <c r="V233" s="6"/>
      <c r="W233" s="2"/>
      <c r="X233" s="32"/>
      <c r="Y233" s="32"/>
      <c r="Z233" s="32"/>
      <c r="AA233" s="32"/>
      <c r="AB233" s="81"/>
      <c r="AC233" s="39"/>
    </row>
    <row r="234" spans="1:29" s="84" customFormat="1" ht="42" customHeight="1" x14ac:dyDescent="0.2">
      <c r="A234" s="32"/>
      <c r="B234" s="83"/>
      <c r="C234" s="2"/>
      <c r="D234" s="6"/>
      <c r="E234" s="6"/>
      <c r="F234" s="6"/>
      <c r="G234" s="6"/>
      <c r="H234" s="2"/>
      <c r="I234" s="6"/>
      <c r="J234" s="6"/>
      <c r="K234" s="6"/>
      <c r="L234" s="6"/>
      <c r="M234" s="2"/>
      <c r="N234" s="6"/>
      <c r="O234" s="6"/>
      <c r="P234" s="6"/>
      <c r="Q234" s="6"/>
      <c r="R234" s="2"/>
      <c r="S234" s="6"/>
      <c r="T234" s="6"/>
      <c r="U234" s="6"/>
      <c r="V234" s="6"/>
      <c r="W234" s="2"/>
      <c r="X234" s="32"/>
      <c r="Y234" s="32"/>
      <c r="Z234" s="32"/>
      <c r="AA234" s="32"/>
      <c r="AB234" s="81"/>
      <c r="AC234" s="39"/>
    </row>
    <row r="235" spans="1:29" s="84" customFormat="1" ht="42" customHeight="1" x14ac:dyDescent="0.2">
      <c r="A235" s="32"/>
      <c r="B235" s="83"/>
      <c r="C235" s="2"/>
      <c r="D235" s="6"/>
      <c r="E235" s="6"/>
      <c r="F235" s="6"/>
      <c r="G235" s="6"/>
      <c r="H235" s="2"/>
      <c r="I235" s="6"/>
      <c r="J235" s="6"/>
      <c r="K235" s="6"/>
      <c r="L235" s="6"/>
      <c r="M235" s="2"/>
      <c r="N235" s="6"/>
      <c r="O235" s="6"/>
      <c r="P235" s="6"/>
      <c r="Q235" s="6"/>
      <c r="R235" s="2"/>
      <c r="S235" s="6"/>
      <c r="T235" s="6"/>
      <c r="U235" s="6"/>
      <c r="V235" s="6"/>
      <c r="W235" s="2"/>
      <c r="X235" s="32"/>
      <c r="Y235" s="32"/>
      <c r="Z235" s="32"/>
      <c r="AA235" s="32"/>
      <c r="AB235" s="81"/>
      <c r="AC235" s="39"/>
    </row>
    <row r="236" spans="1:29" s="84" customFormat="1" ht="42" customHeight="1" x14ac:dyDescent="0.2">
      <c r="A236" s="32"/>
      <c r="B236" s="83"/>
      <c r="C236" s="2"/>
      <c r="D236" s="6"/>
      <c r="E236" s="6"/>
      <c r="F236" s="6"/>
      <c r="G236" s="6"/>
      <c r="H236" s="2"/>
      <c r="I236" s="6"/>
      <c r="J236" s="6"/>
      <c r="K236" s="6"/>
      <c r="L236" s="6"/>
      <c r="M236" s="2"/>
      <c r="N236" s="6"/>
      <c r="O236" s="6"/>
      <c r="P236" s="6"/>
      <c r="Q236" s="6"/>
      <c r="R236" s="2"/>
      <c r="S236" s="6"/>
      <c r="T236" s="6"/>
      <c r="U236" s="6"/>
      <c r="V236" s="6"/>
      <c r="W236" s="2"/>
      <c r="X236" s="32"/>
      <c r="Y236" s="32"/>
      <c r="Z236" s="32"/>
      <c r="AA236" s="32"/>
      <c r="AB236" s="81"/>
      <c r="AC236" s="39"/>
    </row>
    <row r="237" spans="1:29" s="84" customFormat="1" ht="42" customHeight="1" x14ac:dyDescent="0.2">
      <c r="A237" s="32"/>
      <c r="B237" s="83"/>
      <c r="C237" s="2"/>
      <c r="D237" s="6"/>
      <c r="E237" s="6"/>
      <c r="F237" s="6"/>
      <c r="G237" s="6"/>
      <c r="H237" s="2"/>
      <c r="I237" s="6"/>
      <c r="J237" s="6"/>
      <c r="K237" s="6"/>
      <c r="L237" s="6"/>
      <c r="M237" s="2"/>
      <c r="N237" s="6"/>
      <c r="O237" s="6"/>
      <c r="P237" s="6"/>
      <c r="Q237" s="6"/>
      <c r="R237" s="2"/>
      <c r="S237" s="6"/>
      <c r="T237" s="6"/>
      <c r="U237" s="6"/>
      <c r="V237" s="6"/>
      <c r="W237" s="2"/>
      <c r="X237" s="32"/>
      <c r="Y237" s="32"/>
      <c r="Z237" s="32"/>
      <c r="AA237" s="32"/>
      <c r="AB237" s="81"/>
      <c r="AC237" s="39"/>
    </row>
    <row r="238" spans="1:29" s="84" customFormat="1" ht="42" customHeight="1" x14ac:dyDescent="0.2">
      <c r="A238" s="32"/>
      <c r="B238" s="83"/>
      <c r="C238" s="2"/>
      <c r="D238" s="6"/>
      <c r="E238" s="6"/>
      <c r="F238" s="6"/>
      <c r="G238" s="6"/>
      <c r="H238" s="2"/>
      <c r="I238" s="6"/>
      <c r="J238" s="6"/>
      <c r="K238" s="6"/>
      <c r="L238" s="6"/>
      <c r="M238" s="2"/>
      <c r="N238" s="6"/>
      <c r="O238" s="6"/>
      <c r="P238" s="6"/>
      <c r="Q238" s="6"/>
      <c r="R238" s="2"/>
      <c r="S238" s="6"/>
      <c r="T238" s="6"/>
      <c r="U238" s="6"/>
      <c r="V238" s="6"/>
      <c r="W238" s="2"/>
      <c r="X238" s="32"/>
      <c r="Y238" s="32"/>
      <c r="Z238" s="32"/>
      <c r="AA238" s="32"/>
      <c r="AB238" s="81"/>
      <c r="AC238" s="39"/>
    </row>
    <row r="239" spans="1:29" s="84" customFormat="1" ht="42" customHeight="1" x14ac:dyDescent="0.2">
      <c r="A239" s="32"/>
      <c r="B239" s="83"/>
      <c r="C239" s="2"/>
      <c r="D239" s="6"/>
      <c r="E239" s="6"/>
      <c r="F239" s="6"/>
      <c r="G239" s="6"/>
      <c r="H239" s="2"/>
      <c r="I239" s="6"/>
      <c r="J239" s="6"/>
      <c r="K239" s="6"/>
      <c r="L239" s="6"/>
      <c r="M239" s="2"/>
      <c r="N239" s="6"/>
      <c r="O239" s="6"/>
      <c r="P239" s="6"/>
      <c r="Q239" s="6"/>
      <c r="R239" s="2"/>
      <c r="S239" s="6"/>
      <c r="T239" s="6"/>
      <c r="U239" s="6"/>
      <c r="V239" s="6"/>
      <c r="W239" s="2"/>
      <c r="X239" s="32"/>
      <c r="Y239" s="32"/>
      <c r="Z239" s="32"/>
      <c r="AA239" s="32"/>
      <c r="AB239" s="81"/>
      <c r="AC239" s="39"/>
    </row>
    <row r="240" spans="1:29" s="84" customFormat="1" ht="42" customHeight="1" x14ac:dyDescent="0.2">
      <c r="A240" s="32"/>
      <c r="B240" s="83"/>
      <c r="C240" s="2"/>
      <c r="D240" s="6"/>
      <c r="E240" s="6"/>
      <c r="F240" s="6"/>
      <c r="G240" s="6"/>
      <c r="H240" s="2"/>
      <c r="I240" s="6"/>
      <c r="J240" s="6"/>
      <c r="K240" s="6"/>
      <c r="L240" s="6"/>
      <c r="M240" s="2"/>
      <c r="N240" s="6"/>
      <c r="O240" s="6"/>
      <c r="P240" s="6"/>
      <c r="Q240" s="6"/>
      <c r="R240" s="2"/>
      <c r="S240" s="6"/>
      <c r="T240" s="6"/>
      <c r="U240" s="6"/>
      <c r="V240" s="6"/>
      <c r="W240" s="2"/>
      <c r="X240" s="32"/>
      <c r="Y240" s="32"/>
      <c r="Z240" s="32"/>
      <c r="AA240" s="32"/>
      <c r="AB240" s="81"/>
      <c r="AC240" s="39"/>
    </row>
    <row r="241" spans="1:29" s="84" customFormat="1" ht="42" customHeight="1" x14ac:dyDescent="0.2">
      <c r="A241" s="32"/>
      <c r="B241" s="83"/>
      <c r="C241" s="2"/>
      <c r="D241" s="6"/>
      <c r="E241" s="6"/>
      <c r="F241" s="6"/>
      <c r="G241" s="6"/>
      <c r="H241" s="2"/>
      <c r="I241" s="6"/>
      <c r="J241" s="6"/>
      <c r="K241" s="6"/>
      <c r="L241" s="6"/>
      <c r="M241" s="2"/>
      <c r="N241" s="6"/>
      <c r="O241" s="6"/>
      <c r="P241" s="6"/>
      <c r="Q241" s="6"/>
      <c r="R241" s="2"/>
      <c r="S241" s="6"/>
      <c r="T241" s="6"/>
      <c r="U241" s="6"/>
      <c r="V241" s="6"/>
      <c r="W241" s="2"/>
      <c r="X241" s="32"/>
      <c r="Y241" s="32"/>
      <c r="Z241" s="32"/>
      <c r="AA241" s="32"/>
      <c r="AB241" s="81"/>
      <c r="AC241" s="39"/>
    </row>
    <row r="242" spans="1:29" s="84" customFormat="1" ht="42" customHeight="1" x14ac:dyDescent="0.2">
      <c r="A242" s="32"/>
      <c r="B242" s="83"/>
      <c r="C242" s="2"/>
      <c r="D242" s="6"/>
      <c r="E242" s="6"/>
      <c r="F242" s="6"/>
      <c r="G242" s="6"/>
      <c r="H242" s="2"/>
      <c r="I242" s="6"/>
      <c r="J242" s="6"/>
      <c r="K242" s="6"/>
      <c r="L242" s="6"/>
      <c r="M242" s="2"/>
      <c r="N242" s="6"/>
      <c r="O242" s="6"/>
      <c r="P242" s="6"/>
      <c r="Q242" s="6"/>
      <c r="R242" s="2"/>
      <c r="S242" s="6"/>
      <c r="T242" s="6"/>
      <c r="U242" s="6"/>
      <c r="V242" s="6"/>
      <c r="W242" s="2"/>
      <c r="X242" s="32"/>
      <c r="Y242" s="32"/>
      <c r="Z242" s="32"/>
      <c r="AA242" s="32"/>
      <c r="AB242" s="81"/>
      <c r="AC242" s="39"/>
    </row>
    <row r="243" spans="1:29" s="84" customFormat="1" ht="42" customHeight="1" x14ac:dyDescent="0.2">
      <c r="A243" s="32"/>
      <c r="B243" s="83"/>
      <c r="C243" s="2"/>
      <c r="D243" s="6"/>
      <c r="E243" s="6"/>
      <c r="F243" s="6"/>
      <c r="G243" s="6"/>
      <c r="H243" s="2"/>
      <c r="I243" s="6"/>
      <c r="J243" s="6"/>
      <c r="K243" s="6"/>
      <c r="L243" s="6"/>
      <c r="M243" s="2"/>
      <c r="N243" s="6"/>
      <c r="O243" s="6"/>
      <c r="P243" s="6"/>
      <c r="Q243" s="6"/>
      <c r="R243" s="2"/>
      <c r="S243" s="6"/>
      <c r="T243" s="6"/>
      <c r="U243" s="6"/>
      <c r="V243" s="6"/>
      <c r="W243" s="2"/>
      <c r="X243" s="32"/>
      <c r="Y243" s="32"/>
      <c r="Z243" s="32"/>
      <c r="AA243" s="32"/>
      <c r="AB243" s="81"/>
      <c r="AC243" s="39"/>
    </row>
    <row r="244" spans="1:29" s="84" customFormat="1" ht="42" customHeight="1" x14ac:dyDescent="0.2">
      <c r="A244" s="32"/>
      <c r="B244" s="83"/>
      <c r="C244" s="2"/>
      <c r="D244" s="6"/>
      <c r="E244" s="6"/>
      <c r="F244" s="6"/>
      <c r="G244" s="6"/>
      <c r="H244" s="2"/>
      <c r="I244" s="6"/>
      <c r="J244" s="6"/>
      <c r="K244" s="6"/>
      <c r="L244" s="6"/>
      <c r="M244" s="2"/>
      <c r="N244" s="6"/>
      <c r="O244" s="6"/>
      <c r="P244" s="6"/>
      <c r="Q244" s="6"/>
      <c r="R244" s="2"/>
      <c r="S244" s="6"/>
      <c r="T244" s="6"/>
      <c r="U244" s="6"/>
      <c r="V244" s="6"/>
      <c r="W244" s="2"/>
      <c r="X244" s="32"/>
      <c r="Y244" s="32"/>
      <c r="Z244" s="32"/>
      <c r="AA244" s="32"/>
      <c r="AB244" s="81"/>
      <c r="AC244" s="39"/>
    </row>
    <row r="245" spans="1:29" s="84" customFormat="1" ht="42" customHeight="1" x14ac:dyDescent="0.2">
      <c r="A245" s="32"/>
      <c r="B245" s="83"/>
      <c r="C245" s="2"/>
      <c r="D245" s="6"/>
      <c r="E245" s="6"/>
      <c r="F245" s="6"/>
      <c r="G245" s="6"/>
      <c r="H245" s="2"/>
      <c r="I245" s="6"/>
      <c r="J245" s="6"/>
      <c r="K245" s="6"/>
      <c r="L245" s="6"/>
      <c r="M245" s="2"/>
      <c r="N245" s="6"/>
      <c r="O245" s="6"/>
      <c r="P245" s="6"/>
      <c r="Q245" s="6"/>
      <c r="R245" s="2"/>
      <c r="S245" s="6"/>
      <c r="T245" s="6"/>
      <c r="U245" s="6"/>
      <c r="V245" s="6"/>
      <c r="W245" s="2"/>
      <c r="X245" s="32"/>
      <c r="Y245" s="32"/>
      <c r="Z245" s="32"/>
      <c r="AA245" s="32"/>
      <c r="AB245" s="81"/>
      <c r="AC245" s="39"/>
    </row>
    <row r="246" spans="1:29" s="84" customFormat="1" ht="42" customHeight="1" x14ac:dyDescent="0.2">
      <c r="A246" s="32"/>
      <c r="B246" s="83"/>
      <c r="C246" s="2"/>
      <c r="D246" s="6"/>
      <c r="E246" s="6"/>
      <c r="F246" s="6"/>
      <c r="G246" s="6"/>
      <c r="H246" s="2"/>
      <c r="I246" s="6"/>
      <c r="J246" s="6"/>
      <c r="K246" s="6"/>
      <c r="L246" s="6"/>
      <c r="M246" s="2"/>
      <c r="N246" s="6"/>
      <c r="O246" s="6"/>
      <c r="P246" s="6"/>
      <c r="Q246" s="6"/>
      <c r="R246" s="2"/>
      <c r="S246" s="6"/>
      <c r="T246" s="6"/>
      <c r="U246" s="6"/>
      <c r="V246" s="6"/>
      <c r="W246" s="2"/>
      <c r="X246" s="32"/>
      <c r="Y246" s="32"/>
      <c r="Z246" s="32"/>
      <c r="AA246" s="32"/>
      <c r="AB246" s="81"/>
      <c r="AC246" s="39"/>
    </row>
    <row r="247" spans="1:29" s="84" customFormat="1" ht="42" customHeight="1" x14ac:dyDescent="0.2">
      <c r="A247" s="32"/>
      <c r="B247" s="83"/>
      <c r="C247" s="2"/>
      <c r="D247" s="6"/>
      <c r="E247" s="6"/>
      <c r="F247" s="6"/>
      <c r="G247" s="6"/>
      <c r="H247" s="2"/>
      <c r="I247" s="6"/>
      <c r="J247" s="6"/>
      <c r="K247" s="6"/>
      <c r="L247" s="6"/>
      <c r="M247" s="2"/>
      <c r="N247" s="6"/>
      <c r="O247" s="6"/>
      <c r="P247" s="6"/>
      <c r="Q247" s="6"/>
      <c r="R247" s="2"/>
      <c r="S247" s="6"/>
      <c r="T247" s="6"/>
      <c r="U247" s="6"/>
      <c r="V247" s="6"/>
      <c r="W247" s="2"/>
      <c r="X247" s="32"/>
      <c r="Y247" s="32"/>
      <c r="Z247" s="32"/>
      <c r="AA247" s="32"/>
      <c r="AB247" s="81"/>
      <c r="AC247" s="39"/>
    </row>
    <row r="248" spans="1:29" s="84" customFormat="1" ht="42" customHeight="1" x14ac:dyDescent="0.2">
      <c r="A248" s="32"/>
      <c r="B248" s="83"/>
      <c r="C248" s="2"/>
      <c r="D248" s="6"/>
      <c r="E248" s="6"/>
      <c r="F248" s="6"/>
      <c r="G248" s="6"/>
      <c r="H248" s="2"/>
      <c r="I248" s="6"/>
      <c r="J248" s="6"/>
      <c r="K248" s="6"/>
      <c r="L248" s="6"/>
      <c r="M248" s="2"/>
      <c r="N248" s="6"/>
      <c r="O248" s="6"/>
      <c r="P248" s="6"/>
      <c r="Q248" s="6"/>
      <c r="R248" s="2"/>
      <c r="S248" s="6"/>
      <c r="T248" s="6"/>
      <c r="U248" s="6"/>
      <c r="V248" s="6"/>
      <c r="W248" s="2"/>
      <c r="X248" s="32"/>
      <c r="Y248" s="32"/>
      <c r="Z248" s="32"/>
      <c r="AA248" s="32"/>
      <c r="AB248" s="81"/>
      <c r="AC248" s="39"/>
    </row>
    <row r="249" spans="1:29" s="84" customFormat="1" ht="42" customHeight="1" x14ac:dyDescent="0.2">
      <c r="A249" s="32"/>
      <c r="B249" s="83"/>
      <c r="C249" s="2"/>
      <c r="D249" s="6"/>
      <c r="E249" s="6"/>
      <c r="F249" s="6"/>
      <c r="G249" s="6"/>
      <c r="H249" s="2"/>
      <c r="I249" s="6"/>
      <c r="J249" s="6"/>
      <c r="K249" s="6"/>
      <c r="L249" s="6"/>
      <c r="M249" s="2"/>
      <c r="N249" s="6"/>
      <c r="O249" s="6"/>
      <c r="P249" s="6"/>
      <c r="Q249" s="6"/>
      <c r="R249" s="2"/>
      <c r="S249" s="6"/>
      <c r="T249" s="6"/>
      <c r="U249" s="6"/>
      <c r="V249" s="6"/>
      <c r="W249" s="2"/>
      <c r="X249" s="32"/>
      <c r="Y249" s="32"/>
      <c r="Z249" s="32"/>
      <c r="AA249" s="32"/>
      <c r="AB249" s="81"/>
      <c r="AC249" s="39"/>
    </row>
    <row r="250" spans="1:29" s="84" customFormat="1" ht="42" customHeight="1" x14ac:dyDescent="0.2">
      <c r="A250" s="32"/>
      <c r="B250" s="83"/>
      <c r="C250" s="2"/>
      <c r="D250" s="6"/>
      <c r="E250" s="6"/>
      <c r="F250" s="6"/>
      <c r="G250" s="6"/>
      <c r="H250" s="2"/>
      <c r="I250" s="6"/>
      <c r="J250" s="6"/>
      <c r="K250" s="6"/>
      <c r="L250" s="6"/>
      <c r="M250" s="2"/>
      <c r="N250" s="6"/>
      <c r="O250" s="6"/>
      <c r="P250" s="6"/>
      <c r="Q250" s="6"/>
      <c r="R250" s="2"/>
      <c r="S250" s="6"/>
      <c r="T250" s="6"/>
      <c r="U250" s="6"/>
      <c r="V250" s="6"/>
      <c r="W250" s="2"/>
      <c r="X250" s="32"/>
      <c r="Y250" s="32"/>
      <c r="Z250" s="32"/>
      <c r="AA250" s="32"/>
      <c r="AB250" s="81"/>
      <c r="AC250" s="39"/>
    </row>
    <row r="251" spans="1:29" s="84" customFormat="1" ht="42" customHeight="1" x14ac:dyDescent="0.2">
      <c r="A251" s="32"/>
      <c r="B251" s="83"/>
      <c r="C251" s="2"/>
      <c r="D251" s="6"/>
      <c r="E251" s="6"/>
      <c r="F251" s="6"/>
      <c r="G251" s="6"/>
      <c r="H251" s="2"/>
      <c r="I251" s="6"/>
      <c r="J251" s="6"/>
      <c r="K251" s="6"/>
      <c r="L251" s="6"/>
      <c r="M251" s="2"/>
      <c r="N251" s="6"/>
      <c r="O251" s="6"/>
      <c r="P251" s="6"/>
      <c r="Q251" s="6"/>
      <c r="R251" s="2"/>
      <c r="S251" s="6"/>
      <c r="T251" s="6"/>
      <c r="U251" s="6"/>
      <c r="V251" s="6"/>
      <c r="W251" s="2"/>
      <c r="X251" s="32"/>
      <c r="Y251" s="32"/>
      <c r="Z251" s="32"/>
      <c r="AA251" s="32"/>
      <c r="AB251" s="81"/>
      <c r="AC251" s="39"/>
    </row>
    <row r="252" spans="1:29" s="84" customFormat="1" ht="42" customHeight="1" x14ac:dyDescent="0.2">
      <c r="A252" s="32"/>
      <c r="B252" s="83"/>
      <c r="C252" s="2"/>
      <c r="D252" s="6"/>
      <c r="E252" s="6"/>
      <c r="F252" s="6"/>
      <c r="G252" s="6"/>
      <c r="H252" s="2"/>
      <c r="I252" s="6"/>
      <c r="J252" s="6"/>
      <c r="K252" s="6"/>
      <c r="L252" s="6"/>
      <c r="M252" s="2"/>
      <c r="N252" s="6"/>
      <c r="O252" s="6"/>
      <c r="P252" s="6"/>
      <c r="Q252" s="6"/>
      <c r="R252" s="2"/>
      <c r="S252" s="6"/>
      <c r="T252" s="6"/>
      <c r="U252" s="6"/>
      <c r="V252" s="6"/>
      <c r="W252" s="2"/>
      <c r="X252" s="32"/>
      <c r="Y252" s="32"/>
      <c r="Z252" s="32"/>
      <c r="AA252" s="32"/>
      <c r="AB252" s="81"/>
      <c r="AC252" s="39"/>
    </row>
    <row r="253" spans="1:29" s="84" customFormat="1" ht="42" customHeight="1" x14ac:dyDescent="0.2">
      <c r="A253" s="32"/>
      <c r="B253" s="83"/>
      <c r="C253" s="2"/>
      <c r="D253" s="6"/>
      <c r="E253" s="6"/>
      <c r="F253" s="6"/>
      <c r="G253" s="6"/>
      <c r="H253" s="2"/>
      <c r="I253" s="6"/>
      <c r="J253" s="6"/>
      <c r="K253" s="6"/>
      <c r="L253" s="6"/>
      <c r="M253" s="2"/>
      <c r="N253" s="6"/>
      <c r="O253" s="6"/>
      <c r="P253" s="6"/>
      <c r="Q253" s="6"/>
      <c r="R253" s="2"/>
      <c r="S253" s="6"/>
      <c r="T253" s="6"/>
      <c r="U253" s="6"/>
      <c r="V253" s="6"/>
      <c r="W253" s="2"/>
      <c r="X253" s="32"/>
      <c r="Y253" s="32"/>
      <c r="Z253" s="32"/>
      <c r="AA253" s="32"/>
      <c r="AB253" s="81"/>
      <c r="AC253" s="39"/>
    </row>
    <row r="254" spans="1:29" s="84" customFormat="1" ht="42" customHeight="1" x14ac:dyDescent="0.2">
      <c r="A254" s="32"/>
      <c r="B254" s="83"/>
      <c r="C254" s="2"/>
      <c r="D254" s="6"/>
      <c r="E254" s="6"/>
      <c r="F254" s="6"/>
      <c r="G254" s="6"/>
      <c r="H254" s="2"/>
      <c r="I254" s="6"/>
      <c r="J254" s="6"/>
      <c r="K254" s="6"/>
      <c r="L254" s="6"/>
      <c r="M254" s="2"/>
      <c r="N254" s="6"/>
      <c r="O254" s="6"/>
      <c r="P254" s="6"/>
      <c r="Q254" s="6"/>
      <c r="R254" s="2"/>
      <c r="S254" s="6"/>
      <c r="T254" s="6"/>
      <c r="U254" s="6"/>
      <c r="V254" s="6"/>
      <c r="W254" s="2"/>
      <c r="X254" s="32"/>
      <c r="Y254" s="32"/>
      <c r="Z254" s="32"/>
      <c r="AA254" s="32"/>
      <c r="AB254" s="81"/>
      <c r="AC254" s="39"/>
    </row>
    <row r="255" spans="1:29" s="84" customFormat="1" ht="42" customHeight="1" x14ac:dyDescent="0.2">
      <c r="A255" s="32"/>
      <c r="B255" s="83"/>
      <c r="C255" s="2"/>
      <c r="D255" s="6"/>
      <c r="E255" s="6"/>
      <c r="F255" s="6"/>
      <c r="G255" s="6"/>
      <c r="H255" s="2"/>
      <c r="I255" s="6"/>
      <c r="J255" s="6"/>
      <c r="K255" s="6"/>
      <c r="L255" s="6"/>
      <c r="M255" s="2"/>
      <c r="N255" s="6"/>
      <c r="O255" s="6"/>
      <c r="P255" s="6"/>
      <c r="Q255" s="6"/>
      <c r="R255" s="2"/>
      <c r="S255" s="6"/>
      <c r="T255" s="6"/>
      <c r="U255" s="6"/>
      <c r="V255" s="6"/>
      <c r="W255" s="2"/>
      <c r="X255" s="32"/>
      <c r="Y255" s="32"/>
      <c r="Z255" s="32"/>
      <c r="AA255" s="32"/>
      <c r="AB255" s="81"/>
      <c r="AC255" s="39"/>
    </row>
    <row r="256" spans="1:29" s="84" customFormat="1" ht="42" customHeight="1" x14ac:dyDescent="0.2">
      <c r="A256" s="32"/>
      <c r="B256" s="83"/>
      <c r="C256" s="2"/>
      <c r="D256" s="6"/>
      <c r="E256" s="6"/>
      <c r="F256" s="6"/>
      <c r="G256" s="6"/>
      <c r="H256" s="2"/>
      <c r="I256" s="6"/>
      <c r="J256" s="6"/>
      <c r="K256" s="6"/>
      <c r="L256" s="6"/>
      <c r="M256" s="2"/>
      <c r="N256" s="6"/>
      <c r="O256" s="6"/>
      <c r="P256" s="6"/>
      <c r="Q256" s="6"/>
      <c r="R256" s="2"/>
      <c r="S256" s="6"/>
      <c r="T256" s="6"/>
      <c r="U256" s="6"/>
      <c r="V256" s="6"/>
      <c r="W256" s="2"/>
      <c r="X256" s="32"/>
      <c r="Y256" s="32"/>
      <c r="Z256" s="32"/>
      <c r="AA256" s="32"/>
      <c r="AB256" s="81"/>
      <c r="AC256" s="39"/>
    </row>
    <row r="257" spans="1:29" s="84" customFormat="1" ht="42" customHeight="1" x14ac:dyDescent="0.2">
      <c r="A257" s="32"/>
      <c r="B257" s="83"/>
      <c r="C257" s="2"/>
      <c r="D257" s="6"/>
      <c r="E257" s="6"/>
      <c r="F257" s="6"/>
      <c r="G257" s="6"/>
      <c r="H257" s="2"/>
      <c r="I257" s="6"/>
      <c r="J257" s="6"/>
      <c r="K257" s="6"/>
      <c r="L257" s="6"/>
      <c r="M257" s="2"/>
      <c r="N257" s="6"/>
      <c r="O257" s="6"/>
      <c r="P257" s="6"/>
      <c r="Q257" s="6"/>
      <c r="R257" s="2"/>
      <c r="S257" s="6"/>
      <c r="T257" s="6"/>
      <c r="U257" s="6"/>
      <c r="V257" s="6"/>
      <c r="W257" s="2"/>
      <c r="X257" s="32"/>
      <c r="Y257" s="32"/>
      <c r="Z257" s="32"/>
      <c r="AA257" s="32"/>
      <c r="AB257" s="81"/>
      <c r="AC257" s="39"/>
    </row>
    <row r="258" spans="1:29" s="84" customFormat="1" ht="42" customHeight="1" x14ac:dyDescent="0.2">
      <c r="A258" s="32"/>
      <c r="B258" s="83"/>
      <c r="C258" s="2"/>
      <c r="D258" s="6"/>
      <c r="E258" s="6"/>
      <c r="F258" s="6"/>
      <c r="G258" s="6"/>
      <c r="H258" s="2"/>
      <c r="I258" s="6"/>
      <c r="J258" s="6"/>
      <c r="K258" s="6"/>
      <c r="L258" s="6"/>
      <c r="M258" s="2"/>
      <c r="N258" s="6"/>
      <c r="O258" s="6"/>
      <c r="P258" s="6"/>
      <c r="Q258" s="6"/>
      <c r="R258" s="2"/>
      <c r="S258" s="6"/>
      <c r="T258" s="6"/>
      <c r="U258" s="6"/>
      <c r="V258" s="6"/>
      <c r="W258" s="2"/>
      <c r="X258" s="32"/>
      <c r="Y258" s="32"/>
      <c r="Z258" s="32"/>
      <c r="AA258" s="32"/>
      <c r="AB258" s="81"/>
      <c r="AC258" s="39"/>
    </row>
    <row r="259" spans="1:29" s="84" customFormat="1" ht="42" customHeight="1" x14ac:dyDescent="0.2">
      <c r="A259" s="32"/>
      <c r="B259" s="83"/>
      <c r="C259" s="2"/>
      <c r="D259" s="6"/>
      <c r="E259" s="6"/>
      <c r="F259" s="6"/>
      <c r="G259" s="6"/>
      <c r="H259" s="2"/>
      <c r="I259" s="6"/>
      <c r="J259" s="6"/>
      <c r="K259" s="6"/>
      <c r="L259" s="6"/>
      <c r="M259" s="2"/>
      <c r="N259" s="6"/>
      <c r="O259" s="6"/>
      <c r="P259" s="6"/>
      <c r="Q259" s="6"/>
      <c r="R259" s="2"/>
      <c r="S259" s="6"/>
      <c r="T259" s="6"/>
      <c r="U259" s="6"/>
      <c r="V259" s="6"/>
      <c r="W259" s="2"/>
      <c r="X259" s="32"/>
      <c r="Y259" s="32"/>
      <c r="Z259" s="32"/>
      <c r="AA259" s="32"/>
      <c r="AB259" s="81"/>
      <c r="AC259" s="39"/>
    </row>
    <row r="260" spans="1:29" s="84" customFormat="1" ht="42" customHeight="1" x14ac:dyDescent="0.2">
      <c r="A260" s="32"/>
      <c r="B260" s="83"/>
      <c r="C260" s="2"/>
      <c r="D260" s="6"/>
      <c r="E260" s="6"/>
      <c r="F260" s="6"/>
      <c r="G260" s="6"/>
      <c r="H260" s="2"/>
      <c r="I260" s="6"/>
      <c r="J260" s="6"/>
      <c r="K260" s="6"/>
      <c r="L260" s="6"/>
      <c r="M260" s="2"/>
      <c r="N260" s="6"/>
      <c r="O260" s="6"/>
      <c r="P260" s="6"/>
      <c r="Q260" s="6"/>
      <c r="R260" s="2"/>
      <c r="S260" s="6"/>
      <c r="T260" s="6"/>
      <c r="U260" s="6"/>
      <c r="V260" s="6"/>
      <c r="W260" s="2"/>
      <c r="X260" s="32"/>
      <c r="Y260" s="32"/>
      <c r="Z260" s="32"/>
      <c r="AA260" s="32"/>
      <c r="AB260" s="81"/>
      <c r="AC260" s="39"/>
    </row>
    <row r="261" spans="1:29" s="84" customFormat="1" ht="42" customHeight="1" x14ac:dyDescent="0.2">
      <c r="A261" s="32"/>
      <c r="B261" s="83"/>
      <c r="C261" s="2"/>
      <c r="D261" s="6"/>
      <c r="E261" s="6"/>
      <c r="F261" s="6"/>
      <c r="G261" s="6"/>
      <c r="H261" s="2"/>
      <c r="I261" s="6"/>
      <c r="J261" s="6"/>
      <c r="K261" s="6"/>
      <c r="L261" s="6"/>
      <c r="M261" s="2"/>
      <c r="N261" s="6"/>
      <c r="O261" s="6"/>
      <c r="P261" s="6"/>
      <c r="Q261" s="6"/>
      <c r="R261" s="2"/>
      <c r="S261" s="6"/>
      <c r="T261" s="6"/>
      <c r="U261" s="6"/>
      <c r="V261" s="6"/>
      <c r="W261" s="2"/>
      <c r="X261" s="32"/>
      <c r="Y261" s="32"/>
      <c r="Z261" s="32"/>
      <c r="AA261" s="32"/>
      <c r="AB261" s="81"/>
      <c r="AC261" s="39"/>
    </row>
    <row r="262" spans="1:29" s="84" customFormat="1" ht="42" customHeight="1" x14ac:dyDescent="0.2">
      <c r="A262" s="32"/>
      <c r="B262" s="83"/>
      <c r="C262" s="2"/>
      <c r="D262" s="6"/>
      <c r="E262" s="6"/>
      <c r="F262" s="6"/>
      <c r="G262" s="6"/>
      <c r="H262" s="2"/>
      <c r="I262" s="6"/>
      <c r="J262" s="6"/>
      <c r="K262" s="6"/>
      <c r="L262" s="6"/>
      <c r="M262" s="2"/>
      <c r="N262" s="6"/>
      <c r="O262" s="6"/>
      <c r="P262" s="6"/>
      <c r="Q262" s="6"/>
      <c r="R262" s="2"/>
      <c r="S262" s="6"/>
      <c r="T262" s="6"/>
      <c r="U262" s="6"/>
      <c r="V262" s="6"/>
      <c r="W262" s="2"/>
      <c r="X262" s="32"/>
      <c r="Y262" s="32"/>
      <c r="Z262" s="32"/>
      <c r="AA262" s="32"/>
      <c r="AB262" s="81"/>
      <c r="AC262" s="39"/>
    </row>
    <row r="263" spans="1:29" s="84" customFormat="1" ht="42" customHeight="1" x14ac:dyDescent="0.2">
      <c r="A263" s="32"/>
      <c r="B263" s="83"/>
      <c r="C263" s="2"/>
      <c r="D263" s="6"/>
      <c r="E263" s="6"/>
      <c r="F263" s="6"/>
      <c r="G263" s="6"/>
      <c r="H263" s="2"/>
      <c r="I263" s="6"/>
      <c r="J263" s="6"/>
      <c r="K263" s="6"/>
      <c r="L263" s="6"/>
      <c r="M263" s="2"/>
      <c r="N263" s="6"/>
      <c r="O263" s="6"/>
      <c r="P263" s="6"/>
      <c r="Q263" s="6"/>
      <c r="R263" s="2"/>
      <c r="S263" s="6"/>
      <c r="T263" s="6"/>
      <c r="U263" s="6"/>
      <c r="V263" s="6"/>
      <c r="W263" s="2"/>
      <c r="X263" s="32"/>
      <c r="Y263" s="32"/>
      <c r="Z263" s="32"/>
      <c r="AA263" s="32"/>
      <c r="AB263" s="81"/>
      <c r="AC263" s="39"/>
    </row>
    <row r="264" spans="1:29" s="84" customFormat="1" ht="42" customHeight="1" x14ac:dyDescent="0.2">
      <c r="A264" s="32"/>
      <c r="B264" s="83"/>
      <c r="C264" s="2"/>
      <c r="D264" s="6"/>
      <c r="E264" s="6"/>
      <c r="F264" s="6"/>
      <c r="G264" s="6"/>
      <c r="H264" s="2"/>
      <c r="I264" s="6"/>
      <c r="J264" s="6"/>
      <c r="K264" s="6"/>
      <c r="L264" s="6"/>
      <c r="M264" s="2"/>
      <c r="N264" s="6"/>
      <c r="O264" s="6"/>
      <c r="P264" s="6"/>
      <c r="Q264" s="6"/>
      <c r="R264" s="2"/>
      <c r="S264" s="6"/>
      <c r="T264" s="6"/>
      <c r="U264" s="6"/>
      <c r="V264" s="6"/>
      <c r="W264" s="2"/>
      <c r="X264" s="32"/>
      <c r="Y264" s="32"/>
      <c r="Z264" s="32"/>
      <c r="AA264" s="32"/>
      <c r="AB264" s="81"/>
      <c r="AC264" s="39"/>
    </row>
  </sheetData>
  <mergeCells count="132">
    <mergeCell ref="W1:AB1"/>
    <mergeCell ref="A130:B130"/>
    <mergeCell ref="M4:Q4"/>
    <mergeCell ref="R4:V4"/>
    <mergeCell ref="W4:AA4"/>
    <mergeCell ref="B2:AB2"/>
    <mergeCell ref="A3:A5"/>
    <mergeCell ref="B3:B5"/>
    <mergeCell ref="C3:AA3"/>
    <mergeCell ref="AB3:AB5"/>
    <mergeCell ref="C4:G4"/>
    <mergeCell ref="H4:L4"/>
    <mergeCell ref="A15:A26"/>
    <mergeCell ref="C15:C26"/>
    <mergeCell ref="D15:D26"/>
    <mergeCell ref="H15:H26"/>
    <mergeCell ref="W15:W26"/>
    <mergeCell ref="X15:X26"/>
    <mergeCell ref="AB15:AB26"/>
    <mergeCell ref="A7:A13"/>
    <mergeCell ref="C7:C13"/>
    <mergeCell ref="D7:D13"/>
    <mergeCell ref="H7:H13"/>
    <mergeCell ref="I7:I13"/>
    <mergeCell ref="M7:M13"/>
    <mergeCell ref="N7:N13"/>
    <mergeCell ref="R7:R13"/>
    <mergeCell ref="S7:S13"/>
    <mergeCell ref="W7:W13"/>
    <mergeCell ref="X7:X13"/>
    <mergeCell ref="AB7:AB13"/>
    <mergeCell ref="I15:I26"/>
    <mergeCell ref="M15:M26"/>
    <mergeCell ref="N15:N26"/>
    <mergeCell ref="R15:R26"/>
    <mergeCell ref="S15:S26"/>
    <mergeCell ref="X27:X31"/>
    <mergeCell ref="AB27:AB31"/>
    <mergeCell ref="A32:A41"/>
    <mergeCell ref="C32:C41"/>
    <mergeCell ref="D32:D41"/>
    <mergeCell ref="H32:H41"/>
    <mergeCell ref="I32:I41"/>
    <mergeCell ref="M32:M41"/>
    <mergeCell ref="N32:N41"/>
    <mergeCell ref="R32:R41"/>
    <mergeCell ref="S32:S41"/>
    <mergeCell ref="W32:W41"/>
    <mergeCell ref="X32:X41"/>
    <mergeCell ref="AB32:AB41"/>
    <mergeCell ref="M27:M31"/>
    <mergeCell ref="N27:N31"/>
    <mergeCell ref="R27:R31"/>
    <mergeCell ref="S27:S31"/>
    <mergeCell ref="W27:W31"/>
    <mergeCell ref="A27:A31"/>
    <mergeCell ref="C27:C31"/>
    <mergeCell ref="D27:D31"/>
    <mergeCell ref="H27:H31"/>
    <mergeCell ref="I27:I31"/>
    <mergeCell ref="W103:W112"/>
    <mergeCell ref="X103:X112"/>
    <mergeCell ref="AB103:AB112"/>
    <mergeCell ref="A113:A116"/>
    <mergeCell ref="C113:C116"/>
    <mergeCell ref="D113:D116"/>
    <mergeCell ref="H113:H116"/>
    <mergeCell ref="I113:I116"/>
    <mergeCell ref="M113:M116"/>
    <mergeCell ref="N113:N116"/>
    <mergeCell ref="R113:R116"/>
    <mergeCell ref="S113:S116"/>
    <mergeCell ref="W113:W116"/>
    <mergeCell ref="X113:X116"/>
    <mergeCell ref="AB113:AB116"/>
    <mergeCell ref="I103:I112"/>
    <mergeCell ref="M103:M112"/>
    <mergeCell ref="N103:N112"/>
    <mergeCell ref="R103:R112"/>
    <mergeCell ref="S103:S112"/>
    <mergeCell ref="A103:A112"/>
    <mergeCell ref="C103:C112"/>
    <mergeCell ref="D103:D112"/>
    <mergeCell ref="H103:H112"/>
    <mergeCell ref="X117:X122"/>
    <mergeCell ref="AB117:AB122"/>
    <mergeCell ref="A123:A125"/>
    <mergeCell ref="C123:C125"/>
    <mergeCell ref="D123:D125"/>
    <mergeCell ref="H123:H125"/>
    <mergeCell ref="I123:I125"/>
    <mergeCell ref="M123:M125"/>
    <mergeCell ref="N123:N125"/>
    <mergeCell ref="R123:R125"/>
    <mergeCell ref="S123:S125"/>
    <mergeCell ref="W123:W125"/>
    <mergeCell ref="X123:X125"/>
    <mergeCell ref="AB123:AB125"/>
    <mergeCell ref="M117:M122"/>
    <mergeCell ref="N117:N122"/>
    <mergeCell ref="R117:R122"/>
    <mergeCell ref="S117:S122"/>
    <mergeCell ref="W117:W122"/>
    <mergeCell ref="A117:A122"/>
    <mergeCell ref="C117:C122"/>
    <mergeCell ref="D117:D122"/>
    <mergeCell ref="H117:H122"/>
    <mergeCell ref="I117:I122"/>
    <mergeCell ref="W42:W90"/>
    <mergeCell ref="X42:X90"/>
    <mergeCell ref="AB42:AB90"/>
    <mergeCell ref="A91:A102"/>
    <mergeCell ref="C91:C102"/>
    <mergeCell ref="D91:D102"/>
    <mergeCell ref="H91:H102"/>
    <mergeCell ref="I91:I102"/>
    <mergeCell ref="M91:M102"/>
    <mergeCell ref="N91:N102"/>
    <mergeCell ref="R91:R102"/>
    <mergeCell ref="S91:S102"/>
    <mergeCell ref="W91:W102"/>
    <mergeCell ref="X91:X102"/>
    <mergeCell ref="AB91:AB102"/>
    <mergeCell ref="A42:A90"/>
    <mergeCell ref="C42:C90"/>
    <mergeCell ref="D42:D90"/>
    <mergeCell ref="H42:H90"/>
    <mergeCell ref="I42:I90"/>
    <mergeCell ref="M42:M90"/>
    <mergeCell ref="N42:N90"/>
    <mergeCell ref="R42:R90"/>
    <mergeCell ref="S42:S90"/>
  </mergeCells>
  <printOptions horizontalCentered="1"/>
  <pageMargins left="0" right="0" top="0.62992125984251968" bottom="0.59055118110236227" header="0.19685039370078741" footer="0.15748031496062992"/>
  <pageSetup paperSize="8" scale="60" fitToHeight="0" orientation="landscape" r:id="rId1"/>
  <headerFooter alignWithMargins="0"/>
  <rowBreaks count="2" manualBreakCount="2">
    <brk id="41" max="27" man="1"/>
    <brk id="90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440"/>
  <sheetViews>
    <sheetView showRuler="0" view="pageBreakPreview" topLeftCell="A7" zoomScale="60" zoomScaleNormal="79" zoomScalePageLayoutView="80" workbookViewId="0">
      <pane xSplit="22" ySplit="7" topLeftCell="W21" activePane="bottomRight" state="frozen"/>
      <selection activeCell="A7" sqref="A7"/>
      <selection pane="topRight" activeCell="W7" sqref="W7"/>
      <selection pane="bottomLeft" activeCell="A13" sqref="A13"/>
      <selection pane="bottomRight" activeCell="A7" sqref="A7:AC21"/>
    </sheetView>
  </sheetViews>
  <sheetFormatPr defaultRowHeight="12.75" outlineLevelRow="1" x14ac:dyDescent="0.2"/>
  <cols>
    <col min="1" max="1" width="6.85546875" style="25" customWidth="1"/>
    <col min="2" max="2" width="26.28515625" style="6" customWidth="1"/>
    <col min="3" max="3" width="8.28515625" style="6" customWidth="1"/>
    <col min="4" max="4" width="13.5703125" style="3" customWidth="1"/>
    <col min="5" max="5" width="7" style="3" customWidth="1"/>
    <col min="6" max="6" width="10.140625" style="3" customWidth="1"/>
    <col min="7" max="7" width="9.5703125" style="3" customWidth="1"/>
    <col min="8" max="8" width="10.42578125" style="3" customWidth="1"/>
    <col min="9" max="9" width="9.28515625" style="3" customWidth="1"/>
    <col min="10" max="10" width="8.28515625" style="3" customWidth="1"/>
    <col min="11" max="11" width="10.42578125" style="2" customWidth="1"/>
    <col min="12" max="12" width="8.85546875" style="2" customWidth="1"/>
    <col min="13" max="13" width="10.7109375" style="286" customWidth="1"/>
    <col min="14" max="14" width="8.7109375" style="286" customWidth="1"/>
    <col min="15" max="15" width="7.5703125" style="286" customWidth="1"/>
    <col min="16" max="16" width="10.42578125" style="4" customWidth="1"/>
    <col min="17" max="17" width="9" style="4" customWidth="1"/>
    <col min="18" max="18" width="10.28515625" style="286" customWidth="1"/>
    <col min="19" max="19" width="9.5703125" style="286" customWidth="1"/>
    <col min="20" max="20" width="7.7109375" style="286" customWidth="1"/>
    <col min="21" max="21" width="12.7109375" style="4" customWidth="1"/>
    <col min="22" max="22" width="9.85546875" style="4" customWidth="1"/>
    <col min="23" max="23" width="12.5703125" style="286" customWidth="1"/>
    <col min="24" max="24" width="10.7109375" style="286" customWidth="1"/>
    <col min="25" max="25" width="8.42578125" style="286" customWidth="1"/>
    <col min="26" max="26" width="11" style="4" customWidth="1"/>
    <col min="27" max="27" width="9.7109375" style="286" customWidth="1"/>
    <col min="28" max="28" width="10.42578125" style="286" customWidth="1"/>
    <col min="29" max="29" width="9.7109375" style="286" customWidth="1"/>
    <col min="30" max="30" width="12.28515625" bestFit="1" customWidth="1"/>
    <col min="31" max="31" width="14.7109375" customWidth="1"/>
    <col min="32" max="32" width="10.85546875" bestFit="1" customWidth="1"/>
  </cols>
  <sheetData>
    <row r="1" spans="1:57" s="32" customFormat="1" ht="24" customHeight="1" x14ac:dyDescent="0.25">
      <c r="A1" s="25"/>
      <c r="B1" s="6"/>
      <c r="C1" s="6"/>
      <c r="D1" s="3"/>
      <c r="E1" s="3"/>
      <c r="F1" s="3"/>
      <c r="G1" s="3"/>
      <c r="H1" s="3"/>
      <c r="I1" s="3"/>
      <c r="J1" s="3"/>
      <c r="K1" s="2"/>
      <c r="L1" s="2"/>
      <c r="M1" s="286"/>
      <c r="N1" s="286"/>
      <c r="O1" s="286"/>
      <c r="P1" s="4"/>
      <c r="Q1" s="4"/>
      <c r="R1" s="286"/>
      <c r="S1" s="286"/>
      <c r="T1" s="286"/>
      <c r="U1" s="4"/>
      <c r="V1" s="4"/>
      <c r="W1" s="286"/>
      <c r="X1" s="354"/>
      <c r="Y1" s="354"/>
      <c r="Z1" s="354"/>
      <c r="AA1" s="354"/>
      <c r="AB1" s="354"/>
      <c r="AC1" s="354"/>
      <c r="AD1" s="39"/>
      <c r="AE1" s="39"/>
    </row>
    <row r="2" spans="1:57" s="32" customFormat="1" x14ac:dyDescent="0.2">
      <c r="A2" s="25"/>
      <c r="B2" s="6"/>
      <c r="C2" s="6"/>
      <c r="D2" s="3"/>
      <c r="E2" s="3"/>
      <c r="F2" s="3"/>
      <c r="G2" s="3"/>
      <c r="H2" s="3"/>
      <c r="I2" s="3"/>
      <c r="J2" s="3"/>
      <c r="K2" s="2"/>
      <c r="L2" s="2"/>
      <c r="M2" s="286"/>
      <c r="N2" s="286"/>
      <c r="O2" s="286"/>
      <c r="P2" s="4"/>
      <c r="Q2" s="4"/>
      <c r="R2" s="286"/>
      <c r="S2" s="286"/>
      <c r="T2" s="286"/>
      <c r="U2" s="4"/>
      <c r="V2" s="4"/>
      <c r="W2" s="286"/>
      <c r="X2" s="286"/>
      <c r="Y2" s="286"/>
      <c r="Z2" s="4"/>
      <c r="AA2" s="286"/>
      <c r="AB2" s="286"/>
      <c r="AC2" s="286"/>
      <c r="AD2" s="39"/>
      <c r="AE2" s="39"/>
    </row>
    <row r="3" spans="1:57" s="32" customFormat="1" x14ac:dyDescent="0.2">
      <c r="A3" s="25"/>
      <c r="B3" s="6"/>
      <c r="C3" s="6"/>
      <c r="D3" s="3"/>
      <c r="E3" s="3"/>
      <c r="F3" s="3"/>
      <c r="G3" s="3"/>
      <c r="H3" s="3"/>
      <c r="I3" s="3"/>
      <c r="J3" s="3"/>
      <c r="K3" s="2"/>
      <c r="L3" s="2"/>
      <c r="M3" s="286"/>
      <c r="N3" s="286"/>
      <c r="O3" s="286"/>
      <c r="P3" s="4"/>
      <c r="Q3" s="4"/>
      <c r="R3" s="286"/>
      <c r="S3" s="286"/>
      <c r="T3" s="286"/>
      <c r="U3" s="4"/>
      <c r="V3" s="4"/>
      <c r="W3" s="286"/>
      <c r="X3" s="286"/>
      <c r="Y3" s="286"/>
      <c r="Z3" s="4"/>
      <c r="AA3" s="286"/>
      <c r="AB3" s="286"/>
      <c r="AC3" s="286"/>
      <c r="AD3" s="39"/>
      <c r="AE3" s="39"/>
    </row>
    <row r="4" spans="1:57" s="6" customFormat="1" ht="13.9" customHeight="1" x14ac:dyDescent="0.2">
      <c r="A4" s="283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355"/>
      <c r="Y4" s="355"/>
      <c r="Z4" s="355"/>
      <c r="AA4" s="355"/>
      <c r="AB4" s="355"/>
      <c r="AC4" s="355"/>
      <c r="AD4" s="34"/>
      <c r="AE4" s="34"/>
    </row>
    <row r="5" spans="1:57" s="6" customFormat="1" ht="13.9" customHeight="1" x14ac:dyDescent="0.2">
      <c r="A5" s="362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4"/>
      <c r="AE5" s="34"/>
    </row>
    <row r="6" spans="1:57" s="6" customFormat="1" ht="23.45" customHeight="1" x14ac:dyDescent="0.2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343" t="s">
        <v>983</v>
      </c>
      <c r="Z6" s="343"/>
      <c r="AA6" s="343"/>
      <c r="AB6" s="343"/>
      <c r="AC6" s="343"/>
      <c r="AD6" s="34"/>
      <c r="AE6" s="34"/>
    </row>
    <row r="7" spans="1:57" s="6" customFormat="1" ht="103.9" customHeight="1" x14ac:dyDescent="0.2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343" t="s">
        <v>903</v>
      </c>
      <c r="Z7" s="343"/>
      <c r="AA7" s="343"/>
      <c r="AB7" s="343"/>
      <c r="AC7" s="343"/>
      <c r="AD7" s="34"/>
      <c r="AE7" s="34"/>
    </row>
    <row r="8" spans="1:57" s="6" customFormat="1" ht="96.75" customHeight="1" x14ac:dyDescent="0.2">
      <c r="A8" s="364" t="s">
        <v>1054</v>
      </c>
      <c r="B8" s="365"/>
      <c r="C8" s="365"/>
      <c r="D8" s="365"/>
      <c r="E8" s="365"/>
      <c r="F8" s="365"/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4"/>
      <c r="AE8" s="34"/>
    </row>
    <row r="9" spans="1:57" s="15" customFormat="1" ht="15.6" customHeight="1" x14ac:dyDescent="0.2">
      <c r="A9" s="375" t="s">
        <v>924</v>
      </c>
      <c r="B9" s="357" t="s">
        <v>0</v>
      </c>
      <c r="C9" s="361" t="s">
        <v>981</v>
      </c>
      <c r="D9" s="374" t="s">
        <v>925</v>
      </c>
      <c r="E9" s="370" t="s">
        <v>82</v>
      </c>
      <c r="F9" s="371"/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40"/>
      <c r="AE9" s="40"/>
    </row>
    <row r="10" spans="1:57" s="11" customFormat="1" ht="27.4" customHeight="1" x14ac:dyDescent="0.2">
      <c r="A10" s="375"/>
      <c r="B10" s="357"/>
      <c r="C10" s="361"/>
      <c r="D10" s="374"/>
      <c r="E10" s="358" t="s">
        <v>110</v>
      </c>
      <c r="F10" s="358"/>
      <c r="G10" s="358"/>
      <c r="H10" s="358"/>
      <c r="I10" s="358"/>
      <c r="J10" s="356" t="s">
        <v>111</v>
      </c>
      <c r="K10" s="356"/>
      <c r="L10" s="356"/>
      <c r="M10" s="356"/>
      <c r="N10" s="356"/>
      <c r="O10" s="356" t="s">
        <v>112</v>
      </c>
      <c r="P10" s="356"/>
      <c r="Q10" s="356"/>
      <c r="R10" s="356"/>
      <c r="S10" s="356"/>
      <c r="T10" s="356" t="s">
        <v>113</v>
      </c>
      <c r="U10" s="356"/>
      <c r="V10" s="356"/>
      <c r="W10" s="356"/>
      <c r="X10" s="356"/>
      <c r="Y10" s="356" t="s">
        <v>114</v>
      </c>
      <c r="Z10" s="359"/>
      <c r="AA10" s="359"/>
      <c r="AB10" s="359"/>
      <c r="AC10" s="360"/>
      <c r="AD10" s="41"/>
      <c r="AE10" s="41"/>
    </row>
    <row r="11" spans="1:57" s="11" customFormat="1" ht="64.150000000000006" customHeight="1" x14ac:dyDescent="0.2">
      <c r="A11" s="375"/>
      <c r="B11" s="357"/>
      <c r="C11" s="361"/>
      <c r="D11" s="374"/>
      <c r="E11" s="279" t="s">
        <v>981</v>
      </c>
      <c r="F11" s="282" t="s">
        <v>12</v>
      </c>
      <c r="G11" s="282" t="s">
        <v>926</v>
      </c>
      <c r="H11" s="29" t="s">
        <v>13</v>
      </c>
      <c r="I11" s="280" t="s">
        <v>65</v>
      </c>
      <c r="J11" s="279" t="s">
        <v>981</v>
      </c>
      <c r="K11" s="282" t="s">
        <v>12</v>
      </c>
      <c r="L11" s="282" t="s">
        <v>926</v>
      </c>
      <c r="M11" s="280" t="s">
        <v>13</v>
      </c>
      <c r="N11" s="280" t="s">
        <v>65</v>
      </c>
      <c r="O11" s="279" t="s">
        <v>981</v>
      </c>
      <c r="P11" s="282" t="s">
        <v>12</v>
      </c>
      <c r="Q11" s="282" t="s">
        <v>926</v>
      </c>
      <c r="R11" s="280" t="s">
        <v>13</v>
      </c>
      <c r="S11" s="280" t="s">
        <v>65</v>
      </c>
      <c r="T11" s="279" t="s">
        <v>981</v>
      </c>
      <c r="U11" s="282" t="s">
        <v>12</v>
      </c>
      <c r="V11" s="282" t="s">
        <v>926</v>
      </c>
      <c r="W11" s="280" t="s">
        <v>13</v>
      </c>
      <c r="X11" s="280" t="s">
        <v>65</v>
      </c>
      <c r="Y11" s="279" t="s">
        <v>981</v>
      </c>
      <c r="Z11" s="282" t="s">
        <v>12</v>
      </c>
      <c r="AA11" s="282" t="s">
        <v>926</v>
      </c>
      <c r="AB11" s="280" t="s">
        <v>927</v>
      </c>
      <c r="AC11" s="280" t="s">
        <v>163</v>
      </c>
      <c r="AD11" s="41"/>
      <c r="AE11" s="41"/>
    </row>
    <row r="12" spans="1:57" s="6" customFormat="1" ht="22.35" customHeight="1" x14ac:dyDescent="0.2">
      <c r="A12" s="281">
        <v>1</v>
      </c>
      <c r="B12" s="30">
        <v>2</v>
      </c>
      <c r="C12" s="281">
        <v>3</v>
      </c>
      <c r="D12" s="281">
        <v>4</v>
      </c>
      <c r="E12" s="281">
        <v>5</v>
      </c>
      <c r="F12" s="281">
        <v>6</v>
      </c>
      <c r="G12" s="281">
        <v>7</v>
      </c>
      <c r="H12" s="281">
        <v>8</v>
      </c>
      <c r="I12" s="281">
        <v>9</v>
      </c>
      <c r="J12" s="281">
        <v>10</v>
      </c>
      <c r="K12" s="281">
        <v>11</v>
      </c>
      <c r="L12" s="28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S12" s="31">
        <v>19</v>
      </c>
      <c r="T12" s="31">
        <v>20</v>
      </c>
      <c r="U12" s="31">
        <v>21</v>
      </c>
      <c r="V12" s="31">
        <v>22</v>
      </c>
      <c r="W12" s="31">
        <v>23</v>
      </c>
      <c r="X12" s="31">
        <v>24</v>
      </c>
      <c r="Y12" s="31">
        <v>25</v>
      </c>
      <c r="Z12" s="31">
        <v>26</v>
      </c>
      <c r="AA12" s="31">
        <v>27</v>
      </c>
      <c r="AB12" s="31">
        <v>28</v>
      </c>
      <c r="AC12" s="31">
        <v>29</v>
      </c>
      <c r="AD12" s="34"/>
      <c r="AE12" s="34"/>
    </row>
    <row r="13" spans="1:57" s="33" customFormat="1" ht="21" customHeight="1" x14ac:dyDescent="0.2">
      <c r="A13" s="373" t="s">
        <v>77</v>
      </c>
      <c r="B13" s="373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4"/>
      <c r="AE13" s="34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</row>
    <row r="14" spans="1:57" s="218" customFormat="1" ht="91.15" customHeight="1" x14ac:dyDescent="0.2">
      <c r="A14" s="168" t="s">
        <v>1</v>
      </c>
      <c r="B14" s="227" t="s">
        <v>928</v>
      </c>
      <c r="C14" s="168">
        <f>E14+J14+O14+T14+Y14</f>
        <v>0.55000000000000004</v>
      </c>
      <c r="D14" s="169">
        <f>F14+K14+P14+U14+Z14</f>
        <v>95677.06</v>
      </c>
      <c r="E14" s="168">
        <f>E15+E16+E17</f>
        <v>0</v>
      </c>
      <c r="F14" s="168">
        <f t="shared" ref="F14:AC14" si="0">F15+F16+F17</f>
        <v>0</v>
      </c>
      <c r="G14" s="168">
        <f t="shared" si="0"/>
        <v>0</v>
      </c>
      <c r="H14" s="168">
        <f t="shared" si="0"/>
        <v>0</v>
      </c>
      <c r="I14" s="168">
        <f t="shared" si="0"/>
        <v>0</v>
      </c>
      <c r="J14" s="168">
        <f t="shared" si="0"/>
        <v>0</v>
      </c>
      <c r="K14" s="168">
        <f t="shared" si="0"/>
        <v>0</v>
      </c>
      <c r="L14" s="168">
        <f t="shared" si="0"/>
        <v>0</v>
      </c>
      <c r="M14" s="168">
        <f t="shared" si="0"/>
        <v>0</v>
      </c>
      <c r="N14" s="168">
        <f t="shared" si="0"/>
        <v>0</v>
      </c>
      <c r="O14" s="168">
        <f t="shared" si="0"/>
        <v>0.55000000000000004</v>
      </c>
      <c r="P14" s="168">
        <f t="shared" si="0"/>
        <v>95677.06</v>
      </c>
      <c r="Q14" s="168">
        <f t="shared" si="0"/>
        <v>0</v>
      </c>
      <c r="R14" s="168">
        <f t="shared" si="0"/>
        <v>88190.481119999997</v>
      </c>
      <c r="S14" s="168">
        <f t="shared" si="0"/>
        <v>7486.57888</v>
      </c>
      <c r="T14" s="168">
        <f t="shared" si="0"/>
        <v>0</v>
      </c>
      <c r="U14" s="168">
        <f t="shared" si="0"/>
        <v>0</v>
      </c>
      <c r="V14" s="168">
        <f t="shared" si="0"/>
        <v>0</v>
      </c>
      <c r="W14" s="168">
        <f t="shared" si="0"/>
        <v>0</v>
      </c>
      <c r="X14" s="168">
        <f t="shared" si="0"/>
        <v>0</v>
      </c>
      <c r="Y14" s="168">
        <f t="shared" si="0"/>
        <v>0</v>
      </c>
      <c r="Z14" s="168">
        <f t="shared" si="0"/>
        <v>0</v>
      </c>
      <c r="AA14" s="168">
        <f t="shared" si="0"/>
        <v>0</v>
      </c>
      <c r="AB14" s="168">
        <f t="shared" si="0"/>
        <v>0</v>
      </c>
      <c r="AC14" s="168">
        <f t="shared" si="0"/>
        <v>0</v>
      </c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</row>
    <row r="15" spans="1:57" s="49" customFormat="1" ht="85.15" customHeight="1" outlineLevel="1" x14ac:dyDescent="0.2">
      <c r="A15" s="19" t="s">
        <v>19</v>
      </c>
      <c r="B15" s="182" t="s">
        <v>929</v>
      </c>
      <c r="C15" s="19">
        <f>E15+J15+O15+T15+Y15</f>
        <v>0.55000000000000004</v>
      </c>
      <c r="D15" s="67">
        <f t="shared" ref="D15:D41" si="1">F15+K15+P15+U15+Z15</f>
        <v>92637.06</v>
      </c>
      <c r="E15" s="19">
        <v>0</v>
      </c>
      <c r="F15" s="67">
        <v>0</v>
      </c>
      <c r="G15" s="67">
        <v>0</v>
      </c>
      <c r="H15" s="67">
        <v>0</v>
      </c>
      <c r="I15" s="67">
        <v>0</v>
      </c>
      <c r="J15" s="18">
        <v>0</v>
      </c>
      <c r="K15" s="67">
        <f t="shared" ref="K15:K17" si="2">SUM(L15:N15)</f>
        <v>0</v>
      </c>
      <c r="L15" s="67">
        <v>0</v>
      </c>
      <c r="M15" s="70">
        <v>0</v>
      </c>
      <c r="N15" s="70">
        <v>0</v>
      </c>
      <c r="O15" s="18">
        <v>0.55000000000000004</v>
      </c>
      <c r="P15" s="67">
        <v>92637.06</v>
      </c>
      <c r="Q15" s="70">
        <v>0</v>
      </c>
      <c r="R15" s="70">
        <f>P15*0.952</f>
        <v>88190.481119999997</v>
      </c>
      <c r="S15" s="70">
        <f>P15*0.048</f>
        <v>4446.57888</v>
      </c>
      <c r="T15" s="18">
        <v>0</v>
      </c>
      <c r="U15" s="67">
        <f>W15+X15+V15</f>
        <v>0</v>
      </c>
      <c r="V15" s="70">
        <v>0</v>
      </c>
      <c r="W15" s="70">
        <v>0</v>
      </c>
      <c r="X15" s="70">
        <v>0</v>
      </c>
      <c r="Y15" s="18">
        <v>0</v>
      </c>
      <c r="Z15" s="67">
        <f>AB15+AC15+AA15</f>
        <v>0</v>
      </c>
      <c r="AA15" s="70">
        <v>0</v>
      </c>
      <c r="AB15" s="70">
        <v>0</v>
      </c>
      <c r="AC15" s="70">
        <v>0</v>
      </c>
    </row>
    <row r="16" spans="1:57" s="49" customFormat="1" ht="101.45" customHeight="1" outlineLevel="1" x14ac:dyDescent="0.2">
      <c r="A16" s="19" t="s">
        <v>87</v>
      </c>
      <c r="B16" s="182" t="s">
        <v>930</v>
      </c>
      <c r="C16" s="19">
        <f t="shared" ref="C16:C17" si="3">E16+J16+O16+T16+Y16</f>
        <v>0</v>
      </c>
      <c r="D16" s="67">
        <f t="shared" si="1"/>
        <v>2082</v>
      </c>
      <c r="E16" s="19">
        <v>0</v>
      </c>
      <c r="F16" s="67">
        <f>H16+I16</f>
        <v>0</v>
      </c>
      <c r="G16" s="67">
        <v>0</v>
      </c>
      <c r="H16" s="67">
        <v>0</v>
      </c>
      <c r="I16" s="67">
        <v>0</v>
      </c>
      <c r="J16" s="18">
        <v>0</v>
      </c>
      <c r="K16" s="67">
        <f t="shared" si="2"/>
        <v>0</v>
      </c>
      <c r="L16" s="67">
        <v>0</v>
      </c>
      <c r="M16" s="70">
        <v>0</v>
      </c>
      <c r="N16" s="70">
        <v>0</v>
      </c>
      <c r="O16" s="18">
        <v>0</v>
      </c>
      <c r="P16" s="67">
        <f>R16+S16</f>
        <v>2082</v>
      </c>
      <c r="Q16" s="70">
        <v>0</v>
      </c>
      <c r="R16" s="70">
        <v>0</v>
      </c>
      <c r="S16" s="70">
        <v>2082</v>
      </c>
      <c r="T16" s="18">
        <v>0</v>
      </c>
      <c r="U16" s="67">
        <f>W16+X16</f>
        <v>0</v>
      </c>
      <c r="V16" s="70">
        <v>0</v>
      </c>
      <c r="W16" s="70">
        <v>0</v>
      </c>
      <c r="X16" s="70">
        <v>0</v>
      </c>
      <c r="Y16" s="18">
        <v>0</v>
      </c>
      <c r="Z16" s="67">
        <f>AB16+AC16</f>
        <v>0</v>
      </c>
      <c r="AA16" s="70">
        <v>0</v>
      </c>
      <c r="AB16" s="70">
        <v>0</v>
      </c>
      <c r="AC16" s="70">
        <v>0</v>
      </c>
    </row>
    <row r="17" spans="1:45" s="49" customFormat="1" ht="99.6" customHeight="1" outlineLevel="1" x14ac:dyDescent="0.2">
      <c r="A17" s="19" t="s">
        <v>115</v>
      </c>
      <c r="B17" s="182" t="s">
        <v>931</v>
      </c>
      <c r="C17" s="19">
        <f t="shared" si="3"/>
        <v>0</v>
      </c>
      <c r="D17" s="67">
        <f t="shared" si="1"/>
        <v>958</v>
      </c>
      <c r="E17" s="19">
        <v>0</v>
      </c>
      <c r="F17" s="67">
        <v>0</v>
      </c>
      <c r="G17" s="67">
        <v>0</v>
      </c>
      <c r="H17" s="67">
        <v>0</v>
      </c>
      <c r="I17" s="67">
        <v>0</v>
      </c>
      <c r="J17" s="18">
        <v>0</v>
      </c>
      <c r="K17" s="67">
        <f t="shared" si="2"/>
        <v>0</v>
      </c>
      <c r="L17" s="67">
        <v>0</v>
      </c>
      <c r="M17" s="70">
        <v>0</v>
      </c>
      <c r="N17" s="70">
        <v>0</v>
      </c>
      <c r="O17" s="18">
        <v>0</v>
      </c>
      <c r="P17" s="67">
        <f>R17+S17</f>
        <v>958</v>
      </c>
      <c r="Q17" s="70">
        <v>0</v>
      </c>
      <c r="R17" s="70">
        <v>0</v>
      </c>
      <c r="S17" s="70">
        <v>958</v>
      </c>
      <c r="T17" s="18">
        <v>0</v>
      </c>
      <c r="U17" s="67">
        <f>W17+X17</f>
        <v>0</v>
      </c>
      <c r="V17" s="70">
        <v>0</v>
      </c>
      <c r="W17" s="70">
        <v>0</v>
      </c>
      <c r="X17" s="70">
        <v>0</v>
      </c>
      <c r="Y17" s="18">
        <v>0</v>
      </c>
      <c r="Z17" s="67">
        <f>AB17+AC17</f>
        <v>0</v>
      </c>
      <c r="AA17" s="70">
        <v>0</v>
      </c>
      <c r="AB17" s="70">
        <v>0</v>
      </c>
      <c r="AC17" s="70">
        <v>0</v>
      </c>
    </row>
    <row r="18" spans="1:45" s="69" customFormat="1" ht="53.25" customHeight="1" x14ac:dyDescent="0.2">
      <c r="A18" s="168" t="s">
        <v>62</v>
      </c>
      <c r="B18" s="227" t="s">
        <v>116</v>
      </c>
      <c r="C18" s="168">
        <f>E18+J18+O18+T18+Y18</f>
        <v>1</v>
      </c>
      <c r="D18" s="169">
        <f>F18+K18+P18+U18+Z18</f>
        <v>87301</v>
      </c>
      <c r="E18" s="168">
        <f>E19+E20+E21</f>
        <v>0</v>
      </c>
      <c r="F18" s="168">
        <f t="shared" ref="F18:Q18" si="4">F19+F20+F21</f>
        <v>0</v>
      </c>
      <c r="G18" s="168">
        <f t="shared" si="4"/>
        <v>0</v>
      </c>
      <c r="H18" s="168">
        <f t="shared" si="4"/>
        <v>0</v>
      </c>
      <c r="I18" s="168">
        <f t="shared" si="4"/>
        <v>0</v>
      </c>
      <c r="J18" s="168">
        <f t="shared" si="4"/>
        <v>1</v>
      </c>
      <c r="K18" s="168">
        <f t="shared" si="4"/>
        <v>87301</v>
      </c>
      <c r="L18" s="168">
        <f t="shared" si="4"/>
        <v>0</v>
      </c>
      <c r="M18" s="168">
        <f t="shared" si="4"/>
        <v>83110.551999999996</v>
      </c>
      <c r="N18" s="168">
        <f t="shared" si="4"/>
        <v>4190.4480000000003</v>
      </c>
      <c r="O18" s="168">
        <f t="shared" si="4"/>
        <v>0</v>
      </c>
      <c r="P18" s="168">
        <f t="shared" si="4"/>
        <v>0</v>
      </c>
      <c r="Q18" s="168">
        <f t="shared" si="4"/>
        <v>0</v>
      </c>
      <c r="R18" s="168">
        <f t="shared" ref="R18" si="5">R19+R20+R21</f>
        <v>0</v>
      </c>
      <c r="S18" s="168">
        <f t="shared" ref="S18" si="6">S19+S20+S21</f>
        <v>0</v>
      </c>
      <c r="T18" s="168">
        <f t="shared" ref="T18" si="7">T19+T20+T21</f>
        <v>0</v>
      </c>
      <c r="U18" s="168">
        <f t="shared" ref="U18" si="8">U19+U20+U21</f>
        <v>0</v>
      </c>
      <c r="V18" s="168">
        <f t="shared" ref="V18" si="9">V19+V20+V21</f>
        <v>0</v>
      </c>
      <c r="W18" s="168">
        <f t="shared" ref="W18" si="10">W19+W20+W21</f>
        <v>0</v>
      </c>
      <c r="X18" s="168">
        <f t="shared" ref="X18" si="11">X19+X20+X21</f>
        <v>0</v>
      </c>
      <c r="Y18" s="168">
        <f t="shared" ref="Y18" si="12">Y19+Y20+Y21</f>
        <v>0</v>
      </c>
      <c r="Z18" s="168">
        <f t="shared" ref="Z18" si="13">Z19+Z20+Z21</f>
        <v>0</v>
      </c>
      <c r="AA18" s="168">
        <f t="shared" ref="AA18" si="14">AA19+AA20+AA21</f>
        <v>0</v>
      </c>
      <c r="AB18" s="168">
        <f t="shared" ref="AB18" si="15">AB19+AB20+AB21</f>
        <v>0</v>
      </c>
      <c r="AC18" s="168">
        <f t="shared" ref="AC18" si="16">AC19+AC20+AC21</f>
        <v>0</v>
      </c>
    </row>
    <row r="19" spans="1:45" s="49" customFormat="1" ht="52.15" customHeight="1" outlineLevel="1" x14ac:dyDescent="0.2">
      <c r="A19" s="19" t="s">
        <v>63</v>
      </c>
      <c r="B19" s="182" t="s">
        <v>116</v>
      </c>
      <c r="C19" s="19">
        <f>E19+J19+O19+T19+Y19</f>
        <v>1</v>
      </c>
      <c r="D19" s="67">
        <f>F19+K19+P19+U19+Z19</f>
        <v>87301</v>
      </c>
      <c r="E19" s="19">
        <v>0</v>
      </c>
      <c r="F19" s="67">
        <v>0</v>
      </c>
      <c r="G19" s="67">
        <v>0</v>
      </c>
      <c r="H19" s="67">
        <v>0</v>
      </c>
      <c r="I19" s="67">
        <v>0</v>
      </c>
      <c r="J19" s="18">
        <v>1</v>
      </c>
      <c r="K19" s="67">
        <v>87301</v>
      </c>
      <c r="L19" s="67">
        <v>0</v>
      </c>
      <c r="M19" s="70">
        <f>K19*0.952</f>
        <v>83110.551999999996</v>
      </c>
      <c r="N19" s="70">
        <f>K19*0.048</f>
        <v>4190.4480000000003</v>
      </c>
      <c r="O19" s="18">
        <v>0</v>
      </c>
      <c r="P19" s="70">
        <v>0</v>
      </c>
      <c r="Q19" s="70">
        <v>0</v>
      </c>
      <c r="R19" s="70">
        <v>0</v>
      </c>
      <c r="S19" s="70">
        <v>0</v>
      </c>
      <c r="T19" s="18">
        <v>0</v>
      </c>
      <c r="U19" s="70">
        <v>0</v>
      </c>
      <c r="V19" s="70">
        <v>0</v>
      </c>
      <c r="W19" s="70">
        <v>0</v>
      </c>
      <c r="X19" s="70">
        <v>0</v>
      </c>
      <c r="Y19" s="18">
        <v>0</v>
      </c>
      <c r="Z19" s="70">
        <v>0</v>
      </c>
      <c r="AA19" s="70">
        <v>0</v>
      </c>
      <c r="AB19" s="70">
        <v>0</v>
      </c>
      <c r="AC19" s="70">
        <v>0</v>
      </c>
    </row>
    <row r="20" spans="1:45" s="49" customFormat="1" ht="84.75" customHeight="1" outlineLevel="1" x14ac:dyDescent="0.2">
      <c r="A20" s="19" t="s">
        <v>64</v>
      </c>
      <c r="B20" s="182" t="s">
        <v>117</v>
      </c>
      <c r="C20" s="19">
        <f t="shared" ref="C20:C21" si="17">E20+J20+O20+T20+Y20</f>
        <v>0</v>
      </c>
      <c r="D20" s="67">
        <f t="shared" ref="D20:D21" si="18">F20+K20+P20+U20+Z20</f>
        <v>0</v>
      </c>
      <c r="E20" s="19">
        <v>0</v>
      </c>
      <c r="F20" s="67">
        <v>0</v>
      </c>
      <c r="G20" s="67">
        <v>0</v>
      </c>
      <c r="H20" s="67">
        <v>0</v>
      </c>
      <c r="I20" s="67">
        <v>0</v>
      </c>
      <c r="J20" s="18">
        <v>0</v>
      </c>
      <c r="K20" s="67">
        <f t="shared" ref="K20:K41" si="19">SUM(L20:N20)</f>
        <v>0</v>
      </c>
      <c r="L20" s="67">
        <v>0</v>
      </c>
      <c r="M20" s="70">
        <v>0</v>
      </c>
      <c r="N20" s="70">
        <v>0</v>
      </c>
      <c r="O20" s="18">
        <v>0</v>
      </c>
      <c r="P20" s="70">
        <v>0</v>
      </c>
      <c r="Q20" s="70">
        <v>0</v>
      </c>
      <c r="R20" s="70">
        <v>0</v>
      </c>
      <c r="S20" s="70">
        <v>0</v>
      </c>
      <c r="T20" s="18">
        <v>0</v>
      </c>
      <c r="U20" s="70">
        <v>0</v>
      </c>
      <c r="V20" s="70">
        <v>0</v>
      </c>
      <c r="W20" s="70">
        <v>0</v>
      </c>
      <c r="X20" s="70">
        <v>0</v>
      </c>
      <c r="Y20" s="18">
        <v>0</v>
      </c>
      <c r="Z20" s="70">
        <v>0</v>
      </c>
      <c r="AA20" s="70">
        <v>0</v>
      </c>
      <c r="AB20" s="70">
        <v>0</v>
      </c>
      <c r="AC20" s="70">
        <v>0</v>
      </c>
    </row>
    <row r="21" spans="1:45" s="49" customFormat="1" ht="84" customHeight="1" outlineLevel="1" x14ac:dyDescent="0.2">
      <c r="A21" s="19" t="s">
        <v>102</v>
      </c>
      <c r="B21" s="182" t="s">
        <v>118</v>
      </c>
      <c r="C21" s="19">
        <f t="shared" si="17"/>
        <v>0</v>
      </c>
      <c r="D21" s="67">
        <f t="shared" si="18"/>
        <v>0</v>
      </c>
      <c r="E21" s="19">
        <f>H21+L21+Q21+V21</f>
        <v>0</v>
      </c>
      <c r="F21" s="67">
        <v>0</v>
      </c>
      <c r="G21" s="67">
        <v>0</v>
      </c>
      <c r="H21" s="67">
        <v>0</v>
      </c>
      <c r="I21" s="67">
        <v>0</v>
      </c>
      <c r="J21" s="18">
        <v>0</v>
      </c>
      <c r="K21" s="67">
        <f t="shared" si="19"/>
        <v>0</v>
      </c>
      <c r="L21" s="67">
        <v>0</v>
      </c>
      <c r="M21" s="70">
        <v>0</v>
      </c>
      <c r="N21" s="70">
        <v>0</v>
      </c>
      <c r="O21" s="18">
        <v>0</v>
      </c>
      <c r="P21" s="70">
        <v>0</v>
      </c>
      <c r="Q21" s="70">
        <v>0</v>
      </c>
      <c r="R21" s="70">
        <v>0</v>
      </c>
      <c r="S21" s="70">
        <v>0</v>
      </c>
      <c r="T21" s="18">
        <v>0</v>
      </c>
      <c r="U21" s="70">
        <v>0</v>
      </c>
      <c r="V21" s="70">
        <v>0</v>
      </c>
      <c r="W21" s="70">
        <v>0</v>
      </c>
      <c r="X21" s="70">
        <v>0</v>
      </c>
      <c r="Y21" s="18">
        <v>0</v>
      </c>
      <c r="Z21" s="70">
        <v>0</v>
      </c>
      <c r="AA21" s="70">
        <v>0</v>
      </c>
      <c r="AB21" s="70">
        <v>0</v>
      </c>
      <c r="AC21" s="70">
        <v>0</v>
      </c>
    </row>
    <row r="22" spans="1:45" s="2" customFormat="1" ht="65.45" customHeight="1" x14ac:dyDescent="0.2">
      <c r="A22" s="166" t="s">
        <v>88</v>
      </c>
      <c r="B22" s="227" t="s">
        <v>119</v>
      </c>
      <c r="C22" s="168">
        <f>E22+J22+O22+T22+Y22</f>
        <v>4.5</v>
      </c>
      <c r="D22" s="169">
        <f>F22+K22+P22+U22+Z22</f>
        <v>451066.91</v>
      </c>
      <c r="E22" s="168">
        <f>E23+E24+E25</f>
        <v>0</v>
      </c>
      <c r="F22" s="168">
        <f t="shared" ref="F22:AC22" si="20">F23+F24+F25</f>
        <v>0</v>
      </c>
      <c r="G22" s="168">
        <f t="shared" si="20"/>
        <v>0</v>
      </c>
      <c r="H22" s="168">
        <f t="shared" si="20"/>
        <v>0</v>
      </c>
      <c r="I22" s="168">
        <f t="shared" si="20"/>
        <v>0</v>
      </c>
      <c r="J22" s="168">
        <v>0</v>
      </c>
      <c r="K22" s="168">
        <v>0</v>
      </c>
      <c r="L22" s="168">
        <f t="shared" si="20"/>
        <v>0</v>
      </c>
      <c r="M22" s="168">
        <f t="shared" si="20"/>
        <v>0</v>
      </c>
      <c r="N22" s="168">
        <v>0</v>
      </c>
      <c r="O22" s="168">
        <f t="shared" si="20"/>
        <v>0</v>
      </c>
      <c r="P22" s="168">
        <f t="shared" si="20"/>
        <v>0</v>
      </c>
      <c r="Q22" s="168">
        <f t="shared" si="20"/>
        <v>0</v>
      </c>
      <c r="R22" s="168">
        <f t="shared" si="20"/>
        <v>0</v>
      </c>
      <c r="S22" s="168">
        <f t="shared" si="20"/>
        <v>0</v>
      </c>
      <c r="T22" s="168">
        <f t="shared" si="20"/>
        <v>4.5</v>
      </c>
      <c r="U22" s="168">
        <f t="shared" si="20"/>
        <v>451066.91</v>
      </c>
      <c r="V22" s="168">
        <f t="shared" si="20"/>
        <v>0</v>
      </c>
      <c r="W22" s="168">
        <f t="shared" si="20"/>
        <v>425369.69831999997</v>
      </c>
      <c r="X22" s="168">
        <f t="shared" si="20"/>
        <v>25697.21168</v>
      </c>
      <c r="Y22" s="168">
        <f t="shared" si="20"/>
        <v>0</v>
      </c>
      <c r="Z22" s="168">
        <f t="shared" si="20"/>
        <v>0</v>
      </c>
      <c r="AA22" s="168">
        <f t="shared" si="20"/>
        <v>0</v>
      </c>
      <c r="AB22" s="168">
        <f t="shared" si="20"/>
        <v>0</v>
      </c>
      <c r="AC22" s="168">
        <f t="shared" si="20"/>
        <v>0</v>
      </c>
      <c r="AD22" s="35"/>
      <c r="AE22" s="35"/>
    </row>
    <row r="23" spans="1:45" s="51" customFormat="1" ht="69" customHeight="1" outlineLevel="1" x14ac:dyDescent="0.2">
      <c r="A23" s="19" t="s">
        <v>815</v>
      </c>
      <c r="B23" s="182" t="s">
        <v>183</v>
      </c>
      <c r="C23" s="19">
        <f>E23+J23+O23+T23+Y23</f>
        <v>9</v>
      </c>
      <c r="D23" s="19">
        <f t="shared" si="1"/>
        <v>446816.91</v>
      </c>
      <c r="E23" s="19">
        <v>0</v>
      </c>
      <c r="F23" s="67">
        <v>0</v>
      </c>
      <c r="G23" s="67">
        <v>0</v>
      </c>
      <c r="H23" s="67">
        <v>0</v>
      </c>
      <c r="I23" s="67">
        <v>0</v>
      </c>
      <c r="J23" s="19">
        <v>4.5</v>
      </c>
      <c r="K23" s="67">
        <f t="shared" si="19"/>
        <v>0</v>
      </c>
      <c r="L23" s="67">
        <v>0</v>
      </c>
      <c r="M23" s="70">
        <v>0</v>
      </c>
      <c r="N23" s="70">
        <v>0</v>
      </c>
      <c r="O23" s="18">
        <v>0</v>
      </c>
      <c r="P23" s="70">
        <v>0</v>
      </c>
      <c r="Q23" s="70">
        <v>0</v>
      </c>
      <c r="R23" s="70">
        <v>0</v>
      </c>
      <c r="S23" s="70">
        <v>0</v>
      </c>
      <c r="T23" s="18">
        <v>4.5</v>
      </c>
      <c r="U23" s="75">
        <v>446816.91</v>
      </c>
      <c r="V23" s="75">
        <v>0</v>
      </c>
      <c r="W23" s="75">
        <f>U23*0.952</f>
        <v>425369.69831999997</v>
      </c>
      <c r="X23" s="12">
        <f>U23*0.048</f>
        <v>21447.21168</v>
      </c>
      <c r="Y23" s="12">
        <f>4.5-4.5</f>
        <v>0</v>
      </c>
      <c r="Z23" s="70">
        <f>AB23+AC23</f>
        <v>0</v>
      </c>
      <c r="AA23" s="70">
        <v>0</v>
      </c>
      <c r="AB23" s="70">
        <f>ROUND(446816.91*0.959,1)-428497.4</f>
        <v>0</v>
      </c>
      <c r="AC23" s="70">
        <f>ROUND(446816.91*0.041,1)-18319.5</f>
        <v>0</v>
      </c>
    </row>
    <row r="24" spans="1:45" s="51" customFormat="1" ht="84.6" customHeight="1" outlineLevel="1" x14ac:dyDescent="0.2">
      <c r="A24" s="19" t="s">
        <v>89</v>
      </c>
      <c r="B24" s="182" t="s">
        <v>120</v>
      </c>
      <c r="C24" s="19">
        <f t="shared" ref="C24:C25" si="21">E24+J24+O24+T24+Y24</f>
        <v>0</v>
      </c>
      <c r="D24" s="19">
        <f t="shared" si="1"/>
        <v>3150</v>
      </c>
      <c r="E24" s="19">
        <v>0</v>
      </c>
      <c r="F24" s="67">
        <v>0</v>
      </c>
      <c r="G24" s="67">
        <v>0</v>
      </c>
      <c r="H24" s="67">
        <v>0</v>
      </c>
      <c r="I24" s="67">
        <v>0</v>
      </c>
      <c r="J24" s="19">
        <v>0</v>
      </c>
      <c r="K24" s="67">
        <v>0</v>
      </c>
      <c r="L24" s="67">
        <v>0</v>
      </c>
      <c r="M24" s="70">
        <v>0</v>
      </c>
      <c r="N24" s="70">
        <v>0</v>
      </c>
      <c r="O24" s="18">
        <v>0</v>
      </c>
      <c r="P24" s="70">
        <v>0</v>
      </c>
      <c r="Q24" s="70">
        <v>0</v>
      </c>
      <c r="R24" s="70">
        <v>0</v>
      </c>
      <c r="S24" s="70">
        <v>0</v>
      </c>
      <c r="T24" s="18">
        <v>0</v>
      </c>
      <c r="U24" s="75">
        <f>X24</f>
        <v>3150</v>
      </c>
      <c r="V24" s="75">
        <v>0</v>
      </c>
      <c r="W24" s="75">
        <v>0</v>
      </c>
      <c r="X24" s="12">
        <v>3150</v>
      </c>
      <c r="Y24" s="12">
        <v>0</v>
      </c>
      <c r="Z24" s="70">
        <f>-AA24+AB24+AC24</f>
        <v>0</v>
      </c>
      <c r="AA24" s="70">
        <v>0</v>
      </c>
      <c r="AB24" s="70">
        <v>0</v>
      </c>
      <c r="AC24" s="70">
        <f>3150-3150</f>
        <v>0</v>
      </c>
    </row>
    <row r="25" spans="1:45" s="51" customFormat="1" ht="89.45" customHeight="1" outlineLevel="1" x14ac:dyDescent="0.2">
      <c r="A25" s="19" t="s">
        <v>90</v>
      </c>
      <c r="B25" s="182" t="s">
        <v>184</v>
      </c>
      <c r="C25" s="19">
        <f t="shared" si="21"/>
        <v>0</v>
      </c>
      <c r="D25" s="19">
        <f t="shared" si="1"/>
        <v>1100</v>
      </c>
      <c r="E25" s="19">
        <v>0</v>
      </c>
      <c r="F25" s="67">
        <v>0</v>
      </c>
      <c r="G25" s="67">
        <v>0</v>
      </c>
      <c r="H25" s="67">
        <v>0</v>
      </c>
      <c r="I25" s="67">
        <v>0</v>
      </c>
      <c r="J25" s="19">
        <v>0</v>
      </c>
      <c r="K25" s="67">
        <v>0</v>
      </c>
      <c r="L25" s="67">
        <v>0</v>
      </c>
      <c r="M25" s="70">
        <v>0</v>
      </c>
      <c r="N25" s="70">
        <v>0</v>
      </c>
      <c r="O25" s="18">
        <v>0</v>
      </c>
      <c r="P25" s="70">
        <v>0</v>
      </c>
      <c r="Q25" s="70">
        <v>0</v>
      </c>
      <c r="R25" s="70">
        <v>0</v>
      </c>
      <c r="S25" s="70">
        <v>0</v>
      </c>
      <c r="T25" s="18">
        <v>0</v>
      </c>
      <c r="U25" s="75">
        <f>X25</f>
        <v>1100</v>
      </c>
      <c r="V25" s="75">
        <v>0</v>
      </c>
      <c r="W25" s="75">
        <v>0</v>
      </c>
      <c r="X25" s="12">
        <v>1100</v>
      </c>
      <c r="Y25" s="12">
        <v>0</v>
      </c>
      <c r="Z25" s="70">
        <f>AA25+AB25+AC25</f>
        <v>0</v>
      </c>
      <c r="AA25" s="70">
        <v>0</v>
      </c>
      <c r="AB25" s="70">
        <v>0</v>
      </c>
      <c r="AC25" s="70">
        <f>1100-1100</f>
        <v>0</v>
      </c>
    </row>
    <row r="26" spans="1:45" s="50" customFormat="1" ht="91.5" customHeight="1" x14ac:dyDescent="0.2">
      <c r="A26" s="166" t="s">
        <v>91</v>
      </c>
      <c r="B26" s="228" t="s">
        <v>121</v>
      </c>
      <c r="C26" s="168">
        <f>E26+J26+O26++T26+Y26</f>
        <v>0.1</v>
      </c>
      <c r="D26" s="169">
        <f t="shared" si="1"/>
        <v>7884.22</v>
      </c>
      <c r="E26" s="168">
        <f>E27+E28+E29</f>
        <v>0</v>
      </c>
      <c r="F26" s="169">
        <f>F27+F28+F29</f>
        <v>0</v>
      </c>
      <c r="G26" s="169">
        <f t="shared" ref="G26:I26" si="22">G27+G28+G29</f>
        <v>0</v>
      </c>
      <c r="H26" s="169">
        <f t="shared" si="22"/>
        <v>0</v>
      </c>
      <c r="I26" s="169">
        <f t="shared" si="22"/>
        <v>0</v>
      </c>
      <c r="J26" s="168">
        <f>J27+J28+J29</f>
        <v>0</v>
      </c>
      <c r="K26" s="169">
        <f>K27+K28+K29</f>
        <v>0</v>
      </c>
      <c r="L26" s="169">
        <f t="shared" ref="L26:N26" si="23">L27+L28+L29</f>
        <v>0</v>
      </c>
      <c r="M26" s="169">
        <f t="shared" si="23"/>
        <v>0</v>
      </c>
      <c r="N26" s="169">
        <f t="shared" si="23"/>
        <v>0</v>
      </c>
      <c r="O26" s="168">
        <v>0.1</v>
      </c>
      <c r="P26" s="169">
        <f t="shared" ref="P26:AC26" si="24">P27+P28+P29</f>
        <v>7884.22</v>
      </c>
      <c r="Q26" s="169">
        <f t="shared" si="24"/>
        <v>0</v>
      </c>
      <c r="R26" s="169">
        <f t="shared" si="24"/>
        <v>7034.5374400000001</v>
      </c>
      <c r="S26" s="169">
        <f t="shared" si="24"/>
        <v>849.68255999999997</v>
      </c>
      <c r="T26" s="168">
        <f t="shared" si="24"/>
        <v>0</v>
      </c>
      <c r="U26" s="169">
        <f t="shared" si="24"/>
        <v>0</v>
      </c>
      <c r="V26" s="169">
        <f t="shared" si="24"/>
        <v>0</v>
      </c>
      <c r="W26" s="169">
        <f t="shared" si="24"/>
        <v>0</v>
      </c>
      <c r="X26" s="169">
        <f t="shared" si="24"/>
        <v>0</v>
      </c>
      <c r="Y26" s="168">
        <f t="shared" si="24"/>
        <v>0</v>
      </c>
      <c r="Z26" s="169">
        <f t="shared" si="24"/>
        <v>0</v>
      </c>
      <c r="AA26" s="169">
        <f t="shared" si="24"/>
        <v>0</v>
      </c>
      <c r="AB26" s="169">
        <f t="shared" si="24"/>
        <v>0</v>
      </c>
      <c r="AC26" s="169">
        <f t="shared" si="24"/>
        <v>0</v>
      </c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</row>
    <row r="27" spans="1:45" s="51" customFormat="1" ht="65.45" customHeight="1" outlineLevel="1" x14ac:dyDescent="0.2">
      <c r="A27" s="19" t="s">
        <v>175</v>
      </c>
      <c r="B27" s="229" t="s">
        <v>121</v>
      </c>
      <c r="C27" s="19">
        <f>E27+J27+O27+T27+Y27</f>
        <v>0</v>
      </c>
      <c r="D27" s="67">
        <f t="shared" si="1"/>
        <v>7389.22</v>
      </c>
      <c r="E27" s="19">
        <v>0</v>
      </c>
      <c r="F27" s="67">
        <v>0</v>
      </c>
      <c r="G27" s="67">
        <v>0</v>
      </c>
      <c r="H27" s="67">
        <v>0</v>
      </c>
      <c r="I27" s="67">
        <v>0</v>
      </c>
      <c r="J27" s="19">
        <v>0</v>
      </c>
      <c r="K27" s="67">
        <v>0</v>
      </c>
      <c r="L27" s="67">
        <v>0</v>
      </c>
      <c r="M27" s="70">
        <f>ROUND(7389.22*0.959,1)-7086.3</f>
        <v>0</v>
      </c>
      <c r="N27" s="70">
        <v>0</v>
      </c>
      <c r="O27" s="18">
        <v>0</v>
      </c>
      <c r="P27" s="70">
        <v>7389.22</v>
      </c>
      <c r="Q27" s="70">
        <v>0</v>
      </c>
      <c r="R27" s="70">
        <f>P27*0.952</f>
        <v>7034.5374400000001</v>
      </c>
      <c r="S27" s="70">
        <f>P27*0.048</f>
        <v>354.68256000000002</v>
      </c>
      <c r="T27" s="18">
        <v>0</v>
      </c>
      <c r="U27" s="75">
        <v>0</v>
      </c>
      <c r="V27" s="75">
        <v>0</v>
      </c>
      <c r="W27" s="75">
        <v>0</v>
      </c>
      <c r="X27" s="75">
        <v>0</v>
      </c>
      <c r="Y27" s="12">
        <v>0</v>
      </c>
      <c r="Z27" s="70">
        <v>0</v>
      </c>
      <c r="AA27" s="70">
        <v>0</v>
      </c>
      <c r="AB27" s="70">
        <v>0</v>
      </c>
      <c r="AC27" s="70">
        <v>0</v>
      </c>
    </row>
    <row r="28" spans="1:45" s="51" customFormat="1" ht="89.45" customHeight="1" outlineLevel="1" x14ac:dyDescent="0.2">
      <c r="A28" s="19" t="s">
        <v>92</v>
      </c>
      <c r="B28" s="229" t="s">
        <v>122</v>
      </c>
      <c r="C28" s="19">
        <f t="shared" ref="C28:C29" si="25">E28+J28+O28+T28+Y28</f>
        <v>0</v>
      </c>
      <c r="D28" s="67">
        <f t="shared" si="1"/>
        <v>298</v>
      </c>
      <c r="E28" s="19">
        <v>0</v>
      </c>
      <c r="F28" s="67">
        <v>0</v>
      </c>
      <c r="G28" s="67">
        <v>0</v>
      </c>
      <c r="H28" s="67">
        <v>0</v>
      </c>
      <c r="I28" s="67">
        <v>0</v>
      </c>
      <c r="J28" s="19">
        <v>0</v>
      </c>
      <c r="K28" s="67">
        <v>0</v>
      </c>
      <c r="L28" s="67">
        <v>0</v>
      </c>
      <c r="M28" s="70">
        <v>0</v>
      </c>
      <c r="N28" s="70">
        <v>0</v>
      </c>
      <c r="O28" s="18">
        <v>0</v>
      </c>
      <c r="P28" s="70">
        <f>S28</f>
        <v>298</v>
      </c>
      <c r="Q28" s="70">
        <v>0</v>
      </c>
      <c r="R28" s="70">
        <v>0</v>
      </c>
      <c r="S28" s="70">
        <v>298</v>
      </c>
      <c r="T28" s="18">
        <v>0</v>
      </c>
      <c r="U28" s="75">
        <v>0</v>
      </c>
      <c r="V28" s="75">
        <v>0</v>
      </c>
      <c r="W28" s="75">
        <v>0</v>
      </c>
      <c r="X28" s="75">
        <v>0</v>
      </c>
      <c r="Y28" s="12">
        <v>0</v>
      </c>
      <c r="Z28" s="70">
        <v>0</v>
      </c>
      <c r="AA28" s="70">
        <v>0</v>
      </c>
      <c r="AB28" s="70">
        <v>0</v>
      </c>
      <c r="AC28" s="70">
        <v>0</v>
      </c>
    </row>
    <row r="29" spans="1:45" s="51" customFormat="1" ht="90.75" customHeight="1" outlineLevel="1" x14ac:dyDescent="0.2">
      <c r="A29" s="19" t="s">
        <v>93</v>
      </c>
      <c r="B29" s="230" t="s">
        <v>185</v>
      </c>
      <c r="C29" s="19">
        <f t="shared" si="25"/>
        <v>0</v>
      </c>
      <c r="D29" s="67">
        <f t="shared" si="1"/>
        <v>197</v>
      </c>
      <c r="E29" s="19">
        <v>0</v>
      </c>
      <c r="F29" s="67">
        <v>0</v>
      </c>
      <c r="G29" s="67">
        <v>0</v>
      </c>
      <c r="H29" s="67">
        <v>0</v>
      </c>
      <c r="I29" s="67">
        <v>0</v>
      </c>
      <c r="J29" s="19">
        <v>0</v>
      </c>
      <c r="K29" s="67">
        <v>0</v>
      </c>
      <c r="L29" s="67">
        <v>0</v>
      </c>
      <c r="M29" s="70">
        <v>0</v>
      </c>
      <c r="N29" s="70">
        <v>0</v>
      </c>
      <c r="O29" s="18">
        <v>0</v>
      </c>
      <c r="P29" s="70">
        <f>S29</f>
        <v>197</v>
      </c>
      <c r="Q29" s="70">
        <v>0</v>
      </c>
      <c r="R29" s="70">
        <v>0</v>
      </c>
      <c r="S29" s="70">
        <v>197</v>
      </c>
      <c r="T29" s="18">
        <v>0</v>
      </c>
      <c r="U29" s="75">
        <v>0</v>
      </c>
      <c r="V29" s="75">
        <v>0</v>
      </c>
      <c r="W29" s="75">
        <v>0</v>
      </c>
      <c r="X29" s="75">
        <v>0</v>
      </c>
      <c r="Y29" s="12">
        <v>0</v>
      </c>
      <c r="Z29" s="70">
        <v>0</v>
      </c>
      <c r="AA29" s="70">
        <v>0</v>
      </c>
      <c r="AB29" s="70">
        <v>0</v>
      </c>
      <c r="AC29" s="70">
        <v>0</v>
      </c>
    </row>
    <row r="30" spans="1:45" s="51" customFormat="1" ht="81.75" customHeight="1" x14ac:dyDescent="0.2">
      <c r="A30" s="168" t="s">
        <v>94</v>
      </c>
      <c r="B30" s="228" t="s">
        <v>186</v>
      </c>
      <c r="C30" s="168">
        <f>C31+C32+C33</f>
        <v>0.31</v>
      </c>
      <c r="D30" s="168">
        <f t="shared" ref="D30:K30" si="26">D31+D32+D33</f>
        <v>28966.82</v>
      </c>
      <c r="E30" s="168">
        <f t="shared" si="26"/>
        <v>0</v>
      </c>
      <c r="F30" s="168">
        <f t="shared" si="26"/>
        <v>0</v>
      </c>
      <c r="G30" s="168">
        <f t="shared" si="26"/>
        <v>0</v>
      </c>
      <c r="H30" s="168">
        <f t="shared" si="26"/>
        <v>0</v>
      </c>
      <c r="I30" s="168">
        <f t="shared" si="26"/>
        <v>0</v>
      </c>
      <c r="J30" s="168">
        <f t="shared" si="26"/>
        <v>0</v>
      </c>
      <c r="K30" s="168">
        <f t="shared" si="26"/>
        <v>0</v>
      </c>
      <c r="L30" s="168">
        <f t="shared" ref="L30" si="27">L31+L32+L33</f>
        <v>0</v>
      </c>
      <c r="M30" s="168">
        <f t="shared" ref="M30" si="28">M31+M32+M33</f>
        <v>0</v>
      </c>
      <c r="N30" s="168">
        <v>0</v>
      </c>
      <c r="O30" s="168">
        <f t="shared" ref="O30" si="29">O31+O32+O33</f>
        <v>0.31</v>
      </c>
      <c r="P30" s="168">
        <f t="shared" ref="P30" si="30">P31+P32+P33</f>
        <v>28966.82</v>
      </c>
      <c r="Q30" s="168">
        <f t="shared" ref="Q30" si="31">Q31+Q32+Q33</f>
        <v>0</v>
      </c>
      <c r="R30" s="168">
        <f t="shared" ref="R30" si="32">R31+R32+R33</f>
        <v>26121.75664</v>
      </c>
      <c r="S30" s="168">
        <f t="shared" ref="S30" si="33">S31+S32+S33</f>
        <v>2845.0633600000001</v>
      </c>
      <c r="T30" s="168">
        <f t="shared" ref="T30" si="34">T31+T32+T33</f>
        <v>0</v>
      </c>
      <c r="U30" s="168">
        <f t="shared" ref="U30" si="35">U31+U32+U33</f>
        <v>0</v>
      </c>
      <c r="V30" s="168">
        <f t="shared" ref="V30" si="36">V31+V32+V33</f>
        <v>0</v>
      </c>
      <c r="W30" s="168">
        <f t="shared" ref="W30" si="37">W31+W32+W33</f>
        <v>0</v>
      </c>
      <c r="X30" s="168">
        <f t="shared" ref="X30" si="38">X31+X32+X33</f>
        <v>0</v>
      </c>
      <c r="Y30" s="168">
        <f t="shared" ref="Y30" si="39">Y31+Y32+Y33</f>
        <v>0</v>
      </c>
      <c r="Z30" s="168">
        <f t="shared" ref="Z30" si="40">Z31+Z32+Z33</f>
        <v>0</v>
      </c>
      <c r="AA30" s="168">
        <f t="shared" ref="AA30" si="41">AA31+AA32+AA33</f>
        <v>0</v>
      </c>
      <c r="AB30" s="168">
        <f t="shared" ref="AB30" si="42">AB31+AB32+AB33</f>
        <v>0</v>
      </c>
      <c r="AC30" s="168">
        <f t="shared" ref="AC30" si="43">AC31+AC32+AC33</f>
        <v>0</v>
      </c>
    </row>
    <row r="31" spans="1:45" s="51" customFormat="1" ht="81" customHeight="1" outlineLevel="1" x14ac:dyDescent="0.2">
      <c r="A31" s="19" t="s">
        <v>176</v>
      </c>
      <c r="B31" s="229" t="s">
        <v>186</v>
      </c>
      <c r="C31" s="19">
        <f t="shared" ref="C31:C37" si="44">E31+J31+O31+T31+Y31</f>
        <v>0.31</v>
      </c>
      <c r="D31" s="67">
        <f t="shared" si="1"/>
        <v>27438.82</v>
      </c>
      <c r="E31" s="19">
        <v>0</v>
      </c>
      <c r="F31" s="67">
        <v>0</v>
      </c>
      <c r="G31" s="67">
        <v>0</v>
      </c>
      <c r="H31" s="67">
        <v>0</v>
      </c>
      <c r="I31" s="67">
        <v>0</v>
      </c>
      <c r="J31" s="19">
        <v>0</v>
      </c>
      <c r="K31" s="67">
        <f t="shared" si="19"/>
        <v>0</v>
      </c>
      <c r="L31" s="67">
        <v>0</v>
      </c>
      <c r="M31" s="67">
        <f>ROUND(27438.82*0.959,1)-26313.8</f>
        <v>0</v>
      </c>
      <c r="N31" s="67">
        <v>0</v>
      </c>
      <c r="O31" s="19">
        <v>0.31</v>
      </c>
      <c r="P31" s="67">
        <v>27438.82</v>
      </c>
      <c r="Q31" s="67">
        <v>0</v>
      </c>
      <c r="R31" s="70">
        <f>P31*0.952</f>
        <v>26121.75664</v>
      </c>
      <c r="S31" s="70">
        <f>P31*0.048</f>
        <v>1317.0633600000001</v>
      </c>
      <c r="T31" s="18">
        <v>0</v>
      </c>
      <c r="U31" s="67">
        <v>0</v>
      </c>
      <c r="V31" s="67">
        <v>0</v>
      </c>
      <c r="W31" s="70">
        <v>0</v>
      </c>
      <c r="X31" s="70">
        <v>0</v>
      </c>
      <c r="Y31" s="18">
        <v>0</v>
      </c>
      <c r="Z31" s="67">
        <v>0</v>
      </c>
      <c r="AA31" s="70">
        <v>0</v>
      </c>
      <c r="AB31" s="70">
        <v>0</v>
      </c>
      <c r="AC31" s="70">
        <v>0</v>
      </c>
    </row>
    <row r="32" spans="1:45" s="51" customFormat="1" ht="105.6" customHeight="1" outlineLevel="1" x14ac:dyDescent="0.2">
      <c r="A32" s="19" t="s">
        <v>95</v>
      </c>
      <c r="B32" s="229" t="s">
        <v>187</v>
      </c>
      <c r="C32" s="19">
        <f t="shared" si="44"/>
        <v>0</v>
      </c>
      <c r="D32" s="67">
        <f t="shared" si="1"/>
        <v>965</v>
      </c>
      <c r="E32" s="19">
        <v>0</v>
      </c>
      <c r="F32" s="67">
        <v>0</v>
      </c>
      <c r="G32" s="67">
        <v>0</v>
      </c>
      <c r="H32" s="67">
        <v>0</v>
      </c>
      <c r="I32" s="67">
        <v>0</v>
      </c>
      <c r="J32" s="19">
        <v>0</v>
      </c>
      <c r="K32" s="67">
        <f t="shared" si="19"/>
        <v>0</v>
      </c>
      <c r="L32" s="67">
        <v>0</v>
      </c>
      <c r="M32" s="67">
        <v>0</v>
      </c>
      <c r="N32" s="67">
        <v>0</v>
      </c>
      <c r="O32" s="19">
        <v>0</v>
      </c>
      <c r="P32" s="67">
        <f>S32</f>
        <v>965</v>
      </c>
      <c r="Q32" s="67">
        <v>0</v>
      </c>
      <c r="R32" s="70">
        <v>0</v>
      </c>
      <c r="S32" s="70">
        <v>965</v>
      </c>
      <c r="T32" s="18">
        <v>0</v>
      </c>
      <c r="U32" s="67">
        <v>0</v>
      </c>
      <c r="V32" s="67">
        <v>0</v>
      </c>
      <c r="W32" s="70">
        <v>0</v>
      </c>
      <c r="X32" s="70">
        <v>0</v>
      </c>
      <c r="Y32" s="18">
        <v>0</v>
      </c>
      <c r="Z32" s="67">
        <v>0</v>
      </c>
      <c r="AA32" s="70">
        <v>0</v>
      </c>
      <c r="AB32" s="70">
        <v>0</v>
      </c>
      <c r="AC32" s="70">
        <v>0</v>
      </c>
    </row>
    <row r="33" spans="1:43" s="51" customFormat="1" ht="105.6" customHeight="1" outlineLevel="1" x14ac:dyDescent="0.2">
      <c r="A33" s="19" t="s">
        <v>96</v>
      </c>
      <c r="B33" s="229" t="s">
        <v>809</v>
      </c>
      <c r="C33" s="19">
        <v>0</v>
      </c>
      <c r="D33" s="67">
        <f t="shared" si="1"/>
        <v>563</v>
      </c>
      <c r="E33" s="19">
        <v>0</v>
      </c>
      <c r="F33" s="67">
        <v>0</v>
      </c>
      <c r="G33" s="67">
        <v>0</v>
      </c>
      <c r="H33" s="67">
        <v>0</v>
      </c>
      <c r="I33" s="67">
        <v>0</v>
      </c>
      <c r="J33" s="19">
        <v>0</v>
      </c>
      <c r="K33" s="67">
        <v>0</v>
      </c>
      <c r="L33" s="67">
        <v>0</v>
      </c>
      <c r="M33" s="67">
        <v>0</v>
      </c>
      <c r="N33" s="67">
        <v>0</v>
      </c>
      <c r="O33" s="19">
        <v>0</v>
      </c>
      <c r="P33" s="67">
        <f>S33</f>
        <v>563</v>
      </c>
      <c r="Q33" s="67">
        <v>0</v>
      </c>
      <c r="R33" s="70">
        <v>0</v>
      </c>
      <c r="S33" s="70">
        <v>563</v>
      </c>
      <c r="T33" s="18">
        <v>0</v>
      </c>
      <c r="U33" s="67">
        <v>0</v>
      </c>
      <c r="V33" s="67">
        <v>0</v>
      </c>
      <c r="W33" s="70">
        <v>0</v>
      </c>
      <c r="X33" s="70">
        <v>0</v>
      </c>
      <c r="Y33" s="18">
        <v>0</v>
      </c>
      <c r="Z33" s="67">
        <v>0</v>
      </c>
      <c r="AA33" s="70">
        <v>0</v>
      </c>
      <c r="AB33" s="70">
        <v>0</v>
      </c>
      <c r="AC33" s="70">
        <v>0</v>
      </c>
    </row>
    <row r="34" spans="1:43" s="51" customFormat="1" ht="64.150000000000006" customHeight="1" x14ac:dyDescent="0.2">
      <c r="A34" s="168" t="s">
        <v>97</v>
      </c>
      <c r="B34" s="228" t="s">
        <v>127</v>
      </c>
      <c r="C34" s="168">
        <f t="shared" si="44"/>
        <v>0.82</v>
      </c>
      <c r="D34" s="169">
        <f t="shared" si="1"/>
        <v>74008</v>
      </c>
      <c r="E34" s="168">
        <f>E35+E36+E37</f>
        <v>0</v>
      </c>
      <c r="F34" s="169">
        <f>F35+F36+F37</f>
        <v>0</v>
      </c>
      <c r="G34" s="169">
        <f t="shared" ref="G34:N34" si="45">G35+G36+G37</f>
        <v>0</v>
      </c>
      <c r="H34" s="169">
        <f t="shared" si="45"/>
        <v>0</v>
      </c>
      <c r="I34" s="169">
        <f t="shared" si="45"/>
        <v>0</v>
      </c>
      <c r="J34" s="168">
        <f t="shared" si="45"/>
        <v>0</v>
      </c>
      <c r="K34" s="168">
        <f t="shared" si="19"/>
        <v>0</v>
      </c>
      <c r="L34" s="168">
        <f>L35+L36+L37</f>
        <v>0</v>
      </c>
      <c r="M34" s="168">
        <f t="shared" si="45"/>
        <v>0</v>
      </c>
      <c r="N34" s="168">
        <f t="shared" si="45"/>
        <v>0</v>
      </c>
      <c r="O34" s="168">
        <f>O35+O36+O37</f>
        <v>0.82</v>
      </c>
      <c r="P34" s="169">
        <f t="shared" ref="P34:AC34" si="46">P35+P36+P37</f>
        <v>74008</v>
      </c>
      <c r="Q34" s="169">
        <f t="shared" si="46"/>
        <v>0</v>
      </c>
      <c r="R34" s="169">
        <f t="shared" si="46"/>
        <v>69027.615999999995</v>
      </c>
      <c r="S34" s="169">
        <f t="shared" si="46"/>
        <v>4980.384</v>
      </c>
      <c r="T34" s="168">
        <f t="shared" si="46"/>
        <v>0</v>
      </c>
      <c r="U34" s="169">
        <f t="shared" si="46"/>
        <v>0</v>
      </c>
      <c r="V34" s="169">
        <f t="shared" si="46"/>
        <v>0</v>
      </c>
      <c r="W34" s="169">
        <f t="shared" si="46"/>
        <v>0</v>
      </c>
      <c r="X34" s="169">
        <f t="shared" si="46"/>
        <v>0</v>
      </c>
      <c r="Y34" s="168">
        <f t="shared" si="46"/>
        <v>0</v>
      </c>
      <c r="Z34" s="169">
        <f t="shared" si="46"/>
        <v>0</v>
      </c>
      <c r="AA34" s="169">
        <f t="shared" si="46"/>
        <v>0</v>
      </c>
      <c r="AB34" s="169">
        <f t="shared" si="46"/>
        <v>0</v>
      </c>
      <c r="AC34" s="169">
        <f t="shared" si="46"/>
        <v>0</v>
      </c>
    </row>
    <row r="35" spans="1:43" s="51" customFormat="1" ht="63.75" customHeight="1" outlineLevel="1" x14ac:dyDescent="0.2">
      <c r="A35" s="19" t="s">
        <v>98</v>
      </c>
      <c r="B35" s="229" t="s">
        <v>127</v>
      </c>
      <c r="C35" s="19">
        <f t="shared" si="44"/>
        <v>0.82</v>
      </c>
      <c r="D35" s="67">
        <f t="shared" si="1"/>
        <v>72508</v>
      </c>
      <c r="E35" s="19">
        <v>0</v>
      </c>
      <c r="F35" s="67">
        <v>0</v>
      </c>
      <c r="G35" s="67">
        <v>0</v>
      </c>
      <c r="H35" s="67">
        <v>0</v>
      </c>
      <c r="I35" s="67">
        <v>0</v>
      </c>
      <c r="J35" s="19">
        <v>0</v>
      </c>
      <c r="K35" s="67">
        <f t="shared" si="19"/>
        <v>0</v>
      </c>
      <c r="L35" s="19">
        <v>0</v>
      </c>
      <c r="M35" s="19">
        <v>0</v>
      </c>
      <c r="N35" s="70">
        <v>0</v>
      </c>
      <c r="O35" s="19">
        <v>0.82</v>
      </c>
      <c r="P35" s="67">
        <v>72508</v>
      </c>
      <c r="Q35" s="67">
        <v>0</v>
      </c>
      <c r="R35" s="70">
        <f>P35*0.952</f>
        <v>69027.615999999995</v>
      </c>
      <c r="S35" s="70">
        <f>P35*0.048</f>
        <v>3480.384</v>
      </c>
      <c r="T35" s="18">
        <v>0</v>
      </c>
      <c r="U35" s="67">
        <v>0</v>
      </c>
      <c r="V35" s="67">
        <v>0</v>
      </c>
      <c r="W35" s="70">
        <v>0</v>
      </c>
      <c r="X35" s="70">
        <v>0</v>
      </c>
      <c r="Y35" s="18">
        <v>0</v>
      </c>
      <c r="Z35" s="67">
        <v>0</v>
      </c>
      <c r="AA35" s="70">
        <v>0</v>
      </c>
      <c r="AB35" s="70">
        <v>0</v>
      </c>
      <c r="AC35" s="70">
        <v>0</v>
      </c>
    </row>
    <row r="36" spans="1:43" s="51" customFormat="1" ht="90.75" customHeight="1" outlineLevel="1" x14ac:dyDescent="0.2">
      <c r="A36" s="19" t="s">
        <v>99</v>
      </c>
      <c r="B36" s="229" t="s">
        <v>128</v>
      </c>
      <c r="C36" s="19">
        <f t="shared" si="44"/>
        <v>0</v>
      </c>
      <c r="D36" s="67">
        <f t="shared" si="1"/>
        <v>1050</v>
      </c>
      <c r="E36" s="19">
        <v>0</v>
      </c>
      <c r="F36" s="67">
        <v>0</v>
      </c>
      <c r="G36" s="67">
        <v>0</v>
      </c>
      <c r="H36" s="67">
        <v>0</v>
      </c>
      <c r="I36" s="67">
        <v>0</v>
      </c>
      <c r="J36" s="19">
        <v>0</v>
      </c>
      <c r="K36" s="67">
        <f t="shared" si="19"/>
        <v>0</v>
      </c>
      <c r="L36" s="19">
        <v>0</v>
      </c>
      <c r="M36" s="19">
        <v>0</v>
      </c>
      <c r="N36" s="70">
        <v>0</v>
      </c>
      <c r="O36" s="19">
        <v>0</v>
      </c>
      <c r="P36" s="67">
        <f>Q36+R36+S36</f>
        <v>1050</v>
      </c>
      <c r="Q36" s="67">
        <v>0</v>
      </c>
      <c r="R36" s="70">
        <v>0</v>
      </c>
      <c r="S36" s="70">
        <v>1050</v>
      </c>
      <c r="T36" s="18">
        <v>0</v>
      </c>
      <c r="U36" s="67">
        <v>0</v>
      </c>
      <c r="V36" s="67">
        <v>0</v>
      </c>
      <c r="W36" s="70">
        <v>0</v>
      </c>
      <c r="X36" s="70">
        <v>0</v>
      </c>
      <c r="Y36" s="18">
        <v>0</v>
      </c>
      <c r="Z36" s="67">
        <v>0</v>
      </c>
      <c r="AA36" s="70">
        <v>0</v>
      </c>
      <c r="AB36" s="70">
        <v>0</v>
      </c>
      <c r="AC36" s="70">
        <v>0</v>
      </c>
    </row>
    <row r="37" spans="1:43" s="51" customFormat="1" ht="86.25" customHeight="1" outlineLevel="1" x14ac:dyDescent="0.2">
      <c r="A37" s="19" t="s">
        <v>100</v>
      </c>
      <c r="B37" s="229" t="s">
        <v>129</v>
      </c>
      <c r="C37" s="19">
        <f t="shared" si="44"/>
        <v>0</v>
      </c>
      <c r="D37" s="67">
        <f t="shared" si="1"/>
        <v>450</v>
      </c>
      <c r="E37" s="19">
        <v>0</v>
      </c>
      <c r="F37" s="67">
        <v>0</v>
      </c>
      <c r="G37" s="67">
        <v>0</v>
      </c>
      <c r="H37" s="67">
        <v>0</v>
      </c>
      <c r="I37" s="67">
        <v>0</v>
      </c>
      <c r="J37" s="19">
        <v>0</v>
      </c>
      <c r="K37" s="67">
        <f t="shared" si="19"/>
        <v>0</v>
      </c>
      <c r="L37" s="19">
        <v>0</v>
      </c>
      <c r="M37" s="19">
        <v>0</v>
      </c>
      <c r="N37" s="70">
        <v>0</v>
      </c>
      <c r="O37" s="19">
        <v>0</v>
      </c>
      <c r="P37" s="67">
        <f>Q37+R37+S37</f>
        <v>450</v>
      </c>
      <c r="Q37" s="67">
        <v>0</v>
      </c>
      <c r="R37" s="70">
        <v>0</v>
      </c>
      <c r="S37" s="70">
        <v>450</v>
      </c>
      <c r="T37" s="18">
        <v>0</v>
      </c>
      <c r="U37" s="67">
        <v>0</v>
      </c>
      <c r="V37" s="67">
        <v>0</v>
      </c>
      <c r="W37" s="70">
        <v>0</v>
      </c>
      <c r="X37" s="70">
        <v>0</v>
      </c>
      <c r="Y37" s="18">
        <v>0</v>
      </c>
      <c r="Z37" s="67">
        <v>0</v>
      </c>
      <c r="AA37" s="70">
        <v>0</v>
      </c>
      <c r="AB37" s="70">
        <v>0</v>
      </c>
      <c r="AC37" s="70">
        <v>0</v>
      </c>
    </row>
    <row r="38" spans="1:43" s="51" customFormat="1" ht="54.75" customHeight="1" x14ac:dyDescent="0.2">
      <c r="A38" s="168" t="s">
        <v>101</v>
      </c>
      <c r="B38" s="228" t="s">
        <v>178</v>
      </c>
      <c r="C38" s="168">
        <f>E38+J38+O38+T38+Y38</f>
        <v>2.4</v>
      </c>
      <c r="D38" s="169">
        <f t="shared" si="1"/>
        <v>479395.5</v>
      </c>
      <c r="E38" s="168">
        <f>E39+E40+E41</f>
        <v>0</v>
      </c>
      <c r="F38" s="169">
        <f t="shared" ref="F38:AC38" si="47">F39+F40+F41</f>
        <v>0</v>
      </c>
      <c r="G38" s="169">
        <f t="shared" si="47"/>
        <v>0</v>
      </c>
      <c r="H38" s="169">
        <f t="shared" si="47"/>
        <v>0</v>
      </c>
      <c r="I38" s="169">
        <f t="shared" si="47"/>
        <v>0</v>
      </c>
      <c r="J38" s="168">
        <f t="shared" si="47"/>
        <v>0</v>
      </c>
      <c r="K38" s="168">
        <f t="shared" si="19"/>
        <v>0</v>
      </c>
      <c r="L38" s="168">
        <f t="shared" si="47"/>
        <v>0</v>
      </c>
      <c r="M38" s="168">
        <f t="shared" si="47"/>
        <v>0</v>
      </c>
      <c r="N38" s="168">
        <f t="shared" si="47"/>
        <v>0</v>
      </c>
      <c r="O38" s="168">
        <f t="shared" si="47"/>
        <v>0</v>
      </c>
      <c r="P38" s="168">
        <f t="shared" si="47"/>
        <v>0</v>
      </c>
      <c r="Q38" s="168">
        <f t="shared" si="47"/>
        <v>0</v>
      </c>
      <c r="R38" s="168">
        <f t="shared" si="47"/>
        <v>0</v>
      </c>
      <c r="S38" s="168">
        <f t="shared" si="47"/>
        <v>0</v>
      </c>
      <c r="T38" s="168">
        <f t="shared" si="47"/>
        <v>0</v>
      </c>
      <c r="U38" s="168">
        <f t="shared" si="47"/>
        <v>0</v>
      </c>
      <c r="V38" s="168">
        <f t="shared" si="47"/>
        <v>0</v>
      </c>
      <c r="W38" s="168">
        <f t="shared" si="47"/>
        <v>0</v>
      </c>
      <c r="X38" s="168">
        <f t="shared" si="47"/>
        <v>0</v>
      </c>
      <c r="Y38" s="168">
        <f t="shared" si="47"/>
        <v>2.4</v>
      </c>
      <c r="Z38" s="169">
        <f t="shared" si="47"/>
        <v>479395.5</v>
      </c>
      <c r="AA38" s="169">
        <f t="shared" si="47"/>
        <v>0</v>
      </c>
      <c r="AB38" s="169">
        <f t="shared" si="47"/>
        <v>453986.3</v>
      </c>
      <c r="AC38" s="169">
        <f t="shared" si="47"/>
        <v>25409.200000000001</v>
      </c>
    </row>
    <row r="39" spans="1:43" s="51" customFormat="1" ht="45.6" customHeight="1" outlineLevel="1" x14ac:dyDescent="0.2">
      <c r="A39" s="19" t="s">
        <v>177</v>
      </c>
      <c r="B39" s="229" t="s">
        <v>178</v>
      </c>
      <c r="C39" s="19">
        <f>E39+J39+O39+T39+Y39</f>
        <v>2.4</v>
      </c>
      <c r="D39" s="67">
        <f t="shared" si="1"/>
        <v>473395.5</v>
      </c>
      <c r="E39" s="19">
        <v>0</v>
      </c>
      <c r="F39" s="67">
        <v>0</v>
      </c>
      <c r="G39" s="67">
        <v>0</v>
      </c>
      <c r="H39" s="67">
        <v>0</v>
      </c>
      <c r="I39" s="67">
        <v>0</v>
      </c>
      <c r="J39" s="19">
        <v>0</v>
      </c>
      <c r="K39" s="19">
        <f t="shared" si="19"/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8">
        <v>0</v>
      </c>
      <c r="S39" s="18">
        <v>0</v>
      </c>
      <c r="T39" s="18">
        <v>0</v>
      </c>
      <c r="U39" s="19">
        <v>0</v>
      </c>
      <c r="V39" s="19">
        <v>0</v>
      </c>
      <c r="W39" s="18">
        <v>0</v>
      </c>
      <c r="X39" s="18">
        <v>0</v>
      </c>
      <c r="Y39" s="18">
        <v>2.4</v>
      </c>
      <c r="Z39" s="67">
        <f>AA39+AB39+AC39</f>
        <v>473395.5</v>
      </c>
      <c r="AA39" s="70">
        <v>0</v>
      </c>
      <c r="AB39" s="70">
        <f>ROUND(473395.52*0.959,1)</f>
        <v>453986.3</v>
      </c>
      <c r="AC39" s="70">
        <f>ROUND(473395.52*0.041,1)</f>
        <v>19409.2</v>
      </c>
    </row>
    <row r="40" spans="1:43" s="51" customFormat="1" ht="69" customHeight="1" outlineLevel="1" x14ac:dyDescent="0.2">
      <c r="A40" s="19" t="s">
        <v>126</v>
      </c>
      <c r="B40" s="229" t="s">
        <v>179</v>
      </c>
      <c r="C40" s="19">
        <f t="shared" ref="C40:C41" si="48">E40+J40+O40+T40+Y40</f>
        <v>0</v>
      </c>
      <c r="D40" s="67">
        <f t="shared" si="1"/>
        <v>4500</v>
      </c>
      <c r="E40" s="19">
        <v>0</v>
      </c>
      <c r="F40" s="67">
        <v>0</v>
      </c>
      <c r="G40" s="67">
        <v>0</v>
      </c>
      <c r="H40" s="67">
        <v>0</v>
      </c>
      <c r="I40" s="67">
        <v>0</v>
      </c>
      <c r="J40" s="19">
        <v>0</v>
      </c>
      <c r="K40" s="19">
        <f t="shared" si="19"/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8">
        <v>0</v>
      </c>
      <c r="S40" s="18">
        <v>0</v>
      </c>
      <c r="T40" s="18">
        <v>0</v>
      </c>
      <c r="U40" s="19">
        <v>0</v>
      </c>
      <c r="V40" s="19">
        <v>0</v>
      </c>
      <c r="W40" s="18">
        <v>0</v>
      </c>
      <c r="X40" s="18">
        <v>0</v>
      </c>
      <c r="Y40" s="18"/>
      <c r="Z40" s="67">
        <f>AA40+AB40+AC40</f>
        <v>4500</v>
      </c>
      <c r="AA40" s="70">
        <v>0</v>
      </c>
      <c r="AB40" s="70">
        <v>0</v>
      </c>
      <c r="AC40" s="70">
        <v>4500</v>
      </c>
    </row>
    <row r="41" spans="1:43" s="51" customFormat="1" ht="66.599999999999994" customHeight="1" outlineLevel="1" x14ac:dyDescent="0.2">
      <c r="A41" s="19" t="s">
        <v>123</v>
      </c>
      <c r="B41" s="229" t="s">
        <v>180</v>
      </c>
      <c r="C41" s="19">
        <f t="shared" si="48"/>
        <v>0</v>
      </c>
      <c r="D41" s="67">
        <f t="shared" si="1"/>
        <v>1500</v>
      </c>
      <c r="E41" s="19">
        <v>0</v>
      </c>
      <c r="F41" s="67">
        <v>0</v>
      </c>
      <c r="G41" s="67">
        <v>0</v>
      </c>
      <c r="H41" s="67">
        <v>0</v>
      </c>
      <c r="I41" s="67">
        <v>0</v>
      </c>
      <c r="J41" s="19">
        <v>0</v>
      </c>
      <c r="K41" s="19">
        <f t="shared" si="19"/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8">
        <v>0</v>
      </c>
      <c r="S41" s="18">
        <v>0</v>
      </c>
      <c r="T41" s="18">
        <v>0</v>
      </c>
      <c r="U41" s="19">
        <v>0</v>
      </c>
      <c r="V41" s="19">
        <v>0</v>
      </c>
      <c r="W41" s="18">
        <v>0</v>
      </c>
      <c r="X41" s="18">
        <v>0</v>
      </c>
      <c r="Y41" s="18"/>
      <c r="Z41" s="67">
        <f>AA41+AB41+AC41</f>
        <v>1500</v>
      </c>
      <c r="AA41" s="70">
        <v>0</v>
      </c>
      <c r="AB41" s="70">
        <v>0</v>
      </c>
      <c r="AC41" s="70">
        <v>1500</v>
      </c>
    </row>
    <row r="42" spans="1:43" s="53" customFormat="1" ht="29.45" customHeight="1" x14ac:dyDescent="0.2">
      <c r="A42" s="183"/>
      <c r="B42" s="231" t="s">
        <v>15</v>
      </c>
      <c r="C42" s="183">
        <f>C14+C18+C22+C26+C30+C34+C38</f>
        <v>9.68</v>
      </c>
      <c r="D42" s="183">
        <f t="shared" ref="D42:AC42" si="49">D14+D18+D22+D26+D30+D34+D38</f>
        <v>1224299.5099999998</v>
      </c>
      <c r="E42" s="183">
        <f t="shared" si="49"/>
        <v>0</v>
      </c>
      <c r="F42" s="183">
        <f t="shared" si="49"/>
        <v>0</v>
      </c>
      <c r="G42" s="183">
        <f t="shared" si="49"/>
        <v>0</v>
      </c>
      <c r="H42" s="183">
        <f t="shared" si="49"/>
        <v>0</v>
      </c>
      <c r="I42" s="183">
        <f t="shared" si="49"/>
        <v>0</v>
      </c>
      <c r="J42" s="183">
        <f t="shared" si="49"/>
        <v>1</v>
      </c>
      <c r="K42" s="183">
        <f t="shared" si="49"/>
        <v>87301</v>
      </c>
      <c r="L42" s="183">
        <f t="shared" si="49"/>
        <v>0</v>
      </c>
      <c r="M42" s="183">
        <f t="shared" si="49"/>
        <v>83110.551999999996</v>
      </c>
      <c r="N42" s="183">
        <f t="shared" si="49"/>
        <v>4190.4480000000003</v>
      </c>
      <c r="O42" s="183">
        <f t="shared" si="49"/>
        <v>1.7799999999999998</v>
      </c>
      <c r="P42" s="183">
        <f t="shared" si="49"/>
        <v>206536.1</v>
      </c>
      <c r="Q42" s="183">
        <f t="shared" si="49"/>
        <v>0</v>
      </c>
      <c r="R42" s="183">
        <f t="shared" si="49"/>
        <v>190374.39120000001</v>
      </c>
      <c r="S42" s="183">
        <f t="shared" si="49"/>
        <v>16161.7088</v>
      </c>
      <c r="T42" s="183">
        <f t="shared" si="49"/>
        <v>4.5</v>
      </c>
      <c r="U42" s="183">
        <f t="shared" si="49"/>
        <v>451066.91</v>
      </c>
      <c r="V42" s="183">
        <f t="shared" si="49"/>
        <v>0</v>
      </c>
      <c r="W42" s="183">
        <f t="shared" si="49"/>
        <v>425369.69831999997</v>
      </c>
      <c r="X42" s="183">
        <f t="shared" si="49"/>
        <v>25697.21168</v>
      </c>
      <c r="Y42" s="183">
        <f t="shared" si="49"/>
        <v>2.4</v>
      </c>
      <c r="Z42" s="183">
        <f t="shared" si="49"/>
        <v>479395.5</v>
      </c>
      <c r="AA42" s="183">
        <f t="shared" si="49"/>
        <v>0</v>
      </c>
      <c r="AB42" s="183">
        <f t="shared" si="49"/>
        <v>453986.3</v>
      </c>
      <c r="AC42" s="183">
        <f t="shared" si="49"/>
        <v>25409.200000000001</v>
      </c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</row>
    <row r="43" spans="1:43" s="33" customFormat="1" ht="28.15" customHeight="1" x14ac:dyDescent="0.2">
      <c r="A43" s="372" t="s">
        <v>78</v>
      </c>
      <c r="B43" s="372"/>
      <c r="C43" s="372"/>
      <c r="D43" s="372"/>
      <c r="E43" s="372"/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372"/>
      <c r="R43" s="372"/>
      <c r="S43" s="372"/>
      <c r="T43" s="372"/>
      <c r="U43" s="372"/>
      <c r="V43" s="372"/>
      <c r="W43" s="372"/>
      <c r="X43" s="372"/>
      <c r="Y43" s="372"/>
      <c r="Z43" s="372"/>
      <c r="AA43" s="372"/>
      <c r="AB43" s="372"/>
      <c r="AC43" s="372"/>
      <c r="AD43" s="34"/>
      <c r="AE43" s="34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s="50" customFormat="1" ht="123.75" customHeight="1" x14ac:dyDescent="0.2">
      <c r="A44" s="168" t="s">
        <v>2</v>
      </c>
      <c r="B44" s="167" t="s">
        <v>188</v>
      </c>
      <c r="C44" s="168">
        <f>C45+C46+C47</f>
        <v>0.1</v>
      </c>
      <c r="D44" s="168">
        <f t="shared" ref="D44:R44" si="50">D45+D46+D47</f>
        <v>54455</v>
      </c>
      <c r="E44" s="168">
        <f t="shared" si="50"/>
        <v>0</v>
      </c>
      <c r="F44" s="168">
        <f t="shared" si="50"/>
        <v>0</v>
      </c>
      <c r="G44" s="168">
        <f t="shared" si="50"/>
        <v>0</v>
      </c>
      <c r="H44" s="168">
        <f t="shared" si="50"/>
        <v>0</v>
      </c>
      <c r="I44" s="168">
        <f t="shared" si="50"/>
        <v>0</v>
      </c>
      <c r="J44" s="168">
        <f t="shared" si="50"/>
        <v>0</v>
      </c>
      <c r="K44" s="168">
        <f t="shared" si="50"/>
        <v>0</v>
      </c>
      <c r="L44" s="168">
        <f t="shared" si="50"/>
        <v>0</v>
      </c>
      <c r="M44" s="168">
        <f t="shared" si="50"/>
        <v>0</v>
      </c>
      <c r="N44" s="168">
        <f t="shared" si="50"/>
        <v>0</v>
      </c>
      <c r="O44" s="168">
        <f t="shared" si="50"/>
        <v>0</v>
      </c>
      <c r="P44" s="168">
        <f t="shared" si="50"/>
        <v>0</v>
      </c>
      <c r="Q44" s="168">
        <f t="shared" si="50"/>
        <v>0</v>
      </c>
      <c r="R44" s="168">
        <f t="shared" si="50"/>
        <v>0</v>
      </c>
      <c r="S44" s="168">
        <f t="shared" ref="S44" si="51">S45+S46+S47</f>
        <v>0</v>
      </c>
      <c r="T44" s="168">
        <f t="shared" ref="T44" si="52">T45+T46+T47</f>
        <v>0.1</v>
      </c>
      <c r="U44" s="168">
        <f t="shared" ref="U44" si="53">U45+U46+U47</f>
        <v>54455</v>
      </c>
      <c r="V44" s="168">
        <f t="shared" ref="V44" si="54">V45+V46+V47</f>
        <v>0</v>
      </c>
      <c r="W44" s="168">
        <f t="shared" ref="W44" si="55">W45+W46+W47</f>
        <v>49965.72</v>
      </c>
      <c r="X44" s="168">
        <f t="shared" ref="X44" si="56">X45+X46+X47</f>
        <v>4489.2800000000007</v>
      </c>
      <c r="Y44" s="168">
        <f t="shared" ref="Y44" si="57">Y45+Y46+Y47</f>
        <v>0</v>
      </c>
      <c r="Z44" s="168">
        <f t="shared" ref="Z44" si="58">Z45+Z46+Z47</f>
        <v>0</v>
      </c>
      <c r="AA44" s="168">
        <f t="shared" ref="AA44" si="59">AA45+AA46+AA47</f>
        <v>0</v>
      </c>
      <c r="AB44" s="168">
        <f t="shared" ref="AB44" si="60">AB45+AB46+AB47</f>
        <v>0</v>
      </c>
      <c r="AC44" s="168">
        <f t="shared" ref="AC44" si="61">AC45+AC46+AC47</f>
        <v>0</v>
      </c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</row>
    <row r="45" spans="1:43" s="54" customFormat="1" ht="113.25" customHeight="1" outlineLevel="1" x14ac:dyDescent="0.2">
      <c r="A45" s="19" t="s">
        <v>20</v>
      </c>
      <c r="B45" s="68" t="s">
        <v>188</v>
      </c>
      <c r="C45" s="19">
        <f>E45+J45+O45+T45+Y45</f>
        <v>0.1</v>
      </c>
      <c r="D45" s="67">
        <f t="shared" ref="D45:D51" si="62">F45+K45+P45+U45+Z45</f>
        <v>52485</v>
      </c>
      <c r="E45" s="19">
        <v>0</v>
      </c>
      <c r="F45" s="67">
        <v>0</v>
      </c>
      <c r="G45" s="67">
        <v>0</v>
      </c>
      <c r="H45" s="67">
        <v>0</v>
      </c>
      <c r="I45" s="67">
        <v>0</v>
      </c>
      <c r="J45" s="19">
        <v>0</v>
      </c>
      <c r="K45" s="67">
        <f t="shared" ref="K45:K50" si="63">SUM(L45:N45)</f>
        <v>0</v>
      </c>
      <c r="L45" s="67">
        <v>0</v>
      </c>
      <c r="M45" s="67">
        <f>ROUND(51350*0.959,1)-49244.7</f>
        <v>0</v>
      </c>
      <c r="N45" s="67">
        <v>0</v>
      </c>
      <c r="O45" s="19">
        <v>0</v>
      </c>
      <c r="P45" s="67"/>
      <c r="Q45" s="67">
        <v>0</v>
      </c>
      <c r="R45" s="67">
        <f>P45*0.959</f>
        <v>0</v>
      </c>
      <c r="S45" s="67">
        <f>P45*0.041</f>
        <v>0</v>
      </c>
      <c r="T45" s="19">
        <v>0.1</v>
      </c>
      <c r="U45" s="67">
        <v>52485</v>
      </c>
      <c r="V45" s="67">
        <v>0</v>
      </c>
      <c r="W45" s="67">
        <f>U45*0.952</f>
        <v>49965.72</v>
      </c>
      <c r="X45" s="67">
        <f>U45*0.048</f>
        <v>2519.2800000000002</v>
      </c>
      <c r="Y45" s="19">
        <v>0</v>
      </c>
      <c r="Z45" s="67">
        <v>0</v>
      </c>
      <c r="AA45" s="67">
        <v>0</v>
      </c>
      <c r="AB45" s="67">
        <v>0</v>
      </c>
      <c r="AC45" s="67">
        <v>0</v>
      </c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</row>
    <row r="46" spans="1:43" s="51" customFormat="1" ht="141.75" customHeight="1" outlineLevel="1" x14ac:dyDescent="0.2">
      <c r="A46" s="19" t="s">
        <v>174</v>
      </c>
      <c r="B46" s="68" t="s">
        <v>124</v>
      </c>
      <c r="C46" s="19">
        <v>0</v>
      </c>
      <c r="D46" s="67">
        <f t="shared" si="62"/>
        <v>1135</v>
      </c>
      <c r="E46" s="19">
        <v>0</v>
      </c>
      <c r="F46" s="67">
        <v>0</v>
      </c>
      <c r="G46" s="67">
        <v>0</v>
      </c>
      <c r="H46" s="67">
        <v>0</v>
      </c>
      <c r="I46" s="67">
        <v>0</v>
      </c>
      <c r="J46" s="19">
        <v>0</v>
      </c>
      <c r="K46" s="67">
        <f t="shared" si="63"/>
        <v>0</v>
      </c>
      <c r="L46" s="67">
        <v>0</v>
      </c>
      <c r="M46" s="67">
        <v>0</v>
      </c>
      <c r="N46" s="67">
        <v>0</v>
      </c>
      <c r="O46" s="19">
        <v>0</v>
      </c>
      <c r="P46" s="67">
        <v>0</v>
      </c>
      <c r="Q46" s="67">
        <v>0</v>
      </c>
      <c r="R46" s="67">
        <v>0</v>
      </c>
      <c r="S46" s="67">
        <v>0</v>
      </c>
      <c r="T46" s="19">
        <v>0</v>
      </c>
      <c r="U46" s="67">
        <f>X46</f>
        <v>1135</v>
      </c>
      <c r="V46" s="67">
        <v>0</v>
      </c>
      <c r="W46" s="67">
        <v>0</v>
      </c>
      <c r="X46" s="67">
        <v>1135</v>
      </c>
      <c r="Y46" s="19">
        <v>0</v>
      </c>
      <c r="Z46" s="67">
        <v>0</v>
      </c>
      <c r="AA46" s="67">
        <v>0</v>
      </c>
      <c r="AB46" s="67">
        <v>0</v>
      </c>
      <c r="AC46" s="67">
        <v>0</v>
      </c>
    </row>
    <row r="47" spans="1:43" s="51" customFormat="1" ht="141.75" customHeight="1" outlineLevel="1" x14ac:dyDescent="0.2">
      <c r="A47" s="19" t="s">
        <v>814</v>
      </c>
      <c r="B47" s="68" t="s">
        <v>813</v>
      </c>
      <c r="C47" s="19">
        <v>0</v>
      </c>
      <c r="D47" s="67">
        <f t="shared" si="62"/>
        <v>835</v>
      </c>
      <c r="E47" s="19">
        <v>0</v>
      </c>
      <c r="F47" s="67">
        <v>0</v>
      </c>
      <c r="G47" s="67">
        <v>0</v>
      </c>
      <c r="H47" s="67">
        <v>0</v>
      </c>
      <c r="I47" s="67">
        <v>0</v>
      </c>
      <c r="J47" s="19">
        <v>0</v>
      </c>
      <c r="K47" s="67">
        <f>N47</f>
        <v>0</v>
      </c>
      <c r="L47" s="67">
        <v>0</v>
      </c>
      <c r="M47" s="67">
        <v>0</v>
      </c>
      <c r="N47" s="67">
        <v>0</v>
      </c>
      <c r="O47" s="19">
        <v>0</v>
      </c>
      <c r="P47" s="67">
        <v>0</v>
      </c>
      <c r="Q47" s="67">
        <v>0</v>
      </c>
      <c r="R47" s="67">
        <v>0</v>
      </c>
      <c r="S47" s="67">
        <v>0</v>
      </c>
      <c r="T47" s="19">
        <v>0</v>
      </c>
      <c r="U47" s="67">
        <f>X47</f>
        <v>835</v>
      </c>
      <c r="V47" s="67">
        <v>0</v>
      </c>
      <c r="W47" s="67">
        <v>0</v>
      </c>
      <c r="X47" s="67">
        <v>835</v>
      </c>
      <c r="Y47" s="19">
        <v>0</v>
      </c>
      <c r="Z47" s="67">
        <v>0</v>
      </c>
      <c r="AA47" s="67">
        <v>0</v>
      </c>
      <c r="AB47" s="67">
        <v>0</v>
      </c>
      <c r="AC47" s="67">
        <v>0</v>
      </c>
    </row>
    <row r="48" spans="1:43" s="218" customFormat="1" ht="94.5" customHeight="1" x14ac:dyDescent="0.2">
      <c r="A48" s="168" t="s">
        <v>3</v>
      </c>
      <c r="B48" s="167" t="s">
        <v>803</v>
      </c>
      <c r="C48" s="168">
        <f>C49+C50+C51</f>
        <v>0.92</v>
      </c>
      <c r="D48" s="168">
        <f t="shared" ref="D48:AC48" si="64">D49+D50+D51</f>
        <v>56064</v>
      </c>
      <c r="E48" s="168">
        <f t="shared" si="64"/>
        <v>0</v>
      </c>
      <c r="F48" s="168">
        <f t="shared" si="64"/>
        <v>0</v>
      </c>
      <c r="G48" s="168">
        <f t="shared" si="64"/>
        <v>0</v>
      </c>
      <c r="H48" s="168">
        <f t="shared" si="64"/>
        <v>0</v>
      </c>
      <c r="I48" s="168">
        <f t="shared" si="64"/>
        <v>0</v>
      </c>
      <c r="J48" s="168">
        <f t="shared" si="64"/>
        <v>0</v>
      </c>
      <c r="K48" s="168">
        <f t="shared" si="64"/>
        <v>0</v>
      </c>
      <c r="L48" s="168">
        <f t="shared" si="64"/>
        <v>0</v>
      </c>
      <c r="M48" s="168">
        <f t="shared" si="64"/>
        <v>0</v>
      </c>
      <c r="N48" s="168">
        <f t="shared" si="64"/>
        <v>0</v>
      </c>
      <c r="O48" s="168">
        <f t="shared" si="64"/>
        <v>0.92</v>
      </c>
      <c r="P48" s="168">
        <f t="shared" si="64"/>
        <v>56064</v>
      </c>
      <c r="Q48" s="168">
        <f t="shared" si="64"/>
        <v>0</v>
      </c>
      <c r="R48" s="168">
        <f t="shared" si="64"/>
        <v>49980</v>
      </c>
      <c r="S48" s="168">
        <f t="shared" si="64"/>
        <v>6084</v>
      </c>
      <c r="T48" s="168">
        <f t="shared" si="64"/>
        <v>0</v>
      </c>
      <c r="U48" s="168">
        <v>0</v>
      </c>
      <c r="V48" s="168">
        <f t="shared" si="64"/>
        <v>0</v>
      </c>
      <c r="W48" s="168">
        <f t="shared" si="64"/>
        <v>0</v>
      </c>
      <c r="X48" s="168">
        <f t="shared" si="64"/>
        <v>0</v>
      </c>
      <c r="Y48" s="168">
        <f t="shared" si="64"/>
        <v>0</v>
      </c>
      <c r="Z48" s="168">
        <f t="shared" si="64"/>
        <v>0</v>
      </c>
      <c r="AA48" s="168">
        <f t="shared" si="64"/>
        <v>0</v>
      </c>
      <c r="AB48" s="168">
        <f t="shared" si="64"/>
        <v>0</v>
      </c>
      <c r="AC48" s="168">
        <f t="shared" si="64"/>
        <v>0</v>
      </c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</row>
    <row r="49" spans="1:43" s="51" customFormat="1" ht="77.25" customHeight="1" outlineLevel="1" x14ac:dyDescent="0.2">
      <c r="A49" s="19" t="s">
        <v>21</v>
      </c>
      <c r="B49" s="68" t="s">
        <v>803</v>
      </c>
      <c r="C49" s="19">
        <f>E49+J49+O49++T49+Y49</f>
        <v>0.92</v>
      </c>
      <c r="D49" s="70">
        <f t="shared" si="62"/>
        <v>52500</v>
      </c>
      <c r="E49" s="18">
        <v>0</v>
      </c>
      <c r="F49" s="70">
        <v>0</v>
      </c>
      <c r="G49" s="70">
        <v>0</v>
      </c>
      <c r="H49" s="70">
        <v>0</v>
      </c>
      <c r="I49" s="70">
        <v>0</v>
      </c>
      <c r="J49" s="19">
        <v>0</v>
      </c>
      <c r="K49" s="67">
        <f t="shared" si="63"/>
        <v>0</v>
      </c>
      <c r="L49" s="67">
        <v>0</v>
      </c>
      <c r="M49" s="70">
        <f>ROUND(52500*0.959,1)-50347.5</f>
        <v>0</v>
      </c>
      <c r="N49" s="70">
        <v>0</v>
      </c>
      <c r="O49" s="18">
        <v>0.92</v>
      </c>
      <c r="P49" s="70">
        <f>R49+S49</f>
        <v>52500</v>
      </c>
      <c r="Q49" s="70">
        <v>0</v>
      </c>
      <c r="R49" s="70">
        <v>49980</v>
      </c>
      <c r="S49" s="70">
        <v>2520</v>
      </c>
      <c r="T49" s="18">
        <v>0</v>
      </c>
      <c r="U49" s="70">
        <v>0</v>
      </c>
      <c r="V49" s="70">
        <v>0</v>
      </c>
      <c r="W49" s="70">
        <v>0</v>
      </c>
      <c r="X49" s="70">
        <v>0</v>
      </c>
      <c r="Y49" s="18">
        <v>0</v>
      </c>
      <c r="Z49" s="70">
        <v>0</v>
      </c>
      <c r="AA49" s="70">
        <v>0</v>
      </c>
      <c r="AB49" s="70">
        <v>0</v>
      </c>
      <c r="AC49" s="70">
        <v>0</v>
      </c>
    </row>
    <row r="50" spans="1:43" s="51" customFormat="1" ht="109.5" customHeight="1" outlineLevel="1" x14ac:dyDescent="0.2">
      <c r="A50" s="19" t="s">
        <v>22</v>
      </c>
      <c r="B50" s="68" t="s">
        <v>807</v>
      </c>
      <c r="C50" s="19">
        <f t="shared" ref="C50" si="65">E952</f>
        <v>0</v>
      </c>
      <c r="D50" s="70">
        <f t="shared" si="62"/>
        <v>2600</v>
      </c>
      <c r="E50" s="18">
        <v>0</v>
      </c>
      <c r="F50" s="70">
        <v>0</v>
      </c>
      <c r="G50" s="70">
        <v>0</v>
      </c>
      <c r="H50" s="70">
        <v>0</v>
      </c>
      <c r="I50" s="70">
        <v>0</v>
      </c>
      <c r="J50" s="19">
        <v>0</v>
      </c>
      <c r="K50" s="67">
        <f t="shared" si="63"/>
        <v>0</v>
      </c>
      <c r="L50" s="67">
        <v>0</v>
      </c>
      <c r="M50" s="70">
        <v>0</v>
      </c>
      <c r="N50" s="70">
        <v>0</v>
      </c>
      <c r="O50" s="18">
        <v>0</v>
      </c>
      <c r="P50" s="70">
        <f>S50</f>
        <v>2600</v>
      </c>
      <c r="Q50" s="70">
        <v>0</v>
      </c>
      <c r="R50" s="70">
        <v>0</v>
      </c>
      <c r="S50" s="70">
        <v>2600</v>
      </c>
      <c r="T50" s="18">
        <v>0</v>
      </c>
      <c r="U50" s="70">
        <v>0</v>
      </c>
      <c r="V50" s="70">
        <v>0</v>
      </c>
      <c r="W50" s="70">
        <v>0</v>
      </c>
      <c r="X50" s="70">
        <v>0</v>
      </c>
      <c r="Y50" s="18">
        <v>0</v>
      </c>
      <c r="Z50" s="70">
        <v>0</v>
      </c>
      <c r="AA50" s="70">
        <v>0</v>
      </c>
      <c r="AB50" s="70">
        <v>0</v>
      </c>
      <c r="AC50" s="70">
        <v>0</v>
      </c>
    </row>
    <row r="51" spans="1:43" s="51" customFormat="1" ht="105.75" customHeight="1" outlineLevel="1" x14ac:dyDescent="0.2">
      <c r="A51" s="19" t="s">
        <v>125</v>
      </c>
      <c r="B51" s="68" t="s">
        <v>808</v>
      </c>
      <c r="C51" s="19">
        <v>0</v>
      </c>
      <c r="D51" s="70">
        <f t="shared" si="62"/>
        <v>964</v>
      </c>
      <c r="E51" s="18">
        <v>0</v>
      </c>
      <c r="F51" s="70">
        <v>0</v>
      </c>
      <c r="G51" s="70">
        <v>0</v>
      </c>
      <c r="H51" s="70">
        <v>0</v>
      </c>
      <c r="I51" s="70">
        <v>0</v>
      </c>
      <c r="J51" s="19">
        <v>0</v>
      </c>
      <c r="K51" s="67">
        <f>N51</f>
        <v>0</v>
      </c>
      <c r="L51" s="67">
        <v>0</v>
      </c>
      <c r="M51" s="70">
        <v>0</v>
      </c>
      <c r="N51" s="70">
        <v>0</v>
      </c>
      <c r="O51" s="18">
        <v>0</v>
      </c>
      <c r="P51" s="70">
        <f>S51</f>
        <v>964</v>
      </c>
      <c r="Q51" s="70">
        <v>0</v>
      </c>
      <c r="R51" s="70">
        <v>0</v>
      </c>
      <c r="S51" s="70">
        <v>964</v>
      </c>
      <c r="T51" s="18">
        <v>0</v>
      </c>
      <c r="U51" s="70">
        <v>0</v>
      </c>
      <c r="V51" s="70">
        <v>0</v>
      </c>
      <c r="W51" s="70">
        <v>0</v>
      </c>
      <c r="X51" s="70">
        <v>0</v>
      </c>
      <c r="Y51" s="18">
        <v>0</v>
      </c>
      <c r="Z51" s="70">
        <v>0</v>
      </c>
      <c r="AA51" s="70">
        <v>0</v>
      </c>
      <c r="AB51" s="70">
        <v>0</v>
      </c>
      <c r="AC51" s="70">
        <v>0</v>
      </c>
    </row>
    <row r="52" spans="1:43" s="49" customFormat="1" ht="117" customHeight="1" outlineLevel="1" x14ac:dyDescent="0.2">
      <c r="A52" s="168" t="s">
        <v>785</v>
      </c>
      <c r="B52" s="167" t="s">
        <v>804</v>
      </c>
      <c r="C52" s="168">
        <f>E52+J52+O52+T52+Y52</f>
        <v>1</v>
      </c>
      <c r="D52" s="168">
        <f>F52+K52+P52+U52+Z52</f>
        <v>48605</v>
      </c>
      <c r="E52" s="168">
        <f t="shared" ref="E52:AC52" si="66">E53+E54+E55</f>
        <v>0</v>
      </c>
      <c r="F52" s="168">
        <f t="shared" si="66"/>
        <v>0</v>
      </c>
      <c r="G52" s="168">
        <f t="shared" si="66"/>
        <v>0</v>
      </c>
      <c r="H52" s="168">
        <f t="shared" si="66"/>
        <v>0</v>
      </c>
      <c r="I52" s="168">
        <f t="shared" si="66"/>
        <v>0</v>
      </c>
      <c r="J52" s="168">
        <f t="shared" si="66"/>
        <v>0</v>
      </c>
      <c r="K52" s="168">
        <f t="shared" si="66"/>
        <v>0</v>
      </c>
      <c r="L52" s="168">
        <f t="shared" si="66"/>
        <v>0</v>
      </c>
      <c r="M52" s="168">
        <f t="shared" si="66"/>
        <v>0</v>
      </c>
      <c r="N52" s="168">
        <f t="shared" si="66"/>
        <v>0</v>
      </c>
      <c r="O52" s="168">
        <f t="shared" si="66"/>
        <v>1</v>
      </c>
      <c r="P52" s="168">
        <f t="shared" si="66"/>
        <v>48605</v>
      </c>
      <c r="Q52" s="168">
        <f t="shared" si="66"/>
        <v>0</v>
      </c>
      <c r="R52" s="168">
        <f t="shared" si="66"/>
        <v>43653.96</v>
      </c>
      <c r="S52" s="168">
        <f t="shared" si="66"/>
        <v>4951.04</v>
      </c>
      <c r="T52" s="168">
        <f t="shared" si="66"/>
        <v>0</v>
      </c>
      <c r="U52" s="168">
        <f t="shared" si="66"/>
        <v>0</v>
      </c>
      <c r="V52" s="168">
        <f t="shared" si="66"/>
        <v>0</v>
      </c>
      <c r="W52" s="168">
        <f t="shared" si="66"/>
        <v>0</v>
      </c>
      <c r="X52" s="168">
        <f t="shared" si="66"/>
        <v>0</v>
      </c>
      <c r="Y52" s="168">
        <f t="shared" si="66"/>
        <v>0</v>
      </c>
      <c r="Z52" s="168">
        <f t="shared" si="66"/>
        <v>0</v>
      </c>
      <c r="AA52" s="168">
        <f t="shared" si="66"/>
        <v>0</v>
      </c>
      <c r="AB52" s="168">
        <f t="shared" si="66"/>
        <v>0</v>
      </c>
      <c r="AC52" s="168">
        <f t="shared" si="66"/>
        <v>0</v>
      </c>
    </row>
    <row r="53" spans="1:43" s="51" customFormat="1" ht="106.5" customHeight="1" outlineLevel="1" x14ac:dyDescent="0.2">
      <c r="A53" s="19" t="s">
        <v>810</v>
      </c>
      <c r="B53" s="68" t="s">
        <v>804</v>
      </c>
      <c r="C53" s="168">
        <f t="shared" ref="C53:C55" si="67">E53+J53+O53+T53+Y53</f>
        <v>1</v>
      </c>
      <c r="D53" s="168">
        <f t="shared" ref="D53:D55" si="68">F53+K53+P53+U53+Z53</f>
        <v>45855</v>
      </c>
      <c r="E53" s="18">
        <v>0</v>
      </c>
      <c r="F53" s="70">
        <v>0</v>
      </c>
      <c r="G53" s="70">
        <v>0</v>
      </c>
      <c r="H53" s="70">
        <v>0</v>
      </c>
      <c r="I53" s="70">
        <v>0</v>
      </c>
      <c r="J53" s="19">
        <v>0</v>
      </c>
      <c r="K53" s="67">
        <v>0</v>
      </c>
      <c r="L53" s="67">
        <v>0</v>
      </c>
      <c r="M53" s="70">
        <v>0</v>
      </c>
      <c r="N53" s="70">
        <v>0</v>
      </c>
      <c r="O53" s="18">
        <v>1</v>
      </c>
      <c r="P53" s="70">
        <v>45855</v>
      </c>
      <c r="Q53" s="70">
        <v>0</v>
      </c>
      <c r="R53" s="70">
        <f>P53*0.952</f>
        <v>43653.96</v>
      </c>
      <c r="S53" s="70">
        <f>P53*0.048</f>
        <v>2201.04</v>
      </c>
      <c r="T53" s="18">
        <v>0</v>
      </c>
      <c r="U53" s="70">
        <v>0</v>
      </c>
      <c r="V53" s="70">
        <v>0</v>
      </c>
      <c r="W53" s="70">
        <v>0</v>
      </c>
      <c r="X53" s="70">
        <v>0</v>
      </c>
      <c r="Y53" s="18">
        <v>0</v>
      </c>
      <c r="Z53" s="70">
        <v>0</v>
      </c>
      <c r="AA53" s="70">
        <v>0</v>
      </c>
      <c r="AB53" s="70">
        <v>0</v>
      </c>
      <c r="AC53" s="70">
        <v>0</v>
      </c>
    </row>
    <row r="54" spans="1:43" s="51" customFormat="1" ht="132" customHeight="1" outlineLevel="1" x14ac:dyDescent="0.2">
      <c r="A54" s="19" t="s">
        <v>811</v>
      </c>
      <c r="B54" s="68" t="s">
        <v>932</v>
      </c>
      <c r="C54" s="168">
        <f t="shared" si="67"/>
        <v>0</v>
      </c>
      <c r="D54" s="168">
        <f t="shared" si="68"/>
        <v>1765</v>
      </c>
      <c r="E54" s="18">
        <v>0</v>
      </c>
      <c r="F54" s="70">
        <v>0</v>
      </c>
      <c r="G54" s="70">
        <v>0</v>
      </c>
      <c r="H54" s="70">
        <v>0</v>
      </c>
      <c r="I54" s="70">
        <v>0</v>
      </c>
      <c r="J54" s="19">
        <v>0</v>
      </c>
      <c r="K54" s="67">
        <v>0</v>
      </c>
      <c r="L54" s="67">
        <v>0</v>
      </c>
      <c r="M54" s="70">
        <v>0</v>
      </c>
      <c r="N54" s="70">
        <v>0</v>
      </c>
      <c r="O54" s="18">
        <v>0</v>
      </c>
      <c r="P54" s="70">
        <f>S54</f>
        <v>1765</v>
      </c>
      <c r="Q54" s="70">
        <v>0</v>
      </c>
      <c r="R54" s="70">
        <v>0</v>
      </c>
      <c r="S54" s="70">
        <v>1765</v>
      </c>
      <c r="T54" s="18">
        <v>0</v>
      </c>
      <c r="U54" s="70">
        <v>0</v>
      </c>
      <c r="V54" s="70">
        <v>0</v>
      </c>
      <c r="W54" s="70">
        <v>0</v>
      </c>
      <c r="X54" s="70">
        <v>0</v>
      </c>
      <c r="Y54" s="18">
        <v>0</v>
      </c>
      <c r="Z54" s="70">
        <v>0</v>
      </c>
      <c r="AA54" s="70">
        <v>0</v>
      </c>
      <c r="AB54" s="70">
        <v>0</v>
      </c>
      <c r="AC54" s="70">
        <v>0</v>
      </c>
    </row>
    <row r="55" spans="1:43" s="51" customFormat="1" ht="135.75" customHeight="1" outlineLevel="1" x14ac:dyDescent="0.2">
      <c r="A55" s="19" t="s">
        <v>812</v>
      </c>
      <c r="B55" s="68" t="s">
        <v>933</v>
      </c>
      <c r="C55" s="168">
        <f t="shared" si="67"/>
        <v>0</v>
      </c>
      <c r="D55" s="168">
        <f t="shared" si="68"/>
        <v>985</v>
      </c>
      <c r="E55" s="18">
        <v>0</v>
      </c>
      <c r="F55" s="70">
        <v>0</v>
      </c>
      <c r="G55" s="70">
        <v>0</v>
      </c>
      <c r="H55" s="70">
        <v>0</v>
      </c>
      <c r="I55" s="70">
        <v>0</v>
      </c>
      <c r="J55" s="19">
        <v>0</v>
      </c>
      <c r="K55" s="67">
        <v>0</v>
      </c>
      <c r="L55" s="67">
        <v>0</v>
      </c>
      <c r="M55" s="70">
        <v>0</v>
      </c>
      <c r="N55" s="70">
        <v>0</v>
      </c>
      <c r="O55" s="18">
        <v>0</v>
      </c>
      <c r="P55" s="70">
        <f>S55</f>
        <v>985</v>
      </c>
      <c r="Q55" s="70">
        <v>0</v>
      </c>
      <c r="R55" s="70">
        <v>0</v>
      </c>
      <c r="S55" s="70">
        <v>985</v>
      </c>
      <c r="T55" s="18">
        <v>0</v>
      </c>
      <c r="U55" s="70">
        <v>0</v>
      </c>
      <c r="V55" s="70">
        <v>0</v>
      </c>
      <c r="W55" s="70">
        <v>0</v>
      </c>
      <c r="X55" s="70">
        <v>0</v>
      </c>
      <c r="Y55" s="18">
        <v>0</v>
      </c>
      <c r="Z55" s="70">
        <v>0</v>
      </c>
      <c r="AA55" s="70">
        <v>0</v>
      </c>
      <c r="AB55" s="70">
        <v>0</v>
      </c>
      <c r="AC55" s="70">
        <v>0</v>
      </c>
    </row>
    <row r="56" spans="1:43" s="57" customFormat="1" ht="31.15" customHeight="1" x14ac:dyDescent="0.2">
      <c r="A56" s="185"/>
      <c r="B56" s="184" t="s">
        <v>16</v>
      </c>
      <c r="C56" s="183">
        <f>C44+C48+C52</f>
        <v>2.02</v>
      </c>
      <c r="D56" s="183">
        <f t="shared" ref="D56:AC56" si="69">D44+D48+D52</f>
        <v>159124</v>
      </c>
      <c r="E56" s="183">
        <f t="shared" si="69"/>
        <v>0</v>
      </c>
      <c r="F56" s="183">
        <f t="shared" si="69"/>
        <v>0</v>
      </c>
      <c r="G56" s="183">
        <f t="shared" si="69"/>
        <v>0</v>
      </c>
      <c r="H56" s="183">
        <f t="shared" si="69"/>
        <v>0</v>
      </c>
      <c r="I56" s="183">
        <f t="shared" si="69"/>
        <v>0</v>
      </c>
      <c r="J56" s="183">
        <f t="shared" si="69"/>
        <v>0</v>
      </c>
      <c r="K56" s="183">
        <f t="shared" si="69"/>
        <v>0</v>
      </c>
      <c r="L56" s="183">
        <f t="shared" si="69"/>
        <v>0</v>
      </c>
      <c r="M56" s="183">
        <f t="shared" si="69"/>
        <v>0</v>
      </c>
      <c r="N56" s="183">
        <f t="shared" si="69"/>
        <v>0</v>
      </c>
      <c r="O56" s="183">
        <f t="shared" si="69"/>
        <v>1.92</v>
      </c>
      <c r="P56" s="183">
        <f t="shared" si="69"/>
        <v>104669</v>
      </c>
      <c r="Q56" s="183">
        <f t="shared" si="69"/>
        <v>0</v>
      </c>
      <c r="R56" s="183">
        <f t="shared" si="69"/>
        <v>93633.959999999992</v>
      </c>
      <c r="S56" s="183">
        <f>S44+S48+S52</f>
        <v>11035.04</v>
      </c>
      <c r="T56" s="183">
        <f t="shared" si="69"/>
        <v>0.1</v>
      </c>
      <c r="U56" s="183">
        <f t="shared" si="69"/>
        <v>54455</v>
      </c>
      <c r="V56" s="183">
        <f t="shared" si="69"/>
        <v>0</v>
      </c>
      <c r="W56" s="183">
        <f t="shared" si="69"/>
        <v>49965.72</v>
      </c>
      <c r="X56" s="183">
        <f t="shared" si="69"/>
        <v>4489.2800000000007</v>
      </c>
      <c r="Y56" s="183">
        <f t="shared" si="69"/>
        <v>0</v>
      </c>
      <c r="Z56" s="183">
        <f t="shared" si="69"/>
        <v>0</v>
      </c>
      <c r="AA56" s="183">
        <f t="shared" si="69"/>
        <v>0</v>
      </c>
      <c r="AB56" s="183">
        <f t="shared" si="69"/>
        <v>0</v>
      </c>
      <c r="AC56" s="183">
        <f t="shared" si="69"/>
        <v>0</v>
      </c>
      <c r="AD56" s="55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</row>
    <row r="57" spans="1:43" s="13" customFormat="1" ht="29.45" customHeight="1" x14ac:dyDescent="0.2">
      <c r="A57" s="369" t="s">
        <v>105</v>
      </c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8"/>
      <c r="AE57" s="38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</row>
    <row r="58" spans="1:43" s="59" customFormat="1" ht="92.45" customHeight="1" x14ac:dyDescent="0.2">
      <c r="A58" s="16" t="s">
        <v>181</v>
      </c>
      <c r="B58" s="186" t="s">
        <v>108</v>
      </c>
      <c r="C58" s="17">
        <f>E58+J58+O58+T58+Y58</f>
        <v>0</v>
      </c>
      <c r="D58" s="28">
        <f t="shared" ref="D58:D65" si="70">F58+K58+P58+U58+Z58</f>
        <v>5977</v>
      </c>
      <c r="E58" s="19">
        <v>0</v>
      </c>
      <c r="F58" s="67">
        <f>G58+H58+I58</f>
        <v>0</v>
      </c>
      <c r="G58" s="67">
        <v>0</v>
      </c>
      <c r="H58" s="67">
        <v>0</v>
      </c>
      <c r="I58" s="67">
        <v>0</v>
      </c>
      <c r="J58" s="17">
        <v>0</v>
      </c>
      <c r="K58" s="28">
        <f t="shared" ref="K58:K65" si="71">SUM(L58:N58)</f>
        <v>0</v>
      </c>
      <c r="L58" s="28">
        <v>0</v>
      </c>
      <c r="M58" s="78">
        <v>0</v>
      </c>
      <c r="N58" s="28">
        <f>1723-1723</f>
        <v>0</v>
      </c>
      <c r="O58" s="17">
        <v>0</v>
      </c>
      <c r="P58" s="28">
        <f>Q58+R58+S58</f>
        <v>1927</v>
      </c>
      <c r="Q58" s="28">
        <v>0</v>
      </c>
      <c r="R58" s="78">
        <v>0</v>
      </c>
      <c r="S58" s="28">
        <v>1927</v>
      </c>
      <c r="T58" s="20">
        <v>0</v>
      </c>
      <c r="U58" s="78">
        <f>V58+W58+X58</f>
        <v>1950</v>
      </c>
      <c r="V58" s="78">
        <v>0</v>
      </c>
      <c r="W58" s="78">
        <v>0</v>
      </c>
      <c r="X58" s="78">
        <v>1950</v>
      </c>
      <c r="Y58" s="20">
        <v>0</v>
      </c>
      <c r="Z58" s="78">
        <f>AA58+AB58+AC58</f>
        <v>2100</v>
      </c>
      <c r="AA58" s="78">
        <v>0</v>
      </c>
      <c r="AB58" s="78">
        <v>0</v>
      </c>
      <c r="AC58" s="78">
        <v>2100</v>
      </c>
      <c r="AD58" s="58"/>
    </row>
    <row r="59" spans="1:43" s="59" customFormat="1" ht="153" customHeight="1" x14ac:dyDescent="0.2">
      <c r="A59" s="16" t="s">
        <v>182</v>
      </c>
      <c r="B59" s="186" t="s">
        <v>786</v>
      </c>
      <c r="C59" s="17">
        <v>0</v>
      </c>
      <c r="D59" s="28">
        <f t="shared" si="70"/>
        <v>5960</v>
      </c>
      <c r="E59" s="19">
        <v>0</v>
      </c>
      <c r="F59" s="67">
        <f>I59</f>
        <v>5960</v>
      </c>
      <c r="G59" s="67">
        <v>0</v>
      </c>
      <c r="H59" s="67">
        <v>0</v>
      </c>
      <c r="I59" s="67">
        <v>5960</v>
      </c>
      <c r="J59" s="17">
        <v>0</v>
      </c>
      <c r="K59" s="28">
        <v>0</v>
      </c>
      <c r="L59" s="28">
        <v>0</v>
      </c>
      <c r="M59" s="78">
        <v>0</v>
      </c>
      <c r="N59" s="28">
        <v>0</v>
      </c>
      <c r="O59" s="17">
        <v>0</v>
      </c>
      <c r="P59" s="28">
        <v>0</v>
      </c>
      <c r="Q59" s="28">
        <v>0</v>
      </c>
      <c r="R59" s="78">
        <v>0</v>
      </c>
      <c r="S59" s="28">
        <v>0</v>
      </c>
      <c r="T59" s="20">
        <v>0</v>
      </c>
      <c r="U59" s="78">
        <v>0</v>
      </c>
      <c r="V59" s="78">
        <v>0</v>
      </c>
      <c r="W59" s="78">
        <v>0</v>
      </c>
      <c r="X59" s="78">
        <v>0</v>
      </c>
      <c r="Y59" s="20">
        <v>0</v>
      </c>
      <c r="Z59" s="78">
        <v>0</v>
      </c>
      <c r="AA59" s="78">
        <v>0</v>
      </c>
      <c r="AB59" s="78">
        <v>0</v>
      </c>
      <c r="AC59" s="78">
        <v>0</v>
      </c>
      <c r="AD59" s="58"/>
    </row>
    <row r="60" spans="1:43" s="59" customFormat="1" ht="122.25" customHeight="1" x14ac:dyDescent="0.2">
      <c r="A60" s="16" t="s">
        <v>797</v>
      </c>
      <c r="B60" s="186" t="s">
        <v>805</v>
      </c>
      <c r="C60" s="17">
        <v>0</v>
      </c>
      <c r="D60" s="28">
        <f t="shared" si="70"/>
        <v>5253</v>
      </c>
      <c r="E60" s="19">
        <v>0</v>
      </c>
      <c r="F60" s="67">
        <f>I60</f>
        <v>5253</v>
      </c>
      <c r="G60" s="67">
        <v>0</v>
      </c>
      <c r="H60" s="67">
        <v>0</v>
      </c>
      <c r="I60" s="67">
        <v>5253</v>
      </c>
      <c r="J60" s="17">
        <v>0</v>
      </c>
      <c r="K60" s="28">
        <v>0</v>
      </c>
      <c r="L60" s="28">
        <v>0</v>
      </c>
      <c r="M60" s="78">
        <v>0</v>
      </c>
      <c r="N60" s="28">
        <v>0</v>
      </c>
      <c r="O60" s="17">
        <v>0</v>
      </c>
      <c r="P60" s="28">
        <v>0</v>
      </c>
      <c r="Q60" s="28">
        <v>0</v>
      </c>
      <c r="R60" s="78">
        <v>0</v>
      </c>
      <c r="S60" s="28">
        <v>0</v>
      </c>
      <c r="T60" s="20">
        <v>0</v>
      </c>
      <c r="U60" s="78">
        <v>0</v>
      </c>
      <c r="V60" s="78">
        <v>0</v>
      </c>
      <c r="W60" s="78">
        <v>0</v>
      </c>
      <c r="X60" s="78">
        <v>0</v>
      </c>
      <c r="Y60" s="20">
        <v>0</v>
      </c>
      <c r="Z60" s="78">
        <v>0</v>
      </c>
      <c r="AA60" s="78">
        <v>0</v>
      </c>
      <c r="AB60" s="78">
        <v>0</v>
      </c>
      <c r="AC60" s="78">
        <v>0</v>
      </c>
      <c r="AD60" s="58"/>
    </row>
    <row r="61" spans="1:43" s="59" customFormat="1" ht="85.15" customHeight="1" x14ac:dyDescent="0.2">
      <c r="A61" s="16" t="s">
        <v>798</v>
      </c>
      <c r="B61" s="187" t="s">
        <v>934</v>
      </c>
      <c r="C61" s="17">
        <v>0</v>
      </c>
      <c r="D61" s="28">
        <f t="shared" si="70"/>
        <v>13468</v>
      </c>
      <c r="E61" s="19">
        <v>0</v>
      </c>
      <c r="F61" s="67">
        <v>0</v>
      </c>
      <c r="G61" s="67">
        <v>0</v>
      </c>
      <c r="H61" s="67">
        <v>0</v>
      </c>
      <c r="I61" s="67">
        <v>0</v>
      </c>
      <c r="J61" s="17">
        <v>0</v>
      </c>
      <c r="K61" s="28">
        <f t="shared" si="71"/>
        <v>0</v>
      </c>
      <c r="L61" s="28">
        <v>0</v>
      </c>
      <c r="M61" s="78">
        <v>0</v>
      </c>
      <c r="N61" s="28">
        <v>0</v>
      </c>
      <c r="O61" s="17">
        <v>0</v>
      </c>
      <c r="P61" s="28">
        <f>S61</f>
        <v>13468</v>
      </c>
      <c r="Q61" s="28">
        <v>0</v>
      </c>
      <c r="R61" s="78">
        <v>0</v>
      </c>
      <c r="S61" s="28">
        <v>13468</v>
      </c>
      <c r="T61" s="20">
        <v>0</v>
      </c>
      <c r="U61" s="78">
        <v>0</v>
      </c>
      <c r="V61" s="78">
        <v>0</v>
      </c>
      <c r="W61" s="78">
        <v>0</v>
      </c>
      <c r="X61" s="78">
        <v>0</v>
      </c>
      <c r="Y61" s="20">
        <v>0</v>
      </c>
      <c r="Z61" s="78">
        <f>AA61+AB61+AC61</f>
        <v>0</v>
      </c>
      <c r="AA61" s="78">
        <v>0</v>
      </c>
      <c r="AB61" s="78">
        <v>0</v>
      </c>
      <c r="AC61" s="78"/>
      <c r="AD61" s="58"/>
    </row>
    <row r="62" spans="1:43" s="59" customFormat="1" ht="75" customHeight="1" x14ac:dyDescent="0.2">
      <c r="A62" s="16" t="s">
        <v>799</v>
      </c>
      <c r="B62" s="187" t="s">
        <v>935</v>
      </c>
      <c r="C62" s="17">
        <v>0</v>
      </c>
      <c r="D62" s="28">
        <f t="shared" si="70"/>
        <v>17986</v>
      </c>
      <c r="E62" s="19">
        <v>0</v>
      </c>
      <c r="F62" s="67">
        <v>0</v>
      </c>
      <c r="G62" s="67">
        <v>0</v>
      </c>
      <c r="H62" s="67">
        <v>0</v>
      </c>
      <c r="I62" s="67">
        <v>0</v>
      </c>
      <c r="J62" s="17">
        <v>0</v>
      </c>
      <c r="K62" s="28">
        <f t="shared" si="71"/>
        <v>0</v>
      </c>
      <c r="L62" s="28">
        <v>0</v>
      </c>
      <c r="M62" s="78">
        <v>0</v>
      </c>
      <c r="N62" s="28">
        <v>0</v>
      </c>
      <c r="O62" s="17">
        <v>0</v>
      </c>
      <c r="P62" s="28">
        <v>0</v>
      </c>
      <c r="Q62" s="28">
        <v>0</v>
      </c>
      <c r="R62" s="78">
        <v>0</v>
      </c>
      <c r="S62" s="28">
        <v>0</v>
      </c>
      <c r="T62" s="20">
        <v>0</v>
      </c>
      <c r="U62" s="78">
        <f>V62+W62+X62</f>
        <v>17986</v>
      </c>
      <c r="V62" s="78">
        <v>0</v>
      </c>
      <c r="W62" s="78">
        <v>0</v>
      </c>
      <c r="X62" s="78">
        <v>17986</v>
      </c>
      <c r="Y62" s="20">
        <v>0</v>
      </c>
      <c r="Z62" s="78">
        <v>0</v>
      </c>
      <c r="AA62" s="78">
        <v>0</v>
      </c>
      <c r="AB62" s="78">
        <v>0</v>
      </c>
      <c r="AC62" s="78">
        <v>0</v>
      </c>
      <c r="AD62" s="58"/>
    </row>
    <row r="63" spans="1:43" s="59" customFormat="1" ht="74.45" customHeight="1" x14ac:dyDescent="0.2">
      <c r="A63" s="16" t="s">
        <v>800</v>
      </c>
      <c r="B63" s="187" t="s">
        <v>936</v>
      </c>
      <c r="C63" s="17">
        <v>0</v>
      </c>
      <c r="D63" s="28">
        <f t="shared" si="70"/>
        <v>24208</v>
      </c>
      <c r="E63" s="238">
        <v>0</v>
      </c>
      <c r="F63" s="239">
        <f>I63</f>
        <v>11743</v>
      </c>
      <c r="G63" s="239">
        <v>0</v>
      </c>
      <c r="H63" s="239">
        <v>0</v>
      </c>
      <c r="I63" s="239">
        <v>11743</v>
      </c>
      <c r="J63" s="17">
        <v>0</v>
      </c>
      <c r="K63" s="28">
        <f t="shared" si="71"/>
        <v>0</v>
      </c>
      <c r="L63" s="28">
        <v>0</v>
      </c>
      <c r="M63" s="78">
        <v>0</v>
      </c>
      <c r="N63" s="28">
        <v>0</v>
      </c>
      <c r="O63" s="17">
        <v>0</v>
      </c>
      <c r="P63" s="28">
        <f>S63</f>
        <v>12465</v>
      </c>
      <c r="Q63" s="28">
        <v>0</v>
      </c>
      <c r="R63" s="78">
        <v>0</v>
      </c>
      <c r="S63" s="28">
        <v>12465</v>
      </c>
      <c r="T63" s="20">
        <v>0</v>
      </c>
      <c r="U63" s="78">
        <v>0</v>
      </c>
      <c r="V63" s="78">
        <v>0</v>
      </c>
      <c r="W63" s="78">
        <v>0</v>
      </c>
      <c r="X63" s="78">
        <v>0</v>
      </c>
      <c r="Y63" s="20">
        <v>0</v>
      </c>
      <c r="Z63" s="78">
        <f>AA63+AB63+AC63</f>
        <v>0</v>
      </c>
      <c r="AA63" s="78">
        <v>0</v>
      </c>
      <c r="AB63" s="78">
        <v>0</v>
      </c>
      <c r="AC63" s="78"/>
      <c r="AD63" s="58"/>
    </row>
    <row r="64" spans="1:43" s="59" customFormat="1" ht="76.900000000000006" customHeight="1" x14ac:dyDescent="0.2">
      <c r="A64" s="16" t="s">
        <v>802</v>
      </c>
      <c r="B64" s="187" t="s">
        <v>937</v>
      </c>
      <c r="C64" s="17">
        <v>0</v>
      </c>
      <c r="D64" s="28">
        <f t="shared" si="70"/>
        <v>51172</v>
      </c>
      <c r="E64" s="19">
        <v>0</v>
      </c>
      <c r="F64" s="67">
        <v>0</v>
      </c>
      <c r="G64" s="67">
        <v>0</v>
      </c>
      <c r="H64" s="67">
        <v>0</v>
      </c>
      <c r="I64" s="67">
        <v>0</v>
      </c>
      <c r="J64" s="17">
        <v>0</v>
      </c>
      <c r="K64" s="28">
        <f t="shared" si="71"/>
        <v>0</v>
      </c>
      <c r="L64" s="28">
        <v>0</v>
      </c>
      <c r="M64" s="78">
        <v>0</v>
      </c>
      <c r="N64" s="28">
        <v>0</v>
      </c>
      <c r="O64" s="17">
        <v>0</v>
      </c>
      <c r="P64" s="28">
        <f>S64</f>
        <v>21418</v>
      </c>
      <c r="Q64" s="28">
        <v>0</v>
      </c>
      <c r="R64" s="78">
        <v>0</v>
      </c>
      <c r="S64" s="28">
        <v>21418</v>
      </c>
      <c r="T64" s="20">
        <v>0</v>
      </c>
      <c r="U64" s="78">
        <f>X64</f>
        <v>11540</v>
      </c>
      <c r="V64" s="78">
        <v>0</v>
      </c>
      <c r="W64" s="78">
        <v>0</v>
      </c>
      <c r="X64" s="78">
        <v>11540</v>
      </c>
      <c r="Y64" s="20">
        <v>0</v>
      </c>
      <c r="Z64" s="78">
        <f>AA64+AB64+AC64</f>
        <v>18214</v>
      </c>
      <c r="AA64" s="78">
        <v>0</v>
      </c>
      <c r="AB64" s="78">
        <v>0</v>
      </c>
      <c r="AC64" s="78">
        <v>18214</v>
      </c>
      <c r="AD64" s="58"/>
    </row>
    <row r="65" spans="1:57" s="59" customFormat="1" ht="85.5" customHeight="1" x14ac:dyDescent="0.2">
      <c r="A65" s="16" t="s">
        <v>806</v>
      </c>
      <c r="B65" s="187" t="s">
        <v>109</v>
      </c>
      <c r="C65" s="17">
        <v>0</v>
      </c>
      <c r="D65" s="28">
        <f t="shared" si="70"/>
        <v>16750</v>
      </c>
      <c r="E65" s="19">
        <v>0</v>
      </c>
      <c r="F65" s="67">
        <f>G65+H65+I65</f>
        <v>0</v>
      </c>
      <c r="G65" s="67">
        <v>0</v>
      </c>
      <c r="H65" s="67">
        <v>0</v>
      </c>
      <c r="I65" s="67">
        <v>0</v>
      </c>
      <c r="J65" s="17">
        <v>0</v>
      </c>
      <c r="K65" s="28">
        <f t="shared" si="71"/>
        <v>0</v>
      </c>
      <c r="L65" s="28">
        <v>0</v>
      </c>
      <c r="M65" s="78">
        <v>0</v>
      </c>
      <c r="N65" s="28">
        <v>0</v>
      </c>
      <c r="O65" s="17">
        <v>0</v>
      </c>
      <c r="P65" s="28">
        <f>Q65+R65+S65</f>
        <v>5450</v>
      </c>
      <c r="Q65" s="28">
        <v>0</v>
      </c>
      <c r="R65" s="78">
        <v>0</v>
      </c>
      <c r="S65" s="28">
        <v>5450</v>
      </c>
      <c r="T65" s="20">
        <v>0</v>
      </c>
      <c r="U65" s="78">
        <f>V65+W65+X65</f>
        <v>5500</v>
      </c>
      <c r="V65" s="78">
        <v>0</v>
      </c>
      <c r="W65" s="78">
        <v>0</v>
      </c>
      <c r="X65" s="78">
        <v>5500</v>
      </c>
      <c r="Y65" s="20">
        <v>0</v>
      </c>
      <c r="Z65" s="78">
        <f>AA65+AB65+AC65</f>
        <v>5800</v>
      </c>
      <c r="AA65" s="78">
        <v>0</v>
      </c>
      <c r="AB65" s="78">
        <v>0</v>
      </c>
      <c r="AC65" s="78">
        <v>5800</v>
      </c>
      <c r="AD65" s="58"/>
    </row>
    <row r="66" spans="1:57" s="60" customFormat="1" ht="84" customHeight="1" x14ac:dyDescent="0.2">
      <c r="A66" s="188"/>
      <c r="B66" s="189" t="s">
        <v>106</v>
      </c>
      <c r="C66" s="190">
        <f>C58+C59+C60+C61+C62+C63+C64+C65</f>
        <v>0</v>
      </c>
      <c r="D66" s="190">
        <f t="shared" ref="D66:F66" si="72">D58+D59+D60+D61+D62+D63+D64+D65</f>
        <v>140774</v>
      </c>
      <c r="E66" s="190">
        <f t="shared" si="72"/>
        <v>0</v>
      </c>
      <c r="F66" s="190">
        <f t="shared" si="72"/>
        <v>22956</v>
      </c>
      <c r="G66" s="190">
        <f t="shared" ref="G66" si="73">G58+G59+G60+G61+G62+G63+G64+G65</f>
        <v>0</v>
      </c>
      <c r="H66" s="190">
        <f t="shared" ref="H66" si="74">H58+H59+H60+H61+H62+H63+H64+H65</f>
        <v>0</v>
      </c>
      <c r="I66" s="190">
        <f t="shared" ref="I66" si="75">I58+I59+I60+I61+I62+I63+I64+I65</f>
        <v>22956</v>
      </c>
      <c r="J66" s="190">
        <f t="shared" ref="J66" si="76">J58+J59+J60+J61+J62+J63+J64+J65</f>
        <v>0</v>
      </c>
      <c r="K66" s="190">
        <f t="shared" ref="K66" si="77">K58+K59+K60+K61+K62+K63+K64+K65</f>
        <v>0</v>
      </c>
      <c r="L66" s="190">
        <f t="shared" ref="L66" si="78">L58+L59+L60+L61+L62+L63+L64+L65</f>
        <v>0</v>
      </c>
      <c r="M66" s="190">
        <f t="shared" ref="M66" si="79">M58+M59+M60+M61+M62+M63+M64+M65</f>
        <v>0</v>
      </c>
      <c r="N66" s="190">
        <f t="shared" ref="N66" si="80">N58+N59+N60+N61+N62+N63+N64+N65</f>
        <v>0</v>
      </c>
      <c r="O66" s="190">
        <f t="shared" ref="O66" si="81">O58+O59+O60+O61+O62+O63+O64+O65</f>
        <v>0</v>
      </c>
      <c r="P66" s="190">
        <f t="shared" ref="P66" si="82">P58+P59+P60+P61+P62+P63+P64+P65</f>
        <v>54728</v>
      </c>
      <c r="Q66" s="190">
        <f t="shared" ref="Q66" si="83">Q58+Q59+Q60+Q61+Q62+Q63+Q64+Q65</f>
        <v>0</v>
      </c>
      <c r="R66" s="190">
        <f t="shared" ref="R66" si="84">R58+R59+R60+R61+R62+R63+R64+R65</f>
        <v>0</v>
      </c>
      <c r="S66" s="190">
        <f t="shared" ref="S66" si="85">S58+S59+S60+S61+S62+S63+S64+S65</f>
        <v>54728</v>
      </c>
      <c r="T66" s="190">
        <f t="shared" ref="T66" si="86">T58+T59+T60+T61+T62+T63+T64+T65</f>
        <v>0</v>
      </c>
      <c r="U66" s="190">
        <f t="shared" ref="U66" si="87">U58+U59+U60+U61+U62+U63+U64+U65</f>
        <v>36976</v>
      </c>
      <c r="V66" s="190">
        <f t="shared" ref="V66" si="88">V58+V59+V60+V61+V62+V63+V64+V65</f>
        <v>0</v>
      </c>
      <c r="W66" s="190">
        <f t="shared" ref="W66" si="89">W58+W59+W60+W61+W62+W63+W64+W65</f>
        <v>0</v>
      </c>
      <c r="X66" s="190">
        <f t="shared" ref="X66" si="90">X58+X59+X60+X61+X62+X63+X64+X65</f>
        <v>36976</v>
      </c>
      <c r="Y66" s="190">
        <f t="shared" ref="Y66" si="91">Y58+Y59+Y60+Y61+Y62+Y63+Y64+Y65</f>
        <v>0</v>
      </c>
      <c r="Z66" s="190">
        <f t="shared" ref="Z66" si="92">Z58+Z59+Z60+Z61+Z62+Z63+Z64+Z65</f>
        <v>26114</v>
      </c>
      <c r="AA66" s="190">
        <f t="shared" ref="AA66" si="93">AA58+AA59+AA60+AA61+AA62+AA63+AA64+AA65</f>
        <v>0</v>
      </c>
      <c r="AB66" s="190">
        <f t="shared" ref="AB66" si="94">AB58+AB59+AB60+AB61+AB62+AB63+AB64+AB65</f>
        <v>0</v>
      </c>
      <c r="AC66" s="190">
        <f t="shared" ref="AC66" si="95">AC58+AC59+AC60+AC61+AC62+AC63+AC64+AC65</f>
        <v>26114</v>
      </c>
      <c r="AD66" s="58"/>
      <c r="AE66" s="58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</row>
    <row r="67" spans="1:57" s="61" customFormat="1" ht="31.9" customHeight="1" x14ac:dyDescent="0.2">
      <c r="A67" s="369" t="s">
        <v>81</v>
      </c>
      <c r="B67" s="369"/>
      <c r="C67" s="369"/>
      <c r="D67" s="369"/>
      <c r="E67" s="369"/>
      <c r="F67" s="369"/>
      <c r="G67" s="369"/>
      <c r="H67" s="369"/>
      <c r="I67" s="369"/>
      <c r="J67" s="369"/>
      <c r="K67" s="369"/>
      <c r="L67" s="369"/>
      <c r="M67" s="369"/>
      <c r="N67" s="369"/>
      <c r="O67" s="369"/>
      <c r="P67" s="369"/>
      <c r="Q67" s="369"/>
      <c r="R67" s="369"/>
      <c r="S67" s="369"/>
      <c r="T67" s="369"/>
      <c r="U67" s="369"/>
      <c r="V67" s="369"/>
      <c r="W67" s="369"/>
      <c r="X67" s="369"/>
      <c r="Y67" s="369"/>
      <c r="Z67" s="369"/>
      <c r="AA67" s="369"/>
      <c r="AB67" s="369"/>
      <c r="AC67" s="369"/>
      <c r="AD67" s="58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</row>
    <row r="68" spans="1:57" s="59" customFormat="1" ht="65.45" customHeight="1" x14ac:dyDescent="0.2">
      <c r="A68" s="19" t="s">
        <v>164</v>
      </c>
      <c r="B68" s="186" t="s">
        <v>146</v>
      </c>
      <c r="C68" s="17">
        <f>E68+J68+O68+T68+Y68</f>
        <v>33.68</v>
      </c>
      <c r="D68" s="67">
        <f t="shared" ref="D68:D84" si="96">F68+K68+P68+U68+Z68</f>
        <v>239274.84</v>
      </c>
      <c r="E68" s="19">
        <v>0</v>
      </c>
      <c r="F68" s="67">
        <v>0</v>
      </c>
      <c r="G68" s="67">
        <v>0</v>
      </c>
      <c r="H68" s="67">
        <v>0</v>
      </c>
      <c r="I68" s="67">
        <v>0</v>
      </c>
      <c r="J68" s="17">
        <v>33.68</v>
      </c>
      <c r="K68" s="74">
        <f>SUM(L68:N68)</f>
        <v>239274.84</v>
      </c>
      <c r="L68" s="28">
        <v>0</v>
      </c>
      <c r="M68" s="28">
        <v>227788.79999999999</v>
      </c>
      <c r="N68" s="28">
        <f>11344.44+141.6</f>
        <v>11486.04</v>
      </c>
      <c r="O68" s="17">
        <v>0</v>
      </c>
      <c r="P68" s="28">
        <v>0</v>
      </c>
      <c r="Q68" s="28">
        <v>0</v>
      </c>
      <c r="R68" s="28">
        <v>0</v>
      </c>
      <c r="S68" s="28">
        <v>0</v>
      </c>
      <c r="T68" s="20">
        <v>0</v>
      </c>
      <c r="U68" s="78">
        <v>0</v>
      </c>
      <c r="V68" s="78">
        <v>0</v>
      </c>
      <c r="W68" s="78">
        <v>0</v>
      </c>
      <c r="X68" s="78">
        <v>0</v>
      </c>
      <c r="Y68" s="17">
        <v>0</v>
      </c>
      <c r="Z68" s="28">
        <f>AA68+AC68</f>
        <v>0</v>
      </c>
      <c r="AA68" s="28">
        <v>0</v>
      </c>
      <c r="AB68" s="28">
        <v>0</v>
      </c>
      <c r="AC68" s="28">
        <v>0</v>
      </c>
      <c r="AD68" s="59">
        <f>K68*4.8/100</f>
        <v>11485.192319999998</v>
      </c>
      <c r="AE68" s="241">
        <f>AD68-N68</f>
        <v>-0.84768000000258326</v>
      </c>
    </row>
    <row r="69" spans="1:57" s="59" customFormat="1" ht="84.6" customHeight="1" x14ac:dyDescent="0.2">
      <c r="A69" s="19" t="s">
        <v>4</v>
      </c>
      <c r="B69" s="186" t="s">
        <v>145</v>
      </c>
      <c r="C69" s="17">
        <f t="shared" ref="C69:C71" si="97">E69+J69+O69+T69+Y69</f>
        <v>0</v>
      </c>
      <c r="D69" s="67">
        <f t="shared" si="96"/>
        <v>0</v>
      </c>
      <c r="E69" s="19">
        <v>0</v>
      </c>
      <c r="F69" s="67">
        <v>0</v>
      </c>
      <c r="G69" s="67">
        <v>0</v>
      </c>
      <c r="H69" s="67">
        <v>0</v>
      </c>
      <c r="I69" s="67">
        <v>0</v>
      </c>
      <c r="J69" s="143">
        <v>0</v>
      </c>
      <c r="K69" s="74">
        <f t="shared" ref="K69:K83" si="98">SUM(L69:N69)</f>
        <v>0</v>
      </c>
      <c r="L69" s="74">
        <v>0</v>
      </c>
      <c r="M69" s="74">
        <v>0</v>
      </c>
      <c r="N69" s="74">
        <f>4021-4021</f>
        <v>0</v>
      </c>
      <c r="O69" s="17">
        <v>0</v>
      </c>
      <c r="P69" s="28">
        <v>0</v>
      </c>
      <c r="Q69" s="28">
        <v>0</v>
      </c>
      <c r="R69" s="28">
        <v>0</v>
      </c>
      <c r="S69" s="28">
        <v>0</v>
      </c>
      <c r="T69" s="20">
        <v>0</v>
      </c>
      <c r="U69" s="78">
        <v>0</v>
      </c>
      <c r="V69" s="78">
        <v>0</v>
      </c>
      <c r="W69" s="78">
        <v>0</v>
      </c>
      <c r="X69" s="78">
        <v>0</v>
      </c>
      <c r="Y69" s="20">
        <v>0</v>
      </c>
      <c r="Z69" s="28">
        <v>0</v>
      </c>
      <c r="AA69" s="28">
        <v>0</v>
      </c>
      <c r="AB69" s="28">
        <v>0</v>
      </c>
      <c r="AC69" s="28">
        <v>0</v>
      </c>
    </row>
    <row r="70" spans="1:57" s="59" customFormat="1" ht="70.150000000000006" customHeight="1" x14ac:dyDescent="0.2">
      <c r="A70" s="19" t="s">
        <v>165</v>
      </c>
      <c r="B70" s="186" t="s">
        <v>135</v>
      </c>
      <c r="C70" s="17">
        <f t="shared" si="97"/>
        <v>12.33</v>
      </c>
      <c r="D70" s="67">
        <f t="shared" si="96"/>
        <v>170418.76</v>
      </c>
      <c r="E70" s="19">
        <v>12.33</v>
      </c>
      <c r="F70" s="67">
        <v>170418.76</v>
      </c>
      <c r="G70" s="67">
        <v>0</v>
      </c>
      <c r="H70" s="67">
        <f>F70*0.952</f>
        <v>162238.65952000002</v>
      </c>
      <c r="I70" s="67">
        <f>F70*0.048</f>
        <v>8180.100480000001</v>
      </c>
      <c r="J70" s="17">
        <v>0</v>
      </c>
      <c r="K70" s="74">
        <f t="shared" si="98"/>
        <v>0</v>
      </c>
      <c r="L70" s="28">
        <v>0</v>
      </c>
      <c r="M70" s="28">
        <v>0</v>
      </c>
      <c r="N70" s="28">
        <v>0</v>
      </c>
      <c r="O70" s="17">
        <v>0</v>
      </c>
      <c r="P70" s="28">
        <v>0</v>
      </c>
      <c r="Q70" s="28">
        <v>0</v>
      </c>
      <c r="R70" s="28">
        <v>0</v>
      </c>
      <c r="S70" s="28">
        <v>0</v>
      </c>
      <c r="T70" s="20">
        <v>0</v>
      </c>
      <c r="U70" s="78">
        <f t="shared" ref="U70:U73" si="99">V70+W70+X70</f>
        <v>0</v>
      </c>
      <c r="V70" s="78">
        <v>0</v>
      </c>
      <c r="W70" s="78">
        <v>0</v>
      </c>
      <c r="X70" s="78">
        <v>0</v>
      </c>
      <c r="Y70" s="17">
        <v>0</v>
      </c>
      <c r="Z70" s="28">
        <f>AA70+AC70</f>
        <v>0</v>
      </c>
      <c r="AA70" s="28">
        <v>0</v>
      </c>
      <c r="AB70" s="28">
        <v>0</v>
      </c>
      <c r="AC70" s="28">
        <v>0</v>
      </c>
    </row>
    <row r="71" spans="1:57" s="59" customFormat="1" ht="102" customHeight="1" x14ac:dyDescent="0.2">
      <c r="A71" s="19" t="s">
        <v>166</v>
      </c>
      <c r="B71" s="186" t="s">
        <v>136</v>
      </c>
      <c r="C71" s="17">
        <f t="shared" si="97"/>
        <v>13.33</v>
      </c>
      <c r="D71" s="67">
        <f t="shared" si="96"/>
        <v>0</v>
      </c>
      <c r="E71" s="19">
        <v>13.33</v>
      </c>
      <c r="F71" s="67">
        <f>H71+I71</f>
        <v>0</v>
      </c>
      <c r="G71" s="67">
        <v>0</v>
      </c>
      <c r="H71" s="67">
        <v>0</v>
      </c>
      <c r="I71" s="67">
        <v>0</v>
      </c>
      <c r="J71" s="17"/>
      <c r="K71" s="74">
        <f t="shared" si="98"/>
        <v>0</v>
      </c>
      <c r="L71" s="28">
        <v>0</v>
      </c>
      <c r="M71" s="28">
        <v>0</v>
      </c>
      <c r="N71" s="28">
        <v>0</v>
      </c>
      <c r="O71" s="17">
        <v>0</v>
      </c>
      <c r="P71" s="28">
        <v>0</v>
      </c>
      <c r="Q71" s="28">
        <v>0</v>
      </c>
      <c r="R71" s="28">
        <v>0</v>
      </c>
      <c r="S71" s="28">
        <v>0</v>
      </c>
      <c r="T71" s="20">
        <v>0</v>
      </c>
      <c r="U71" s="78">
        <f t="shared" si="99"/>
        <v>0</v>
      </c>
      <c r="V71" s="78">
        <v>0</v>
      </c>
      <c r="W71" s="78">
        <v>0</v>
      </c>
      <c r="X71" s="78">
        <v>0</v>
      </c>
      <c r="Y71" s="20">
        <v>0</v>
      </c>
      <c r="Z71" s="28">
        <v>0</v>
      </c>
      <c r="AA71" s="28">
        <v>0</v>
      </c>
      <c r="AB71" s="28">
        <v>0</v>
      </c>
      <c r="AC71" s="28">
        <v>0</v>
      </c>
    </row>
    <row r="72" spans="1:57" s="59" customFormat="1" ht="55.15" customHeight="1" x14ac:dyDescent="0.2">
      <c r="A72" s="19" t="s">
        <v>167</v>
      </c>
      <c r="B72" s="186" t="s">
        <v>147</v>
      </c>
      <c r="C72" s="17">
        <f t="shared" ref="C72:C73" si="100">E72+J72+O72+T72+Y72</f>
        <v>42</v>
      </c>
      <c r="D72" s="67">
        <f t="shared" si="96"/>
        <v>261898.62</v>
      </c>
      <c r="E72" s="19">
        <v>0</v>
      </c>
      <c r="F72" s="67">
        <v>0</v>
      </c>
      <c r="G72" s="67">
        <v>0</v>
      </c>
      <c r="H72" s="67">
        <v>0</v>
      </c>
      <c r="I72" s="67">
        <v>0</v>
      </c>
      <c r="J72" s="17">
        <v>0</v>
      </c>
      <c r="K72" s="74">
        <f t="shared" si="98"/>
        <v>0</v>
      </c>
      <c r="L72" s="28">
        <v>0</v>
      </c>
      <c r="M72" s="28">
        <v>0</v>
      </c>
      <c r="N72" s="28">
        <v>0</v>
      </c>
      <c r="O72" s="17">
        <v>35.4</v>
      </c>
      <c r="P72" s="28">
        <v>261898.62</v>
      </c>
      <c r="Q72" s="28">
        <v>0</v>
      </c>
      <c r="R72" s="28">
        <f>P72*0.952</f>
        <v>249327.48624</v>
      </c>
      <c r="S72" s="28">
        <f>P72*0.048</f>
        <v>12571.133760000001</v>
      </c>
      <c r="T72" s="20">
        <v>6.6</v>
      </c>
      <c r="U72" s="78">
        <v>0</v>
      </c>
      <c r="V72" s="78">
        <v>0</v>
      </c>
      <c r="W72" s="78">
        <v>0</v>
      </c>
      <c r="X72" s="78">
        <v>0</v>
      </c>
      <c r="Y72" s="20">
        <v>0</v>
      </c>
      <c r="Z72" s="28">
        <v>0</v>
      </c>
      <c r="AA72" s="28">
        <v>0</v>
      </c>
      <c r="AB72" s="28">
        <v>0</v>
      </c>
      <c r="AC72" s="28">
        <v>0</v>
      </c>
    </row>
    <row r="73" spans="1:57" s="59" customFormat="1" ht="82.9" customHeight="1" x14ac:dyDescent="0.2">
      <c r="A73" s="19" t="s">
        <v>168</v>
      </c>
      <c r="B73" s="186" t="s">
        <v>148</v>
      </c>
      <c r="C73" s="17">
        <f t="shared" si="100"/>
        <v>0</v>
      </c>
      <c r="D73" s="67">
        <f t="shared" si="96"/>
        <v>5241</v>
      </c>
      <c r="E73" s="19">
        <v>0</v>
      </c>
      <c r="F73" s="67">
        <v>0</v>
      </c>
      <c r="G73" s="67">
        <v>0</v>
      </c>
      <c r="H73" s="67">
        <v>0</v>
      </c>
      <c r="I73" s="67">
        <v>0</v>
      </c>
      <c r="J73" s="17">
        <v>0</v>
      </c>
      <c r="K73" s="74">
        <f t="shared" si="98"/>
        <v>0</v>
      </c>
      <c r="L73" s="28">
        <v>0</v>
      </c>
      <c r="M73" s="28">
        <v>0</v>
      </c>
      <c r="N73" s="28">
        <v>0</v>
      </c>
      <c r="O73" s="17">
        <v>0</v>
      </c>
      <c r="P73" s="28">
        <f>Q73+R73+S73</f>
        <v>5241</v>
      </c>
      <c r="Q73" s="28">
        <v>0</v>
      </c>
      <c r="R73" s="28">
        <v>0</v>
      </c>
      <c r="S73" s="28">
        <v>5241</v>
      </c>
      <c r="T73" s="20">
        <v>0</v>
      </c>
      <c r="U73" s="78">
        <f t="shared" si="99"/>
        <v>0</v>
      </c>
      <c r="V73" s="78">
        <v>0</v>
      </c>
      <c r="W73" s="78">
        <v>0</v>
      </c>
      <c r="X73" s="78">
        <v>0</v>
      </c>
      <c r="Y73" s="20">
        <v>0</v>
      </c>
      <c r="Z73" s="28">
        <v>0</v>
      </c>
      <c r="AA73" s="28">
        <v>0</v>
      </c>
      <c r="AB73" s="28">
        <v>0</v>
      </c>
      <c r="AC73" s="28">
        <v>0</v>
      </c>
    </row>
    <row r="74" spans="1:57" s="59" customFormat="1" ht="58.9" customHeight="1" x14ac:dyDescent="0.2">
      <c r="A74" s="19" t="s">
        <v>169</v>
      </c>
      <c r="B74" s="186" t="s">
        <v>11</v>
      </c>
      <c r="C74" s="17">
        <f t="shared" ref="C74" si="101">E74+J74+O74+T74+Y74</f>
        <v>4.7699999999999996</v>
      </c>
      <c r="D74" s="67">
        <f t="shared" si="96"/>
        <v>77379.900000000009</v>
      </c>
      <c r="E74" s="19">
        <v>0</v>
      </c>
      <c r="F74" s="67">
        <v>0</v>
      </c>
      <c r="G74" s="67">
        <v>0</v>
      </c>
      <c r="H74" s="67">
        <v>0</v>
      </c>
      <c r="I74" s="67">
        <v>0</v>
      </c>
      <c r="J74" s="17">
        <v>0</v>
      </c>
      <c r="K74" s="74">
        <f t="shared" si="98"/>
        <v>0</v>
      </c>
      <c r="L74" s="28">
        <v>0</v>
      </c>
      <c r="M74" s="28">
        <v>0</v>
      </c>
      <c r="N74" s="28">
        <v>0</v>
      </c>
      <c r="O74" s="17">
        <v>0</v>
      </c>
      <c r="P74" s="28">
        <v>0</v>
      </c>
      <c r="Q74" s="28">
        <v>0</v>
      </c>
      <c r="R74" s="28">
        <v>0</v>
      </c>
      <c r="S74" s="28">
        <v>0</v>
      </c>
      <c r="T74" s="20">
        <v>4.7699999999999996</v>
      </c>
      <c r="U74" s="78">
        <f>V74+W74+X74</f>
        <v>77379.900000000009</v>
      </c>
      <c r="V74" s="78">
        <v>0</v>
      </c>
      <c r="W74" s="78">
        <f>ROUND(77379.89*0.959,1)</f>
        <v>74207.3</v>
      </c>
      <c r="X74" s="78">
        <f>ROUND(77379.89*0.041,1)</f>
        <v>3172.6</v>
      </c>
      <c r="Y74" s="20">
        <v>0</v>
      </c>
      <c r="Z74" s="28">
        <v>0</v>
      </c>
      <c r="AA74" s="28">
        <v>0</v>
      </c>
      <c r="AB74" s="28">
        <v>0</v>
      </c>
      <c r="AC74" s="28">
        <v>0</v>
      </c>
    </row>
    <row r="75" spans="1:57" s="59" customFormat="1" ht="84" customHeight="1" x14ac:dyDescent="0.2">
      <c r="A75" s="19" t="s">
        <v>906</v>
      </c>
      <c r="B75" s="186" t="s">
        <v>14</v>
      </c>
      <c r="C75" s="17">
        <f t="shared" ref="C75:C83" si="102">E75+J75+O75+T75+Y75</f>
        <v>0</v>
      </c>
      <c r="D75" s="67">
        <f t="shared" si="96"/>
        <v>2679</v>
      </c>
      <c r="E75" s="19">
        <v>0</v>
      </c>
      <c r="F75" s="67">
        <v>0</v>
      </c>
      <c r="G75" s="67">
        <v>0</v>
      </c>
      <c r="H75" s="67">
        <v>0</v>
      </c>
      <c r="I75" s="67">
        <v>0</v>
      </c>
      <c r="J75" s="17">
        <v>0</v>
      </c>
      <c r="K75" s="74">
        <f t="shared" si="98"/>
        <v>0</v>
      </c>
      <c r="L75" s="28">
        <v>0</v>
      </c>
      <c r="M75" s="28">
        <v>0</v>
      </c>
      <c r="N75" s="28">
        <v>0</v>
      </c>
      <c r="O75" s="17">
        <v>0</v>
      </c>
      <c r="P75" s="28">
        <v>0</v>
      </c>
      <c r="Q75" s="28">
        <v>0</v>
      </c>
      <c r="R75" s="28">
        <v>0</v>
      </c>
      <c r="S75" s="28">
        <v>0</v>
      </c>
      <c r="T75" s="20">
        <v>0</v>
      </c>
      <c r="U75" s="78">
        <f>V75+W75+X75</f>
        <v>2679</v>
      </c>
      <c r="V75" s="78">
        <v>0</v>
      </c>
      <c r="W75" s="78">
        <v>0</v>
      </c>
      <c r="X75" s="78">
        <v>2679</v>
      </c>
      <c r="Y75" s="20">
        <v>0</v>
      </c>
      <c r="Z75" s="28">
        <v>0</v>
      </c>
      <c r="AA75" s="28">
        <v>0</v>
      </c>
      <c r="AB75" s="28">
        <v>0</v>
      </c>
      <c r="AC75" s="28">
        <v>0</v>
      </c>
    </row>
    <row r="76" spans="1:57" s="59" customFormat="1" ht="61.15" customHeight="1" x14ac:dyDescent="0.2">
      <c r="A76" s="19" t="s">
        <v>170</v>
      </c>
      <c r="B76" s="186" t="s">
        <v>171</v>
      </c>
      <c r="C76" s="17">
        <f t="shared" si="102"/>
        <v>8.7629999999999999</v>
      </c>
      <c r="D76" s="67">
        <f t="shared" si="96"/>
        <v>50315.6</v>
      </c>
      <c r="E76" s="19">
        <v>8.7629999999999999</v>
      </c>
      <c r="F76" s="67">
        <v>50315.6</v>
      </c>
      <c r="G76" s="67">
        <v>0</v>
      </c>
      <c r="H76" s="67">
        <f>F76*0.952</f>
        <v>47900.451199999996</v>
      </c>
      <c r="I76" s="67">
        <f>F76*0.048</f>
        <v>2415.1487999999999</v>
      </c>
      <c r="J76" s="17">
        <v>0</v>
      </c>
      <c r="K76" s="74">
        <f t="shared" si="98"/>
        <v>0</v>
      </c>
      <c r="L76" s="28">
        <v>0</v>
      </c>
      <c r="M76" s="28">
        <v>0</v>
      </c>
      <c r="N76" s="28">
        <v>0</v>
      </c>
      <c r="O76" s="17">
        <v>0</v>
      </c>
      <c r="P76" s="28">
        <v>0</v>
      </c>
      <c r="Q76" s="28">
        <v>0</v>
      </c>
      <c r="R76" s="28">
        <v>0</v>
      </c>
      <c r="S76" s="28">
        <v>0</v>
      </c>
      <c r="T76" s="20">
        <v>0</v>
      </c>
      <c r="U76" s="78">
        <v>0</v>
      </c>
      <c r="V76" s="78">
        <v>0</v>
      </c>
      <c r="W76" s="78">
        <v>0</v>
      </c>
      <c r="X76" s="78">
        <v>0</v>
      </c>
      <c r="Y76" s="20">
        <v>0</v>
      </c>
      <c r="Z76" s="78">
        <v>0</v>
      </c>
      <c r="AA76" s="78">
        <v>0</v>
      </c>
      <c r="AB76" s="28">
        <v>0</v>
      </c>
      <c r="AC76" s="191">
        <v>0</v>
      </c>
    </row>
    <row r="77" spans="1:57" s="59" customFormat="1" ht="55.9" customHeight="1" x14ac:dyDescent="0.2">
      <c r="A77" s="19" t="s">
        <v>795</v>
      </c>
      <c r="B77" s="186" t="s">
        <v>172</v>
      </c>
      <c r="C77" s="17">
        <f>E77+J77+O77+T77+Y77</f>
        <v>35.46</v>
      </c>
      <c r="D77" s="67">
        <f>F77+K77+P77+U77+Z77</f>
        <v>131202</v>
      </c>
      <c r="E77" s="19">
        <v>0</v>
      </c>
      <c r="F77" s="67">
        <v>0</v>
      </c>
      <c r="G77" s="67">
        <v>0</v>
      </c>
      <c r="H77" s="67">
        <v>0</v>
      </c>
      <c r="I77" s="67">
        <v>0</v>
      </c>
      <c r="J77" s="17">
        <v>0</v>
      </c>
      <c r="K77" s="74">
        <f t="shared" si="98"/>
        <v>0</v>
      </c>
      <c r="L77" s="28">
        <v>0</v>
      </c>
      <c r="M77" s="28">
        <v>0</v>
      </c>
      <c r="N77" s="28">
        <v>0</v>
      </c>
      <c r="O77" s="17">
        <v>0</v>
      </c>
      <c r="P77" s="28">
        <v>0</v>
      </c>
      <c r="Q77" s="28">
        <v>0</v>
      </c>
      <c r="R77" s="28">
        <v>0</v>
      </c>
      <c r="S77" s="28">
        <v>0</v>
      </c>
      <c r="T77" s="20">
        <v>35.46</v>
      </c>
      <c r="U77" s="78">
        <f>V77+W77+X77</f>
        <v>131202</v>
      </c>
      <c r="V77" s="78">
        <v>0</v>
      </c>
      <c r="W77" s="78">
        <f>ROUND(131202*0.959,1)</f>
        <v>125822.7</v>
      </c>
      <c r="X77" s="78">
        <f>ROUND(131202*0.041,1)</f>
        <v>5379.3</v>
      </c>
      <c r="Y77" s="20">
        <v>0</v>
      </c>
      <c r="Z77" s="78">
        <v>0</v>
      </c>
      <c r="AA77" s="78">
        <v>0</v>
      </c>
      <c r="AB77" s="28">
        <v>0</v>
      </c>
      <c r="AC77" s="78">
        <v>0</v>
      </c>
    </row>
    <row r="78" spans="1:57" s="59" customFormat="1" ht="86.25" customHeight="1" x14ac:dyDescent="0.2">
      <c r="A78" s="19" t="s">
        <v>23</v>
      </c>
      <c r="B78" s="186" t="s">
        <v>173</v>
      </c>
      <c r="C78" s="17">
        <v>0</v>
      </c>
      <c r="D78" s="67">
        <f>F78+K78+P78+U78+Z78</f>
        <v>5490</v>
      </c>
      <c r="E78" s="19">
        <v>0</v>
      </c>
      <c r="F78" s="67">
        <v>0</v>
      </c>
      <c r="G78" s="67">
        <v>0</v>
      </c>
      <c r="H78" s="67">
        <v>0</v>
      </c>
      <c r="I78" s="67">
        <v>0</v>
      </c>
      <c r="J78" s="17">
        <v>0</v>
      </c>
      <c r="K78" s="74">
        <v>0</v>
      </c>
      <c r="L78" s="28">
        <v>0</v>
      </c>
      <c r="M78" s="28">
        <v>0</v>
      </c>
      <c r="N78" s="28">
        <v>0</v>
      </c>
      <c r="O78" s="17">
        <v>0</v>
      </c>
      <c r="P78" s="28">
        <v>0</v>
      </c>
      <c r="Q78" s="28">
        <v>0</v>
      </c>
      <c r="R78" s="28">
        <v>0</v>
      </c>
      <c r="S78" s="28">
        <v>0</v>
      </c>
      <c r="T78" s="20">
        <v>0</v>
      </c>
      <c r="U78" s="78">
        <f>X78</f>
        <v>5490</v>
      </c>
      <c r="V78" s="78">
        <v>0</v>
      </c>
      <c r="W78" s="78">
        <v>0</v>
      </c>
      <c r="X78" s="78">
        <v>5490</v>
      </c>
      <c r="Y78" s="20">
        <v>0</v>
      </c>
      <c r="Z78" s="78">
        <v>0</v>
      </c>
      <c r="AA78" s="78">
        <v>0</v>
      </c>
      <c r="AB78" s="28">
        <v>0</v>
      </c>
      <c r="AC78" s="78">
        <v>0</v>
      </c>
    </row>
    <row r="79" spans="1:57" s="5" customFormat="1" ht="46.9" customHeight="1" x14ac:dyDescent="0.2">
      <c r="A79" s="19" t="s">
        <v>789</v>
      </c>
      <c r="B79" s="186" t="s">
        <v>938</v>
      </c>
      <c r="C79" s="17">
        <f t="shared" ref="C79:C82" si="103">E79+J79+O79+T79+Y79</f>
        <v>6.5</v>
      </c>
      <c r="D79" s="67">
        <f t="shared" ref="D79:D82" si="104">F79+K79+P79+U79+Z79</f>
        <v>106786</v>
      </c>
      <c r="E79" s="19">
        <v>0</v>
      </c>
      <c r="F79" s="67">
        <v>0</v>
      </c>
      <c r="G79" s="67">
        <v>0</v>
      </c>
      <c r="H79" s="67">
        <v>0</v>
      </c>
      <c r="I79" s="67">
        <v>0</v>
      </c>
      <c r="J79" s="17">
        <v>0</v>
      </c>
      <c r="K79" s="74">
        <v>0</v>
      </c>
      <c r="L79" s="28">
        <v>0</v>
      </c>
      <c r="M79" s="28">
        <v>0</v>
      </c>
      <c r="N79" s="28">
        <v>0</v>
      </c>
      <c r="O79" s="17">
        <v>0</v>
      </c>
      <c r="P79" s="28">
        <v>0</v>
      </c>
      <c r="Q79" s="28">
        <v>0</v>
      </c>
      <c r="R79" s="28">
        <v>0</v>
      </c>
      <c r="S79" s="28">
        <v>0</v>
      </c>
      <c r="T79" s="20">
        <v>0</v>
      </c>
      <c r="U79" s="78">
        <v>0</v>
      </c>
      <c r="V79" s="78">
        <v>0</v>
      </c>
      <c r="W79" s="78">
        <v>0</v>
      </c>
      <c r="X79" s="78">
        <v>0</v>
      </c>
      <c r="Y79" s="20">
        <v>6.5</v>
      </c>
      <c r="Z79" s="78">
        <v>106786</v>
      </c>
      <c r="AA79" s="78">
        <v>0</v>
      </c>
      <c r="AB79" s="28">
        <f>Z79*0.952</f>
        <v>101660.272</v>
      </c>
      <c r="AC79" s="78">
        <f>Z79*0.048</f>
        <v>5125.7280000000001</v>
      </c>
    </row>
    <row r="80" spans="1:57" s="59" customFormat="1" ht="87.6" customHeight="1" x14ac:dyDescent="0.2">
      <c r="A80" s="19" t="s">
        <v>790</v>
      </c>
      <c r="B80" s="186" t="s">
        <v>939</v>
      </c>
      <c r="C80" s="17">
        <f t="shared" si="103"/>
        <v>0</v>
      </c>
      <c r="D80" s="67">
        <f t="shared" si="104"/>
        <v>3630.7</v>
      </c>
      <c r="E80" s="19">
        <v>0</v>
      </c>
      <c r="F80" s="67">
        <v>0</v>
      </c>
      <c r="G80" s="67">
        <v>0</v>
      </c>
      <c r="H80" s="67">
        <v>0</v>
      </c>
      <c r="I80" s="67">
        <v>0</v>
      </c>
      <c r="J80" s="17">
        <v>0</v>
      </c>
      <c r="K80" s="74">
        <f t="shared" si="98"/>
        <v>0</v>
      </c>
      <c r="L80" s="28">
        <v>0</v>
      </c>
      <c r="M80" s="28">
        <v>0</v>
      </c>
      <c r="N80" s="28">
        <v>0</v>
      </c>
      <c r="O80" s="17">
        <v>0</v>
      </c>
      <c r="P80" s="28">
        <v>0</v>
      </c>
      <c r="Q80" s="28">
        <v>0</v>
      </c>
      <c r="R80" s="28">
        <v>0</v>
      </c>
      <c r="S80" s="28">
        <v>0</v>
      </c>
      <c r="T80" s="20">
        <v>0</v>
      </c>
      <c r="U80" s="78">
        <v>0</v>
      </c>
      <c r="V80" s="78">
        <v>0</v>
      </c>
      <c r="W80" s="78">
        <v>0</v>
      </c>
      <c r="X80" s="78">
        <v>0</v>
      </c>
      <c r="Y80" s="20">
        <v>0</v>
      </c>
      <c r="Z80" s="78">
        <f>AA80+AB80+AC80</f>
        <v>3630.7</v>
      </c>
      <c r="AA80" s="78">
        <v>0</v>
      </c>
      <c r="AB80" s="28">
        <v>0</v>
      </c>
      <c r="AC80" s="78">
        <v>3630.7</v>
      </c>
    </row>
    <row r="81" spans="1:43" s="5" customFormat="1" ht="63.6" customHeight="1" x14ac:dyDescent="0.2">
      <c r="A81" s="19" t="s">
        <v>796</v>
      </c>
      <c r="B81" s="186" t="s">
        <v>940</v>
      </c>
      <c r="C81" s="17">
        <f t="shared" si="103"/>
        <v>12.04</v>
      </c>
      <c r="D81" s="67">
        <f>F81+K81+P81+U81+Z81</f>
        <v>203886.8</v>
      </c>
      <c r="E81" s="19">
        <v>0</v>
      </c>
      <c r="F81" s="67">
        <v>0</v>
      </c>
      <c r="G81" s="67">
        <v>0</v>
      </c>
      <c r="H81" s="67">
        <v>0</v>
      </c>
      <c r="I81" s="67">
        <v>0</v>
      </c>
      <c r="J81" s="17">
        <v>0</v>
      </c>
      <c r="K81" s="74">
        <f t="shared" si="98"/>
        <v>0</v>
      </c>
      <c r="L81" s="28">
        <v>0</v>
      </c>
      <c r="M81" s="28">
        <v>0</v>
      </c>
      <c r="N81" s="28">
        <v>0</v>
      </c>
      <c r="O81" s="17">
        <v>0</v>
      </c>
      <c r="P81" s="28">
        <v>0</v>
      </c>
      <c r="Q81" s="28">
        <v>0</v>
      </c>
      <c r="R81" s="28">
        <v>0</v>
      </c>
      <c r="S81" s="28">
        <v>0</v>
      </c>
      <c r="T81" s="20">
        <v>0</v>
      </c>
      <c r="U81" s="78">
        <v>0</v>
      </c>
      <c r="V81" s="78">
        <v>0</v>
      </c>
      <c r="W81" s="78">
        <f>U81*0.952</f>
        <v>0</v>
      </c>
      <c r="X81" s="78">
        <f>U81*0.048</f>
        <v>0</v>
      </c>
      <c r="Y81" s="20">
        <v>12.04</v>
      </c>
      <c r="Z81" s="78">
        <v>203886.8</v>
      </c>
      <c r="AA81" s="78">
        <v>0</v>
      </c>
      <c r="AB81" s="28">
        <f>Z81*0.952</f>
        <v>194100.23359999998</v>
      </c>
      <c r="AC81" s="78">
        <f>Z81*0.048</f>
        <v>9786.5663999999997</v>
      </c>
    </row>
    <row r="82" spans="1:43" s="59" customFormat="1" ht="86.45" customHeight="1" x14ac:dyDescent="0.2">
      <c r="A82" s="19" t="s">
        <v>907</v>
      </c>
      <c r="B82" s="186" t="s">
        <v>801</v>
      </c>
      <c r="C82" s="17">
        <f t="shared" si="103"/>
        <v>0</v>
      </c>
      <c r="D82" s="67">
        <f t="shared" si="104"/>
        <v>0</v>
      </c>
      <c r="E82" s="19">
        <v>0</v>
      </c>
      <c r="F82" s="67">
        <v>0</v>
      </c>
      <c r="G82" s="67">
        <v>0</v>
      </c>
      <c r="H82" s="67">
        <v>0</v>
      </c>
      <c r="I82" s="67">
        <v>0</v>
      </c>
      <c r="J82" s="17">
        <v>0</v>
      </c>
      <c r="K82" s="74">
        <f t="shared" si="98"/>
        <v>0</v>
      </c>
      <c r="L82" s="28">
        <v>0</v>
      </c>
      <c r="M82" s="28">
        <v>0</v>
      </c>
      <c r="N82" s="28">
        <v>0</v>
      </c>
      <c r="O82" s="17">
        <v>0</v>
      </c>
      <c r="P82" s="28">
        <v>0</v>
      </c>
      <c r="Q82" s="28">
        <v>0</v>
      </c>
      <c r="R82" s="28">
        <v>0</v>
      </c>
      <c r="S82" s="28">
        <v>0</v>
      </c>
      <c r="T82" s="20">
        <v>0</v>
      </c>
      <c r="U82" s="78">
        <f>V82+W82+X82</f>
        <v>0</v>
      </c>
      <c r="V82" s="78">
        <v>0</v>
      </c>
      <c r="W82" s="78">
        <v>0</v>
      </c>
      <c r="X82" s="78">
        <v>0</v>
      </c>
      <c r="Y82" s="20">
        <v>0</v>
      </c>
      <c r="Z82" s="78">
        <v>0</v>
      </c>
      <c r="AA82" s="78">
        <v>0</v>
      </c>
      <c r="AB82" s="28">
        <v>0</v>
      </c>
      <c r="AC82" s="78">
        <v>0</v>
      </c>
    </row>
    <row r="83" spans="1:43" s="59" customFormat="1" ht="81.599999999999994" customHeight="1" x14ac:dyDescent="0.2">
      <c r="A83" s="19" t="s">
        <v>908</v>
      </c>
      <c r="B83" s="186" t="s">
        <v>173</v>
      </c>
      <c r="C83" s="17">
        <f t="shared" si="102"/>
        <v>0</v>
      </c>
      <c r="D83" s="67">
        <f t="shared" si="96"/>
        <v>4648</v>
      </c>
      <c r="E83" s="19">
        <v>0</v>
      </c>
      <c r="F83" s="67">
        <v>0</v>
      </c>
      <c r="G83" s="67">
        <v>0</v>
      </c>
      <c r="H83" s="67">
        <v>0</v>
      </c>
      <c r="I83" s="67">
        <v>0</v>
      </c>
      <c r="J83" s="17">
        <v>0</v>
      </c>
      <c r="K83" s="28">
        <f t="shared" si="98"/>
        <v>0</v>
      </c>
      <c r="L83" s="28">
        <v>0</v>
      </c>
      <c r="M83" s="28">
        <v>0</v>
      </c>
      <c r="N83" s="28">
        <v>0</v>
      </c>
      <c r="O83" s="17">
        <v>0</v>
      </c>
      <c r="P83" s="28">
        <v>0</v>
      </c>
      <c r="Q83" s="28">
        <v>0</v>
      </c>
      <c r="R83" s="28">
        <v>0</v>
      </c>
      <c r="S83" s="28">
        <v>0</v>
      </c>
      <c r="T83" s="20">
        <v>0</v>
      </c>
      <c r="U83" s="78">
        <f>V83+W83+X83</f>
        <v>4648</v>
      </c>
      <c r="V83" s="78">
        <v>0</v>
      </c>
      <c r="W83" s="78">
        <v>0</v>
      </c>
      <c r="X83" s="78">
        <v>4648</v>
      </c>
      <c r="Y83" s="20">
        <v>0</v>
      </c>
      <c r="Z83" s="78">
        <v>0</v>
      </c>
      <c r="AA83" s="78">
        <v>0</v>
      </c>
      <c r="AB83" s="78">
        <v>0</v>
      </c>
      <c r="AC83" s="78">
        <v>0</v>
      </c>
    </row>
    <row r="84" spans="1:43" s="10" customFormat="1" ht="46.9" customHeight="1" x14ac:dyDescent="0.2">
      <c r="A84" s="170"/>
      <c r="B84" s="171" t="s">
        <v>17</v>
      </c>
      <c r="C84" s="139">
        <f>SUM(C68:C83)</f>
        <v>168.87299999999999</v>
      </c>
      <c r="D84" s="169">
        <f t="shared" si="96"/>
        <v>1262851.2200000002</v>
      </c>
      <c r="E84" s="139">
        <f t="shared" ref="E84:J84" si="105">SUM(E68:E83)</f>
        <v>34.423000000000002</v>
      </c>
      <c r="F84" s="140">
        <f t="shared" si="105"/>
        <v>220734.36000000002</v>
      </c>
      <c r="G84" s="140">
        <f t="shared" si="105"/>
        <v>0</v>
      </c>
      <c r="H84" s="140">
        <f t="shared" si="105"/>
        <v>210139.11072</v>
      </c>
      <c r="I84" s="140">
        <f t="shared" si="105"/>
        <v>10595.24928</v>
      </c>
      <c r="J84" s="139">
        <f t="shared" si="105"/>
        <v>33.68</v>
      </c>
      <c r="K84" s="140">
        <f>SUM(L84:N84)</f>
        <v>239274.84</v>
      </c>
      <c r="L84" s="140">
        <f t="shared" ref="L84:AC84" si="106">SUM(L68:L83)</f>
        <v>0</v>
      </c>
      <c r="M84" s="140">
        <f t="shared" si="106"/>
        <v>227788.79999999999</v>
      </c>
      <c r="N84" s="140">
        <f>SUM(N68:N83)</f>
        <v>11486.04</v>
      </c>
      <c r="O84" s="139">
        <f t="shared" si="106"/>
        <v>35.4</v>
      </c>
      <c r="P84" s="140">
        <f t="shared" si="106"/>
        <v>267139.62</v>
      </c>
      <c r="Q84" s="140">
        <f t="shared" si="106"/>
        <v>0</v>
      </c>
      <c r="R84" s="140">
        <f t="shared" si="106"/>
        <v>249327.48624</v>
      </c>
      <c r="S84" s="140">
        <f t="shared" si="106"/>
        <v>17812.133760000001</v>
      </c>
      <c r="T84" s="139">
        <f t="shared" si="106"/>
        <v>46.83</v>
      </c>
      <c r="U84" s="140">
        <f t="shared" si="106"/>
        <v>221398.90000000002</v>
      </c>
      <c r="V84" s="140">
        <f t="shared" si="106"/>
        <v>0</v>
      </c>
      <c r="W84" s="140">
        <f t="shared" si="106"/>
        <v>200030</v>
      </c>
      <c r="X84" s="140">
        <f t="shared" si="106"/>
        <v>21368.9</v>
      </c>
      <c r="Y84" s="139">
        <f t="shared" si="106"/>
        <v>18.54</v>
      </c>
      <c r="Z84" s="140">
        <f t="shared" si="106"/>
        <v>314303.5</v>
      </c>
      <c r="AA84" s="140">
        <f t="shared" si="106"/>
        <v>0</v>
      </c>
      <c r="AB84" s="140">
        <f t="shared" si="106"/>
        <v>295760.50559999997</v>
      </c>
      <c r="AC84" s="140">
        <f t="shared" si="106"/>
        <v>18542.9944</v>
      </c>
      <c r="AD84" s="36"/>
      <c r="AE84" s="36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</row>
    <row r="85" spans="1:43" s="13" customFormat="1" ht="30" customHeight="1" x14ac:dyDescent="0.2">
      <c r="A85" s="369" t="s">
        <v>80</v>
      </c>
      <c r="B85" s="369"/>
      <c r="C85" s="369"/>
      <c r="D85" s="369"/>
      <c r="E85" s="369"/>
      <c r="F85" s="369"/>
      <c r="G85" s="369"/>
      <c r="H85" s="369"/>
      <c r="I85" s="369"/>
      <c r="J85" s="369"/>
      <c r="K85" s="369"/>
      <c r="L85" s="369"/>
      <c r="M85" s="369"/>
      <c r="N85" s="369"/>
      <c r="O85" s="369"/>
      <c r="P85" s="369"/>
      <c r="Q85" s="369"/>
      <c r="R85" s="369"/>
      <c r="S85" s="369"/>
      <c r="T85" s="369"/>
      <c r="U85" s="369"/>
      <c r="V85" s="369"/>
      <c r="W85" s="369"/>
      <c r="X85" s="369"/>
      <c r="Y85" s="369"/>
      <c r="Z85" s="369"/>
      <c r="AA85" s="369"/>
      <c r="AB85" s="369"/>
      <c r="AC85" s="369"/>
      <c r="AD85" s="38"/>
      <c r="AE85" s="38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</row>
    <row r="86" spans="1:43" s="62" customFormat="1" ht="48" customHeight="1" x14ac:dyDescent="0.2">
      <c r="A86" s="172" t="s">
        <v>5</v>
      </c>
      <c r="B86" s="71" t="s">
        <v>130</v>
      </c>
      <c r="C86" s="12">
        <f>E86+J86+O86+T86+Y86</f>
        <v>3.68</v>
      </c>
      <c r="D86" s="75">
        <f t="shared" ref="D86:D133" si="107">F86+K86+P86+U86+Z86</f>
        <v>80076.17</v>
      </c>
      <c r="E86" s="12">
        <v>3.68</v>
      </c>
      <c r="F86" s="74">
        <f>G86+H86+I86</f>
        <v>80076.17</v>
      </c>
      <c r="G86" s="74">
        <v>0</v>
      </c>
      <c r="H86" s="67">
        <v>76232.509999999995</v>
      </c>
      <c r="I86" s="67">
        <v>3843.66</v>
      </c>
      <c r="J86" s="12">
        <v>0</v>
      </c>
      <c r="K86" s="28">
        <f t="shared" ref="K86:K134" si="108">SUM(L86:N86)</f>
        <v>0</v>
      </c>
      <c r="L86" s="28">
        <v>0</v>
      </c>
      <c r="M86" s="28">
        <v>0</v>
      </c>
      <c r="N86" s="28">
        <v>0</v>
      </c>
      <c r="O86" s="17">
        <v>0</v>
      </c>
      <c r="P86" s="28">
        <f>Q86+R86+S86</f>
        <v>0</v>
      </c>
      <c r="Q86" s="28">
        <v>0</v>
      </c>
      <c r="R86" s="28">
        <v>0</v>
      </c>
      <c r="S86" s="28">
        <v>0</v>
      </c>
      <c r="T86" s="17">
        <v>0</v>
      </c>
      <c r="U86" s="28">
        <f>V86+W86+X86</f>
        <v>0</v>
      </c>
      <c r="V86" s="28">
        <v>0</v>
      </c>
      <c r="W86" s="28">
        <v>0</v>
      </c>
      <c r="X86" s="28">
        <v>0</v>
      </c>
      <c r="Y86" s="17">
        <v>0</v>
      </c>
      <c r="Z86" s="28">
        <f>AA86+AB86+AC86</f>
        <v>0</v>
      </c>
      <c r="AA86" s="28">
        <v>0</v>
      </c>
      <c r="AB86" s="28">
        <v>0</v>
      </c>
      <c r="AC86" s="28">
        <v>0</v>
      </c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</row>
    <row r="87" spans="1:43" s="62" customFormat="1" ht="43.15" customHeight="1" x14ac:dyDescent="0.2">
      <c r="A87" s="172" t="s">
        <v>6</v>
      </c>
      <c r="B87" s="71" t="s">
        <v>131</v>
      </c>
      <c r="C87" s="12">
        <f t="shared" ref="C87:C133" si="109">E87+J87+O87+T87+Y87</f>
        <v>31.52</v>
      </c>
      <c r="D87" s="75">
        <f t="shared" si="107"/>
        <v>76389.119999999995</v>
      </c>
      <c r="E87" s="12">
        <v>31.52</v>
      </c>
      <c r="F87" s="74">
        <f>G87+H87+I87</f>
        <v>76389.119999999995</v>
      </c>
      <c r="G87" s="74">
        <v>0</v>
      </c>
      <c r="H87" s="67">
        <v>72722.44</v>
      </c>
      <c r="I87" s="67">
        <v>3666.68</v>
      </c>
      <c r="J87" s="12">
        <v>0</v>
      </c>
      <c r="K87" s="28">
        <f t="shared" si="108"/>
        <v>0</v>
      </c>
      <c r="L87" s="28">
        <v>0</v>
      </c>
      <c r="M87" s="28">
        <v>0</v>
      </c>
      <c r="N87" s="28">
        <v>0</v>
      </c>
      <c r="O87" s="17">
        <v>0</v>
      </c>
      <c r="P87" s="28">
        <f t="shared" ref="P87:P132" si="110">Q87+R87+S87</f>
        <v>0</v>
      </c>
      <c r="Q87" s="28">
        <v>0</v>
      </c>
      <c r="R87" s="28">
        <v>0</v>
      </c>
      <c r="S87" s="28">
        <v>0</v>
      </c>
      <c r="T87" s="17">
        <v>0</v>
      </c>
      <c r="U87" s="28">
        <f t="shared" ref="U87:U132" si="111">V87+W87+X87</f>
        <v>0</v>
      </c>
      <c r="V87" s="28">
        <v>0</v>
      </c>
      <c r="W87" s="28">
        <v>0</v>
      </c>
      <c r="X87" s="28">
        <v>0</v>
      </c>
      <c r="Y87" s="17">
        <v>0</v>
      </c>
      <c r="Z87" s="28">
        <f t="shared" ref="Z87:Z132" si="112">AA87+AB87+AC87</f>
        <v>0</v>
      </c>
      <c r="AA87" s="28">
        <v>0</v>
      </c>
      <c r="AB87" s="28">
        <v>0</v>
      </c>
      <c r="AC87" s="28">
        <v>0</v>
      </c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</row>
    <row r="88" spans="1:43" s="62" customFormat="1" ht="40.9" customHeight="1" x14ac:dyDescent="0.2">
      <c r="A88" s="172" t="s">
        <v>7</v>
      </c>
      <c r="B88" s="71" t="s">
        <v>787</v>
      </c>
      <c r="C88" s="12">
        <f t="shared" si="109"/>
        <v>4.88</v>
      </c>
      <c r="D88" s="75">
        <f t="shared" si="107"/>
        <v>121941.44</v>
      </c>
      <c r="E88" s="14">
        <v>4.88</v>
      </c>
      <c r="F88" s="74">
        <f>G88+H88+I88</f>
        <v>121941.44</v>
      </c>
      <c r="G88" s="74">
        <v>0</v>
      </c>
      <c r="H88" s="67">
        <v>116088.25</v>
      </c>
      <c r="I88" s="67">
        <v>5853.19</v>
      </c>
      <c r="J88" s="12">
        <v>0</v>
      </c>
      <c r="K88" s="28">
        <f t="shared" si="108"/>
        <v>0</v>
      </c>
      <c r="L88" s="28">
        <v>0</v>
      </c>
      <c r="M88" s="28">
        <v>0</v>
      </c>
      <c r="N88" s="28">
        <v>0</v>
      </c>
      <c r="O88" s="17">
        <v>0</v>
      </c>
      <c r="P88" s="28">
        <f t="shared" si="110"/>
        <v>0</v>
      </c>
      <c r="Q88" s="28">
        <v>0</v>
      </c>
      <c r="R88" s="28">
        <v>0</v>
      </c>
      <c r="S88" s="28">
        <v>0</v>
      </c>
      <c r="T88" s="17">
        <v>0</v>
      </c>
      <c r="U88" s="28">
        <f t="shared" si="111"/>
        <v>0</v>
      </c>
      <c r="V88" s="28">
        <v>0</v>
      </c>
      <c r="W88" s="28">
        <v>0</v>
      </c>
      <c r="X88" s="28">
        <v>0</v>
      </c>
      <c r="Y88" s="17">
        <v>0</v>
      </c>
      <c r="Z88" s="28">
        <f t="shared" si="112"/>
        <v>0</v>
      </c>
      <c r="AA88" s="28">
        <v>0</v>
      </c>
      <c r="AB88" s="28">
        <v>0</v>
      </c>
      <c r="AC88" s="28">
        <v>0</v>
      </c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</row>
    <row r="89" spans="1:43" s="62" customFormat="1" ht="53.45" customHeight="1" x14ac:dyDescent="0.2">
      <c r="A89" s="172" t="s">
        <v>10</v>
      </c>
      <c r="B89" s="71" t="s">
        <v>788</v>
      </c>
      <c r="C89" s="12">
        <f t="shared" si="109"/>
        <v>2.4300000000000002</v>
      </c>
      <c r="D89" s="75">
        <f t="shared" si="107"/>
        <v>92867.48</v>
      </c>
      <c r="E89" s="14">
        <v>2.4300000000000002</v>
      </c>
      <c r="F89" s="74">
        <f>G89+H89+I89</f>
        <v>92867.48</v>
      </c>
      <c r="G89" s="74">
        <v>0</v>
      </c>
      <c r="H89" s="67">
        <v>88409.84</v>
      </c>
      <c r="I89" s="67">
        <v>4457.6400000000003</v>
      </c>
      <c r="J89" s="12">
        <v>0</v>
      </c>
      <c r="K89" s="28">
        <f t="shared" si="108"/>
        <v>0</v>
      </c>
      <c r="L89" s="28">
        <v>0</v>
      </c>
      <c r="M89" s="28">
        <v>0</v>
      </c>
      <c r="N89" s="28">
        <v>0</v>
      </c>
      <c r="O89" s="17">
        <v>0</v>
      </c>
      <c r="P89" s="28">
        <f t="shared" si="110"/>
        <v>0</v>
      </c>
      <c r="Q89" s="28">
        <v>0</v>
      </c>
      <c r="R89" s="28">
        <v>0</v>
      </c>
      <c r="S89" s="28">
        <v>0</v>
      </c>
      <c r="T89" s="17">
        <v>0</v>
      </c>
      <c r="U89" s="28">
        <f t="shared" si="111"/>
        <v>0</v>
      </c>
      <c r="V89" s="28">
        <v>0</v>
      </c>
      <c r="W89" s="28">
        <v>0</v>
      </c>
      <c r="X89" s="28">
        <v>0</v>
      </c>
      <c r="Y89" s="17">
        <v>0</v>
      </c>
      <c r="Z89" s="28">
        <f t="shared" si="112"/>
        <v>0</v>
      </c>
      <c r="AA89" s="28">
        <v>0</v>
      </c>
      <c r="AB89" s="28">
        <v>0</v>
      </c>
      <c r="AC89" s="28">
        <v>0</v>
      </c>
      <c r="AD89" s="59"/>
      <c r="AE89" s="59"/>
      <c r="AF89" s="59"/>
      <c r="AG89" s="59"/>
      <c r="AH89" s="59"/>
      <c r="AI89" s="59"/>
      <c r="AJ89" s="59"/>
      <c r="AK89" s="59"/>
      <c r="AL89" s="59"/>
      <c r="AM89" s="59"/>
      <c r="AN89" s="59"/>
      <c r="AO89" s="59"/>
      <c r="AP89" s="59"/>
      <c r="AQ89" s="59"/>
    </row>
    <row r="90" spans="1:43" s="62" customFormat="1" ht="41.45" customHeight="1" x14ac:dyDescent="0.2">
      <c r="A90" s="172" t="s">
        <v>24</v>
      </c>
      <c r="B90" s="71" t="s">
        <v>137</v>
      </c>
      <c r="C90" s="12">
        <f t="shared" si="109"/>
        <v>1.98</v>
      </c>
      <c r="D90" s="75">
        <f t="shared" si="107"/>
        <v>0</v>
      </c>
      <c r="E90" s="14">
        <v>1.98</v>
      </c>
      <c r="F90" s="74">
        <f t="shared" ref="F90:F133" si="113">G90+H90+I90</f>
        <v>0</v>
      </c>
      <c r="G90" s="74">
        <v>0</v>
      </c>
      <c r="H90" s="67">
        <v>0</v>
      </c>
      <c r="I90" s="67">
        <v>0</v>
      </c>
      <c r="J90" s="12">
        <v>0</v>
      </c>
      <c r="K90" s="28">
        <f t="shared" si="108"/>
        <v>0</v>
      </c>
      <c r="L90" s="28">
        <v>0</v>
      </c>
      <c r="M90" s="28">
        <v>0</v>
      </c>
      <c r="N90" s="28">
        <v>0</v>
      </c>
      <c r="O90" s="17">
        <v>0</v>
      </c>
      <c r="P90" s="28">
        <f t="shared" si="110"/>
        <v>0</v>
      </c>
      <c r="Q90" s="28">
        <v>0</v>
      </c>
      <c r="R90" s="28">
        <v>0</v>
      </c>
      <c r="S90" s="28">
        <v>0</v>
      </c>
      <c r="T90" s="17">
        <v>0</v>
      </c>
      <c r="U90" s="28">
        <f t="shared" si="111"/>
        <v>0</v>
      </c>
      <c r="V90" s="28">
        <v>0</v>
      </c>
      <c r="W90" s="28">
        <v>0</v>
      </c>
      <c r="X90" s="28">
        <v>0</v>
      </c>
      <c r="Y90" s="17">
        <v>0</v>
      </c>
      <c r="Z90" s="28">
        <f t="shared" si="112"/>
        <v>0</v>
      </c>
      <c r="AA90" s="28">
        <v>0</v>
      </c>
      <c r="AB90" s="28">
        <v>0</v>
      </c>
      <c r="AC90" s="28">
        <v>0</v>
      </c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</row>
    <row r="91" spans="1:43" s="62" customFormat="1" ht="63.6" customHeight="1" x14ac:dyDescent="0.2">
      <c r="A91" s="172" t="s">
        <v>25</v>
      </c>
      <c r="B91" s="71" t="s">
        <v>941</v>
      </c>
      <c r="C91" s="12">
        <f t="shared" si="109"/>
        <v>1.59</v>
      </c>
      <c r="D91" s="75">
        <f t="shared" si="107"/>
        <v>37806.950000000004</v>
      </c>
      <c r="E91" s="14">
        <v>1.59</v>
      </c>
      <c r="F91" s="74">
        <f t="shared" si="113"/>
        <v>37806.950000000004</v>
      </c>
      <c r="G91" s="74">
        <v>0</v>
      </c>
      <c r="H91" s="67">
        <v>35992.22</v>
      </c>
      <c r="I91" s="67">
        <v>1814.73</v>
      </c>
      <c r="J91" s="12">
        <v>0</v>
      </c>
      <c r="K91" s="28">
        <f t="shared" si="108"/>
        <v>0</v>
      </c>
      <c r="L91" s="28">
        <v>0</v>
      </c>
      <c r="M91" s="28">
        <v>0</v>
      </c>
      <c r="N91" s="28">
        <v>0</v>
      </c>
      <c r="O91" s="17">
        <v>0</v>
      </c>
      <c r="P91" s="28">
        <f t="shared" si="110"/>
        <v>0</v>
      </c>
      <c r="Q91" s="28">
        <v>0</v>
      </c>
      <c r="R91" s="28">
        <v>0</v>
      </c>
      <c r="S91" s="28">
        <v>0</v>
      </c>
      <c r="T91" s="17">
        <v>0</v>
      </c>
      <c r="U91" s="28">
        <f t="shared" si="111"/>
        <v>0</v>
      </c>
      <c r="V91" s="28">
        <v>0</v>
      </c>
      <c r="W91" s="28">
        <v>0</v>
      </c>
      <c r="X91" s="28">
        <v>0</v>
      </c>
      <c r="Y91" s="17">
        <v>0</v>
      </c>
      <c r="Z91" s="28">
        <f t="shared" si="112"/>
        <v>0</v>
      </c>
      <c r="AA91" s="28">
        <v>0</v>
      </c>
      <c r="AB91" s="28">
        <v>0</v>
      </c>
      <c r="AC91" s="28">
        <v>0</v>
      </c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59"/>
      <c r="AO91" s="59"/>
      <c r="AP91" s="59"/>
      <c r="AQ91" s="59"/>
    </row>
    <row r="92" spans="1:43" s="62" customFormat="1" ht="40.15" customHeight="1" x14ac:dyDescent="0.2">
      <c r="A92" s="172" t="s">
        <v>26</v>
      </c>
      <c r="B92" s="71" t="s">
        <v>132</v>
      </c>
      <c r="C92" s="12">
        <f t="shared" si="109"/>
        <v>0.85</v>
      </c>
      <c r="D92" s="75">
        <f t="shared" si="107"/>
        <v>32157.45</v>
      </c>
      <c r="E92" s="14">
        <v>0.85</v>
      </c>
      <c r="F92" s="74">
        <f t="shared" si="113"/>
        <v>32157.45</v>
      </c>
      <c r="G92" s="74">
        <v>0</v>
      </c>
      <c r="H92" s="67">
        <v>30613.89</v>
      </c>
      <c r="I92" s="67">
        <v>1543.56</v>
      </c>
      <c r="J92" s="12">
        <v>0</v>
      </c>
      <c r="K92" s="28">
        <f t="shared" si="108"/>
        <v>0</v>
      </c>
      <c r="L92" s="28">
        <v>0</v>
      </c>
      <c r="M92" s="28">
        <v>0</v>
      </c>
      <c r="N92" s="28">
        <v>0</v>
      </c>
      <c r="O92" s="17">
        <v>0</v>
      </c>
      <c r="P92" s="28">
        <f t="shared" si="110"/>
        <v>0</v>
      </c>
      <c r="Q92" s="28">
        <v>0</v>
      </c>
      <c r="R92" s="28">
        <v>0</v>
      </c>
      <c r="S92" s="28">
        <v>0</v>
      </c>
      <c r="T92" s="17">
        <v>0</v>
      </c>
      <c r="U92" s="28">
        <f t="shared" si="111"/>
        <v>0</v>
      </c>
      <c r="V92" s="28">
        <v>0</v>
      </c>
      <c r="W92" s="28">
        <v>0</v>
      </c>
      <c r="X92" s="28">
        <v>0</v>
      </c>
      <c r="Y92" s="17">
        <v>0</v>
      </c>
      <c r="Z92" s="28">
        <f t="shared" si="112"/>
        <v>0</v>
      </c>
      <c r="AA92" s="28">
        <v>0</v>
      </c>
      <c r="AB92" s="28">
        <v>0</v>
      </c>
      <c r="AC92" s="28">
        <v>0</v>
      </c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</row>
    <row r="93" spans="1:43" s="62" customFormat="1" ht="42.6" customHeight="1" x14ac:dyDescent="0.2">
      <c r="A93" s="172" t="s">
        <v>27</v>
      </c>
      <c r="B93" s="71" t="s">
        <v>133</v>
      </c>
      <c r="C93" s="12">
        <f t="shared" si="109"/>
        <v>15.5</v>
      </c>
      <c r="D93" s="75">
        <f t="shared" si="107"/>
        <v>0</v>
      </c>
      <c r="E93" s="14">
        <v>15.5</v>
      </c>
      <c r="F93" s="74">
        <f t="shared" si="113"/>
        <v>0</v>
      </c>
      <c r="G93" s="74">
        <v>0</v>
      </c>
      <c r="H93" s="67">
        <v>0</v>
      </c>
      <c r="I93" s="67">
        <v>0</v>
      </c>
      <c r="J93" s="12">
        <v>0</v>
      </c>
      <c r="K93" s="28">
        <f t="shared" si="108"/>
        <v>0</v>
      </c>
      <c r="L93" s="28">
        <v>0</v>
      </c>
      <c r="M93" s="28">
        <v>0</v>
      </c>
      <c r="N93" s="28">
        <v>0</v>
      </c>
      <c r="O93" s="17">
        <v>0</v>
      </c>
      <c r="P93" s="28">
        <f t="shared" si="110"/>
        <v>0</v>
      </c>
      <c r="Q93" s="28">
        <v>0</v>
      </c>
      <c r="R93" s="28">
        <v>0</v>
      </c>
      <c r="S93" s="28">
        <v>0</v>
      </c>
      <c r="T93" s="17">
        <v>0</v>
      </c>
      <c r="U93" s="28">
        <f t="shared" si="111"/>
        <v>0</v>
      </c>
      <c r="V93" s="28">
        <v>0</v>
      </c>
      <c r="W93" s="28">
        <v>0</v>
      </c>
      <c r="X93" s="28">
        <v>0</v>
      </c>
      <c r="Y93" s="17">
        <v>0</v>
      </c>
      <c r="Z93" s="28">
        <f t="shared" si="112"/>
        <v>0</v>
      </c>
      <c r="AA93" s="28">
        <v>0</v>
      </c>
      <c r="AB93" s="28">
        <v>0</v>
      </c>
      <c r="AC93" s="28">
        <v>0</v>
      </c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</row>
    <row r="94" spans="1:43" s="62" customFormat="1" ht="28.9" customHeight="1" x14ac:dyDescent="0.2">
      <c r="A94" s="172" t="s">
        <v>28</v>
      </c>
      <c r="B94" s="71" t="s">
        <v>134</v>
      </c>
      <c r="C94" s="12">
        <f t="shared" si="109"/>
        <v>2.14</v>
      </c>
      <c r="D94" s="75">
        <f t="shared" si="107"/>
        <v>73321.16</v>
      </c>
      <c r="E94" s="14">
        <v>2.14</v>
      </c>
      <c r="F94" s="74">
        <f t="shared" si="113"/>
        <v>73321.16</v>
      </c>
      <c r="G94" s="74">
        <v>0</v>
      </c>
      <c r="H94" s="67">
        <v>69801.740000000005</v>
      </c>
      <c r="I94" s="67">
        <v>3519.42</v>
      </c>
      <c r="J94" s="12">
        <v>0</v>
      </c>
      <c r="K94" s="28">
        <f t="shared" si="108"/>
        <v>0</v>
      </c>
      <c r="L94" s="28">
        <v>0</v>
      </c>
      <c r="M94" s="28">
        <v>0</v>
      </c>
      <c r="N94" s="28">
        <v>0</v>
      </c>
      <c r="O94" s="17">
        <v>0</v>
      </c>
      <c r="P94" s="28">
        <f t="shared" si="110"/>
        <v>0</v>
      </c>
      <c r="Q94" s="28">
        <v>0</v>
      </c>
      <c r="R94" s="28">
        <v>0</v>
      </c>
      <c r="S94" s="28">
        <v>0</v>
      </c>
      <c r="T94" s="17">
        <v>0</v>
      </c>
      <c r="U94" s="28">
        <f t="shared" si="111"/>
        <v>0</v>
      </c>
      <c r="V94" s="28">
        <v>0</v>
      </c>
      <c r="W94" s="28">
        <v>0</v>
      </c>
      <c r="X94" s="28">
        <v>0</v>
      </c>
      <c r="Y94" s="17">
        <v>0</v>
      </c>
      <c r="Z94" s="28">
        <f t="shared" si="112"/>
        <v>0</v>
      </c>
      <c r="AA94" s="28">
        <v>0</v>
      </c>
      <c r="AB94" s="28">
        <v>0</v>
      </c>
      <c r="AC94" s="28">
        <v>0</v>
      </c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</row>
    <row r="95" spans="1:43" s="62" customFormat="1" ht="39.6" customHeight="1" x14ac:dyDescent="0.2">
      <c r="A95" s="172" t="s">
        <v>29</v>
      </c>
      <c r="B95" s="71" t="s">
        <v>139</v>
      </c>
      <c r="C95" s="12">
        <f t="shared" si="109"/>
        <v>131.96</v>
      </c>
      <c r="D95" s="75">
        <f t="shared" si="107"/>
        <v>127341</v>
      </c>
      <c r="E95" s="14">
        <v>0</v>
      </c>
      <c r="F95" s="74">
        <f t="shared" si="113"/>
        <v>0</v>
      </c>
      <c r="G95" s="74">
        <v>0</v>
      </c>
      <c r="H95" s="74">
        <v>0</v>
      </c>
      <c r="I95" s="74">
        <v>0</v>
      </c>
      <c r="J95" s="12">
        <v>131.96</v>
      </c>
      <c r="K95" s="28">
        <v>127341</v>
      </c>
      <c r="L95" s="28">
        <v>0</v>
      </c>
      <c r="M95" s="28">
        <f>K95*0.952</f>
        <v>121228.632</v>
      </c>
      <c r="N95" s="28">
        <f>K95*0.048</f>
        <v>6112.3680000000004</v>
      </c>
      <c r="O95" s="17">
        <v>0</v>
      </c>
      <c r="P95" s="28">
        <f t="shared" si="110"/>
        <v>0</v>
      </c>
      <c r="Q95" s="28">
        <v>0</v>
      </c>
      <c r="R95" s="28">
        <v>0</v>
      </c>
      <c r="S95" s="28">
        <v>0</v>
      </c>
      <c r="T95" s="17">
        <v>0</v>
      </c>
      <c r="U95" s="28">
        <f t="shared" si="111"/>
        <v>0</v>
      </c>
      <c r="V95" s="28">
        <v>0</v>
      </c>
      <c r="W95" s="28">
        <v>0</v>
      </c>
      <c r="X95" s="28">
        <v>0</v>
      </c>
      <c r="Y95" s="17">
        <v>0</v>
      </c>
      <c r="Z95" s="28">
        <f t="shared" si="112"/>
        <v>0</v>
      </c>
      <c r="AA95" s="28">
        <v>0</v>
      </c>
      <c r="AB95" s="28">
        <v>0</v>
      </c>
      <c r="AC95" s="28">
        <v>0</v>
      </c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</row>
    <row r="96" spans="1:43" s="62" customFormat="1" ht="41.45" customHeight="1" x14ac:dyDescent="0.2">
      <c r="A96" s="172" t="s">
        <v>30</v>
      </c>
      <c r="B96" s="71" t="s">
        <v>138</v>
      </c>
      <c r="C96" s="12">
        <f t="shared" si="109"/>
        <v>13.47</v>
      </c>
      <c r="D96" s="75">
        <f t="shared" si="107"/>
        <v>31074</v>
      </c>
      <c r="E96" s="14">
        <v>0</v>
      </c>
      <c r="F96" s="74">
        <f t="shared" si="113"/>
        <v>0</v>
      </c>
      <c r="G96" s="74">
        <v>0</v>
      </c>
      <c r="H96" s="192">
        <v>0</v>
      </c>
      <c r="I96" s="74">
        <v>0</v>
      </c>
      <c r="J96" s="12">
        <v>13.47</v>
      </c>
      <c r="K96" s="28">
        <v>31074</v>
      </c>
      <c r="L96" s="28">
        <v>0</v>
      </c>
      <c r="M96" s="28">
        <f>K96*0.952</f>
        <v>29582.448</v>
      </c>
      <c r="N96" s="28">
        <f>K96*0.048</f>
        <v>1491.5520000000001</v>
      </c>
      <c r="O96" s="17">
        <v>0</v>
      </c>
      <c r="P96" s="28">
        <f t="shared" si="110"/>
        <v>0</v>
      </c>
      <c r="Q96" s="28">
        <v>0</v>
      </c>
      <c r="R96" s="28">
        <v>0</v>
      </c>
      <c r="S96" s="28">
        <v>0</v>
      </c>
      <c r="T96" s="17">
        <v>0</v>
      </c>
      <c r="U96" s="28">
        <f t="shared" si="111"/>
        <v>0</v>
      </c>
      <c r="V96" s="28">
        <v>0</v>
      </c>
      <c r="W96" s="28">
        <v>0</v>
      </c>
      <c r="X96" s="28">
        <v>0</v>
      </c>
      <c r="Y96" s="17">
        <v>0</v>
      </c>
      <c r="Z96" s="28">
        <f t="shared" si="112"/>
        <v>0</v>
      </c>
      <c r="AA96" s="28">
        <v>0</v>
      </c>
      <c r="AB96" s="28">
        <v>0</v>
      </c>
      <c r="AC96" s="28">
        <v>0</v>
      </c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</row>
    <row r="97" spans="1:43" s="62" customFormat="1" ht="40.15" customHeight="1" x14ac:dyDescent="0.2">
      <c r="A97" s="172" t="s">
        <v>31</v>
      </c>
      <c r="B97" s="71" t="s">
        <v>140</v>
      </c>
      <c r="C97" s="12">
        <f t="shared" si="109"/>
        <v>92.14</v>
      </c>
      <c r="D97" s="75">
        <f t="shared" si="107"/>
        <v>221701</v>
      </c>
      <c r="E97" s="14">
        <v>0</v>
      </c>
      <c r="F97" s="74">
        <f t="shared" si="113"/>
        <v>0</v>
      </c>
      <c r="G97" s="74">
        <v>0</v>
      </c>
      <c r="H97" s="74">
        <v>0</v>
      </c>
      <c r="I97" s="74">
        <v>0</v>
      </c>
      <c r="J97" s="12">
        <v>92.14</v>
      </c>
      <c r="K97" s="28">
        <v>221701</v>
      </c>
      <c r="L97" s="28">
        <v>0</v>
      </c>
      <c r="M97" s="28">
        <f>K97*0.952</f>
        <v>211059.35199999998</v>
      </c>
      <c r="N97" s="28">
        <f>K97*0.048</f>
        <v>10641.648000000001</v>
      </c>
      <c r="O97" s="17">
        <v>0</v>
      </c>
      <c r="P97" s="28">
        <f t="shared" si="110"/>
        <v>0</v>
      </c>
      <c r="Q97" s="28">
        <v>0</v>
      </c>
      <c r="R97" s="28">
        <v>0</v>
      </c>
      <c r="S97" s="28">
        <v>0</v>
      </c>
      <c r="T97" s="17">
        <v>0</v>
      </c>
      <c r="U97" s="28">
        <f t="shared" si="111"/>
        <v>0</v>
      </c>
      <c r="V97" s="28">
        <v>0</v>
      </c>
      <c r="W97" s="28">
        <v>0</v>
      </c>
      <c r="X97" s="28">
        <v>0</v>
      </c>
      <c r="Y97" s="17">
        <v>0</v>
      </c>
      <c r="Z97" s="28">
        <f t="shared" si="112"/>
        <v>0</v>
      </c>
      <c r="AA97" s="28">
        <v>0</v>
      </c>
      <c r="AB97" s="28">
        <v>0</v>
      </c>
      <c r="AC97" s="28">
        <v>0</v>
      </c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</row>
    <row r="98" spans="1:43" s="62" customFormat="1" ht="40.9" customHeight="1" x14ac:dyDescent="0.2">
      <c r="A98" s="172" t="s">
        <v>32</v>
      </c>
      <c r="B98" s="71" t="s">
        <v>141</v>
      </c>
      <c r="C98" s="12">
        <f t="shared" si="109"/>
        <v>7.8</v>
      </c>
      <c r="D98" s="75">
        <f t="shared" si="107"/>
        <v>18907</v>
      </c>
      <c r="E98" s="14">
        <v>0</v>
      </c>
      <c r="F98" s="74">
        <f t="shared" si="113"/>
        <v>0</v>
      </c>
      <c r="G98" s="74">
        <v>0</v>
      </c>
      <c r="H98" s="74">
        <v>0</v>
      </c>
      <c r="I98" s="74">
        <v>0</v>
      </c>
      <c r="J98" s="12">
        <v>7.8</v>
      </c>
      <c r="K98" s="28">
        <v>18907</v>
      </c>
      <c r="L98" s="28">
        <v>0</v>
      </c>
      <c r="M98" s="28">
        <f>K98*0.952</f>
        <v>17999.464</v>
      </c>
      <c r="N98" s="28">
        <f>K98*0.048</f>
        <v>907.53600000000006</v>
      </c>
      <c r="O98" s="17">
        <v>0</v>
      </c>
      <c r="P98" s="28">
        <f t="shared" si="110"/>
        <v>0</v>
      </c>
      <c r="Q98" s="28">
        <v>0</v>
      </c>
      <c r="R98" s="28">
        <v>0</v>
      </c>
      <c r="S98" s="28">
        <v>0</v>
      </c>
      <c r="T98" s="17">
        <v>0</v>
      </c>
      <c r="U98" s="28">
        <f t="shared" si="111"/>
        <v>0</v>
      </c>
      <c r="V98" s="28">
        <v>0</v>
      </c>
      <c r="W98" s="28">
        <v>0</v>
      </c>
      <c r="X98" s="28">
        <v>0</v>
      </c>
      <c r="Y98" s="17">
        <v>0</v>
      </c>
      <c r="Z98" s="28">
        <f t="shared" si="112"/>
        <v>0</v>
      </c>
      <c r="AA98" s="28">
        <v>0</v>
      </c>
      <c r="AB98" s="28">
        <v>0</v>
      </c>
      <c r="AC98" s="28">
        <v>0</v>
      </c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</row>
    <row r="99" spans="1:43" s="62" customFormat="1" ht="34.15" customHeight="1" x14ac:dyDescent="0.2">
      <c r="A99" s="172" t="s">
        <v>33</v>
      </c>
      <c r="B99" s="71" t="s">
        <v>142</v>
      </c>
      <c r="C99" s="12">
        <f t="shared" si="109"/>
        <v>1.21</v>
      </c>
      <c r="D99" s="75">
        <f t="shared" si="107"/>
        <v>2933</v>
      </c>
      <c r="E99" s="14">
        <v>0</v>
      </c>
      <c r="F99" s="74">
        <f t="shared" si="113"/>
        <v>0</v>
      </c>
      <c r="G99" s="74">
        <v>0</v>
      </c>
      <c r="H99" s="74">
        <v>0</v>
      </c>
      <c r="I99" s="74">
        <v>0</v>
      </c>
      <c r="J99" s="12">
        <v>0</v>
      </c>
      <c r="K99" s="28">
        <f>SUM(L99:N99)</f>
        <v>0</v>
      </c>
      <c r="L99" s="28">
        <v>0</v>
      </c>
      <c r="M99" s="28">
        <v>0</v>
      </c>
      <c r="N99" s="28">
        <v>0</v>
      </c>
      <c r="O99" s="17">
        <v>1.21</v>
      </c>
      <c r="P99" s="28">
        <v>2933</v>
      </c>
      <c r="Q99" s="28">
        <v>0</v>
      </c>
      <c r="R99" s="28">
        <f>P99*0.952</f>
        <v>2792.2159999999999</v>
      </c>
      <c r="S99" s="28">
        <f>P99*0.048</f>
        <v>140.78399999999999</v>
      </c>
      <c r="T99" s="17">
        <v>0</v>
      </c>
      <c r="U99" s="28">
        <f t="shared" si="111"/>
        <v>0</v>
      </c>
      <c r="V99" s="28">
        <v>0</v>
      </c>
      <c r="W99" s="28">
        <v>0</v>
      </c>
      <c r="X99" s="28">
        <v>0</v>
      </c>
      <c r="Y99" s="17">
        <v>0</v>
      </c>
      <c r="Z99" s="28">
        <f t="shared" si="112"/>
        <v>0</v>
      </c>
      <c r="AA99" s="28">
        <v>0</v>
      </c>
      <c r="AB99" s="28">
        <v>0</v>
      </c>
      <c r="AC99" s="28">
        <v>0</v>
      </c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</row>
    <row r="100" spans="1:43" s="62" customFormat="1" ht="52.9" customHeight="1" x14ac:dyDescent="0.2">
      <c r="A100" s="172" t="s">
        <v>34</v>
      </c>
      <c r="B100" s="71" t="s">
        <v>143</v>
      </c>
      <c r="C100" s="12">
        <f t="shared" si="109"/>
        <v>1.2</v>
      </c>
      <c r="D100" s="75">
        <f t="shared" si="107"/>
        <v>2909</v>
      </c>
      <c r="E100" s="14">
        <v>0</v>
      </c>
      <c r="F100" s="74">
        <f t="shared" si="113"/>
        <v>0</v>
      </c>
      <c r="G100" s="74">
        <v>0</v>
      </c>
      <c r="H100" s="74">
        <v>0</v>
      </c>
      <c r="I100" s="74">
        <v>0</v>
      </c>
      <c r="J100" s="12">
        <v>1.2</v>
      </c>
      <c r="K100" s="28">
        <v>2909</v>
      </c>
      <c r="L100" s="28">
        <v>0</v>
      </c>
      <c r="M100" s="28">
        <f t="shared" ref="M100" si="114">K100*0.952</f>
        <v>2769.3679999999999</v>
      </c>
      <c r="N100" s="28">
        <f t="shared" ref="N100" si="115">K100*0.048</f>
        <v>139.63200000000001</v>
      </c>
      <c r="O100" s="17">
        <v>0</v>
      </c>
      <c r="P100" s="28">
        <f t="shared" si="110"/>
        <v>0</v>
      </c>
      <c r="Q100" s="28">
        <v>0</v>
      </c>
      <c r="R100" s="28">
        <v>0</v>
      </c>
      <c r="S100" s="28">
        <v>0</v>
      </c>
      <c r="T100" s="17">
        <v>0</v>
      </c>
      <c r="U100" s="28">
        <f t="shared" si="111"/>
        <v>0</v>
      </c>
      <c r="V100" s="28">
        <v>0</v>
      </c>
      <c r="W100" s="28">
        <v>0</v>
      </c>
      <c r="X100" s="28">
        <v>0</v>
      </c>
      <c r="Y100" s="17">
        <v>0</v>
      </c>
      <c r="Z100" s="28">
        <f t="shared" si="112"/>
        <v>0</v>
      </c>
      <c r="AA100" s="28">
        <v>0</v>
      </c>
      <c r="AB100" s="28">
        <v>0</v>
      </c>
      <c r="AC100" s="28">
        <v>0</v>
      </c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</row>
    <row r="101" spans="1:43" s="62" customFormat="1" ht="52.15" customHeight="1" x14ac:dyDescent="0.2">
      <c r="A101" s="172" t="s">
        <v>39</v>
      </c>
      <c r="B101" s="71" t="s">
        <v>144</v>
      </c>
      <c r="C101" s="12">
        <f t="shared" si="109"/>
        <v>2.8</v>
      </c>
      <c r="D101" s="75">
        <f t="shared" si="107"/>
        <v>6788</v>
      </c>
      <c r="E101" s="14">
        <v>0</v>
      </c>
      <c r="F101" s="74">
        <f t="shared" si="113"/>
        <v>0</v>
      </c>
      <c r="G101" s="74">
        <v>0</v>
      </c>
      <c r="H101" s="75">
        <v>0</v>
      </c>
      <c r="I101" s="74">
        <v>0</v>
      </c>
      <c r="J101" s="12">
        <v>2.8</v>
      </c>
      <c r="K101" s="28">
        <v>6788</v>
      </c>
      <c r="L101" s="28">
        <v>0</v>
      </c>
      <c r="M101" s="28">
        <v>6461.4</v>
      </c>
      <c r="N101" s="28">
        <f>K101*0.048</f>
        <v>325.82400000000001</v>
      </c>
      <c r="O101" s="17">
        <v>0</v>
      </c>
      <c r="P101" s="28">
        <v>0</v>
      </c>
      <c r="Q101" s="28">
        <v>0</v>
      </c>
      <c r="R101" s="28">
        <f>P101*0.952</f>
        <v>0</v>
      </c>
      <c r="S101" s="28">
        <f>P101*0.048</f>
        <v>0</v>
      </c>
      <c r="T101" s="17">
        <v>0</v>
      </c>
      <c r="U101" s="28">
        <f t="shared" si="111"/>
        <v>0</v>
      </c>
      <c r="V101" s="28">
        <v>0</v>
      </c>
      <c r="W101" s="28">
        <v>0</v>
      </c>
      <c r="X101" s="28">
        <v>0</v>
      </c>
      <c r="Y101" s="17">
        <v>0</v>
      </c>
      <c r="Z101" s="28">
        <f t="shared" si="112"/>
        <v>0</v>
      </c>
      <c r="AA101" s="28">
        <v>0</v>
      </c>
      <c r="AB101" s="28">
        <v>0</v>
      </c>
      <c r="AC101" s="28">
        <v>0</v>
      </c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</row>
    <row r="102" spans="1:43" s="62" customFormat="1" ht="35.450000000000003" customHeight="1" x14ac:dyDescent="0.2">
      <c r="A102" s="172" t="s">
        <v>35</v>
      </c>
      <c r="B102" s="71" t="s">
        <v>825</v>
      </c>
      <c r="C102" s="12">
        <f t="shared" si="109"/>
        <v>35.82</v>
      </c>
      <c r="D102" s="75">
        <f t="shared" si="107"/>
        <v>100801</v>
      </c>
      <c r="E102" s="14">
        <v>0</v>
      </c>
      <c r="F102" s="74">
        <f t="shared" si="113"/>
        <v>0</v>
      </c>
      <c r="G102" s="74">
        <v>0</v>
      </c>
      <c r="H102" s="75">
        <v>0</v>
      </c>
      <c r="I102" s="74">
        <v>0</v>
      </c>
      <c r="J102" s="12">
        <v>0</v>
      </c>
      <c r="K102" s="28">
        <f t="shared" si="108"/>
        <v>0</v>
      </c>
      <c r="L102" s="28">
        <v>0</v>
      </c>
      <c r="M102" s="28">
        <v>0</v>
      </c>
      <c r="N102" s="28">
        <v>0</v>
      </c>
      <c r="O102" s="17">
        <v>35.82</v>
      </c>
      <c r="P102" s="28">
        <f t="shared" si="110"/>
        <v>100801</v>
      </c>
      <c r="Q102" s="28">
        <v>0</v>
      </c>
      <c r="R102" s="28">
        <f>ROUND(100801.06*0.959,1)</f>
        <v>96668.2</v>
      </c>
      <c r="S102" s="28">
        <f>ROUND(100801.06*0.041,1)</f>
        <v>4132.8</v>
      </c>
      <c r="T102" s="17">
        <v>0</v>
      </c>
      <c r="U102" s="28">
        <f t="shared" si="111"/>
        <v>0</v>
      </c>
      <c r="V102" s="28">
        <v>0</v>
      </c>
      <c r="W102" s="28">
        <v>0</v>
      </c>
      <c r="X102" s="28">
        <v>0</v>
      </c>
      <c r="Y102" s="17">
        <v>0</v>
      </c>
      <c r="Z102" s="28">
        <f t="shared" si="112"/>
        <v>0</v>
      </c>
      <c r="AA102" s="28">
        <v>0</v>
      </c>
      <c r="AB102" s="28">
        <v>0</v>
      </c>
      <c r="AC102" s="28">
        <v>0</v>
      </c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59"/>
      <c r="AQ102" s="59"/>
    </row>
    <row r="103" spans="1:43" s="62" customFormat="1" ht="40.15" customHeight="1" x14ac:dyDescent="0.2">
      <c r="A103" s="172" t="s">
        <v>36</v>
      </c>
      <c r="B103" s="71" t="s">
        <v>942</v>
      </c>
      <c r="C103" s="12">
        <f t="shared" si="109"/>
        <v>6.37</v>
      </c>
      <c r="D103" s="75">
        <f t="shared" si="107"/>
        <v>17925.900000000001</v>
      </c>
      <c r="E103" s="14">
        <v>0</v>
      </c>
      <c r="F103" s="74">
        <f t="shared" si="113"/>
        <v>0</v>
      </c>
      <c r="G103" s="74">
        <v>0</v>
      </c>
      <c r="H103" s="75">
        <v>0</v>
      </c>
      <c r="I103" s="74">
        <v>0</v>
      </c>
      <c r="J103" s="12">
        <v>0</v>
      </c>
      <c r="K103" s="28">
        <f t="shared" si="108"/>
        <v>0</v>
      </c>
      <c r="L103" s="28">
        <v>0</v>
      </c>
      <c r="M103" s="28">
        <v>0</v>
      </c>
      <c r="N103" s="28">
        <v>0</v>
      </c>
      <c r="O103" s="17">
        <v>6.37</v>
      </c>
      <c r="P103" s="28">
        <f t="shared" si="110"/>
        <v>17925.900000000001</v>
      </c>
      <c r="Q103" s="28">
        <v>0</v>
      </c>
      <c r="R103" s="28">
        <f>ROUND(17925.82*0.959,1)</f>
        <v>17190.900000000001</v>
      </c>
      <c r="S103" s="28">
        <f>ROUND(17925.82*0.041,1)</f>
        <v>735</v>
      </c>
      <c r="T103" s="17">
        <v>0</v>
      </c>
      <c r="U103" s="28">
        <f t="shared" si="111"/>
        <v>0</v>
      </c>
      <c r="V103" s="28">
        <v>0</v>
      </c>
      <c r="W103" s="28">
        <v>0</v>
      </c>
      <c r="X103" s="28">
        <v>0</v>
      </c>
      <c r="Y103" s="17">
        <v>0</v>
      </c>
      <c r="Z103" s="28">
        <f t="shared" si="112"/>
        <v>0</v>
      </c>
      <c r="AA103" s="28">
        <v>0</v>
      </c>
      <c r="AB103" s="28">
        <v>0</v>
      </c>
      <c r="AC103" s="28">
        <v>0</v>
      </c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59"/>
      <c r="AQ103" s="59"/>
    </row>
    <row r="104" spans="1:43" s="8" customFormat="1" ht="50.45" customHeight="1" x14ac:dyDescent="0.2">
      <c r="A104" s="172" t="s">
        <v>37</v>
      </c>
      <c r="B104" s="71" t="s">
        <v>149</v>
      </c>
      <c r="C104" s="12">
        <f t="shared" si="109"/>
        <v>80.625</v>
      </c>
      <c r="D104" s="75">
        <f t="shared" si="107"/>
        <v>225942</v>
      </c>
      <c r="E104" s="14">
        <v>0</v>
      </c>
      <c r="F104" s="74">
        <f t="shared" si="113"/>
        <v>0</v>
      </c>
      <c r="G104" s="74">
        <v>0</v>
      </c>
      <c r="H104" s="75">
        <v>0</v>
      </c>
      <c r="I104" s="74">
        <v>0</v>
      </c>
      <c r="J104" s="12">
        <v>0</v>
      </c>
      <c r="K104" s="28">
        <f t="shared" si="108"/>
        <v>0</v>
      </c>
      <c r="L104" s="28">
        <v>0</v>
      </c>
      <c r="M104" s="28">
        <v>0</v>
      </c>
      <c r="N104" s="28">
        <v>0</v>
      </c>
      <c r="O104" s="17">
        <v>80.625</v>
      </c>
      <c r="P104" s="28">
        <f t="shared" si="110"/>
        <v>225942</v>
      </c>
      <c r="Q104" s="28">
        <v>0</v>
      </c>
      <c r="R104" s="28">
        <f>ROUND(225941.99*0.959,1)</f>
        <v>216678.39999999999</v>
      </c>
      <c r="S104" s="28">
        <f>ROUND(225941.99*0.041,1)</f>
        <v>9263.6</v>
      </c>
      <c r="T104" s="17">
        <v>0</v>
      </c>
      <c r="U104" s="28">
        <f t="shared" si="111"/>
        <v>0</v>
      </c>
      <c r="V104" s="28">
        <v>0</v>
      </c>
      <c r="W104" s="28">
        <v>0</v>
      </c>
      <c r="X104" s="28">
        <v>0</v>
      </c>
      <c r="Y104" s="17">
        <v>0</v>
      </c>
      <c r="Z104" s="28">
        <f t="shared" si="112"/>
        <v>0</v>
      </c>
      <c r="AA104" s="28">
        <v>0</v>
      </c>
      <c r="AB104" s="28">
        <v>0</v>
      </c>
      <c r="AC104" s="28">
        <v>0</v>
      </c>
      <c r="AD104" s="38"/>
      <c r="AE104" s="38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</row>
    <row r="105" spans="1:43" s="8" customFormat="1" ht="40.15" customHeight="1" x14ac:dyDescent="0.2">
      <c r="A105" s="172" t="s">
        <v>38</v>
      </c>
      <c r="B105" s="71" t="s">
        <v>150</v>
      </c>
      <c r="C105" s="12">
        <f t="shared" si="109"/>
        <v>6.22</v>
      </c>
      <c r="D105" s="75">
        <f t="shared" si="107"/>
        <v>17853.3</v>
      </c>
      <c r="E105" s="14">
        <v>0</v>
      </c>
      <c r="F105" s="74">
        <f t="shared" si="113"/>
        <v>0</v>
      </c>
      <c r="G105" s="74">
        <v>0</v>
      </c>
      <c r="H105" s="75">
        <v>0</v>
      </c>
      <c r="I105" s="74">
        <v>0</v>
      </c>
      <c r="J105" s="12">
        <v>0</v>
      </c>
      <c r="K105" s="28">
        <f t="shared" si="108"/>
        <v>0</v>
      </c>
      <c r="L105" s="28">
        <v>0</v>
      </c>
      <c r="M105" s="28">
        <v>0</v>
      </c>
      <c r="N105" s="28">
        <v>0</v>
      </c>
      <c r="O105" s="17">
        <v>6.22</v>
      </c>
      <c r="P105" s="28">
        <f t="shared" si="110"/>
        <v>17853.3</v>
      </c>
      <c r="Q105" s="28">
        <v>0</v>
      </c>
      <c r="R105" s="28">
        <f>ROUND(17853.29*0.959,1)</f>
        <v>17121.3</v>
      </c>
      <c r="S105" s="28">
        <f>ROUND(17853.29*0.041,1)</f>
        <v>732</v>
      </c>
      <c r="T105" s="17">
        <v>0</v>
      </c>
      <c r="U105" s="28">
        <f t="shared" si="111"/>
        <v>0</v>
      </c>
      <c r="V105" s="28">
        <v>0</v>
      </c>
      <c r="W105" s="28">
        <v>0</v>
      </c>
      <c r="X105" s="28">
        <v>0</v>
      </c>
      <c r="Y105" s="17">
        <v>0</v>
      </c>
      <c r="Z105" s="28">
        <f t="shared" si="112"/>
        <v>0</v>
      </c>
      <c r="AA105" s="28">
        <v>0</v>
      </c>
      <c r="AB105" s="28">
        <v>0</v>
      </c>
      <c r="AC105" s="28">
        <v>0</v>
      </c>
      <c r="AD105" s="38"/>
      <c r="AE105" s="38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</row>
    <row r="106" spans="1:43" s="8" customFormat="1" ht="37.9" customHeight="1" x14ac:dyDescent="0.2">
      <c r="A106" s="172" t="s">
        <v>40</v>
      </c>
      <c r="B106" s="71" t="s">
        <v>151</v>
      </c>
      <c r="C106" s="12">
        <f t="shared" si="109"/>
        <v>4.5</v>
      </c>
      <c r="D106" s="75">
        <f t="shared" si="107"/>
        <v>12663.400000000001</v>
      </c>
      <c r="E106" s="14">
        <v>0</v>
      </c>
      <c r="F106" s="74">
        <f t="shared" si="113"/>
        <v>0</v>
      </c>
      <c r="G106" s="74">
        <v>0</v>
      </c>
      <c r="H106" s="75">
        <v>0</v>
      </c>
      <c r="I106" s="74">
        <v>0</v>
      </c>
      <c r="J106" s="12">
        <v>0</v>
      </c>
      <c r="K106" s="28">
        <f t="shared" si="108"/>
        <v>0</v>
      </c>
      <c r="L106" s="28">
        <v>0</v>
      </c>
      <c r="M106" s="28">
        <v>0</v>
      </c>
      <c r="N106" s="28">
        <v>0</v>
      </c>
      <c r="O106" s="17">
        <v>4.5</v>
      </c>
      <c r="P106" s="28">
        <f t="shared" si="110"/>
        <v>12663.400000000001</v>
      </c>
      <c r="Q106" s="28">
        <v>0</v>
      </c>
      <c r="R106" s="28">
        <f>ROUND(12663.45*0.959,1)</f>
        <v>12144.2</v>
      </c>
      <c r="S106" s="28">
        <f>ROUND(12663.45*0.041,1)</f>
        <v>519.20000000000005</v>
      </c>
      <c r="T106" s="17">
        <v>0</v>
      </c>
      <c r="U106" s="28">
        <f t="shared" si="111"/>
        <v>0</v>
      </c>
      <c r="V106" s="28">
        <v>0</v>
      </c>
      <c r="W106" s="28">
        <v>0</v>
      </c>
      <c r="X106" s="28">
        <v>0</v>
      </c>
      <c r="Y106" s="17">
        <v>0</v>
      </c>
      <c r="Z106" s="28">
        <f t="shared" si="112"/>
        <v>0</v>
      </c>
      <c r="AA106" s="28">
        <v>0</v>
      </c>
      <c r="AB106" s="28">
        <v>0</v>
      </c>
      <c r="AC106" s="28">
        <v>0</v>
      </c>
      <c r="AD106" s="38"/>
      <c r="AE106" s="38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</row>
    <row r="107" spans="1:43" s="8" customFormat="1" ht="51.6" customHeight="1" x14ac:dyDescent="0.2">
      <c r="A107" s="172" t="s">
        <v>41</v>
      </c>
      <c r="B107" s="71" t="s">
        <v>152</v>
      </c>
      <c r="C107" s="12">
        <f t="shared" si="109"/>
        <v>2.4</v>
      </c>
      <c r="D107" s="75">
        <f t="shared" si="107"/>
        <v>6753.7999999999993</v>
      </c>
      <c r="E107" s="14">
        <v>0</v>
      </c>
      <c r="F107" s="74">
        <f t="shared" si="113"/>
        <v>0</v>
      </c>
      <c r="G107" s="74">
        <v>0</v>
      </c>
      <c r="H107" s="75">
        <v>0</v>
      </c>
      <c r="I107" s="74">
        <v>0</v>
      </c>
      <c r="J107" s="12">
        <v>0</v>
      </c>
      <c r="K107" s="28">
        <f t="shared" si="108"/>
        <v>0</v>
      </c>
      <c r="L107" s="28">
        <v>0</v>
      </c>
      <c r="M107" s="28">
        <v>0</v>
      </c>
      <c r="N107" s="28">
        <v>0</v>
      </c>
      <c r="O107" s="17">
        <v>2.4</v>
      </c>
      <c r="P107" s="28">
        <f t="shared" si="110"/>
        <v>6753.7999999999993</v>
      </c>
      <c r="Q107" s="28">
        <v>0</v>
      </c>
      <c r="R107" s="28">
        <f>ROUND(6753.84*0.959,1)</f>
        <v>6476.9</v>
      </c>
      <c r="S107" s="28">
        <f>ROUND(6753.84*0.041,1)</f>
        <v>276.89999999999998</v>
      </c>
      <c r="T107" s="17">
        <v>0</v>
      </c>
      <c r="U107" s="28">
        <f t="shared" si="111"/>
        <v>0</v>
      </c>
      <c r="V107" s="28">
        <v>0</v>
      </c>
      <c r="W107" s="28">
        <v>0</v>
      </c>
      <c r="X107" s="28">
        <v>0</v>
      </c>
      <c r="Y107" s="17">
        <v>0</v>
      </c>
      <c r="Z107" s="28">
        <f t="shared" si="112"/>
        <v>0</v>
      </c>
      <c r="AA107" s="28">
        <v>0</v>
      </c>
      <c r="AB107" s="28">
        <v>0</v>
      </c>
      <c r="AC107" s="28">
        <v>0</v>
      </c>
      <c r="AD107" s="38"/>
      <c r="AE107" s="38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</row>
    <row r="108" spans="1:43" s="8" customFormat="1" ht="52.15" customHeight="1" x14ac:dyDescent="0.2">
      <c r="A108" s="172" t="s">
        <v>42</v>
      </c>
      <c r="B108" s="71" t="s">
        <v>943</v>
      </c>
      <c r="C108" s="12">
        <f t="shared" si="109"/>
        <v>1.8</v>
      </c>
      <c r="D108" s="75">
        <f t="shared" si="107"/>
        <v>5065.3999999999996</v>
      </c>
      <c r="E108" s="14">
        <v>0</v>
      </c>
      <c r="F108" s="74">
        <f t="shared" si="113"/>
        <v>0</v>
      </c>
      <c r="G108" s="74">
        <v>0</v>
      </c>
      <c r="H108" s="75">
        <v>0</v>
      </c>
      <c r="I108" s="74">
        <v>0</v>
      </c>
      <c r="J108" s="12">
        <v>0</v>
      </c>
      <c r="K108" s="28">
        <f t="shared" si="108"/>
        <v>0</v>
      </c>
      <c r="L108" s="28">
        <v>0</v>
      </c>
      <c r="M108" s="28">
        <v>0</v>
      </c>
      <c r="N108" s="28">
        <v>0</v>
      </c>
      <c r="O108" s="17">
        <v>1.8</v>
      </c>
      <c r="P108" s="28">
        <f t="shared" si="110"/>
        <v>5065.3999999999996</v>
      </c>
      <c r="Q108" s="28">
        <v>0</v>
      </c>
      <c r="R108" s="28">
        <f>ROUND(5065.38*0.959,1)</f>
        <v>4857.7</v>
      </c>
      <c r="S108" s="28">
        <f>ROUND(5065.38*0.041,1)</f>
        <v>207.7</v>
      </c>
      <c r="T108" s="17">
        <v>0</v>
      </c>
      <c r="U108" s="28">
        <f t="shared" si="111"/>
        <v>0</v>
      </c>
      <c r="V108" s="28">
        <v>0</v>
      </c>
      <c r="W108" s="28">
        <v>0</v>
      </c>
      <c r="X108" s="28">
        <v>0</v>
      </c>
      <c r="Y108" s="17">
        <v>0</v>
      </c>
      <c r="Z108" s="28">
        <f t="shared" si="112"/>
        <v>0</v>
      </c>
      <c r="AA108" s="28">
        <v>0</v>
      </c>
      <c r="AB108" s="28">
        <v>0</v>
      </c>
      <c r="AC108" s="28">
        <v>0</v>
      </c>
      <c r="AD108" s="38"/>
      <c r="AE108" s="38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</row>
    <row r="109" spans="1:43" s="8" customFormat="1" ht="38.450000000000003" customHeight="1" x14ac:dyDescent="0.2">
      <c r="A109" s="172" t="s">
        <v>43</v>
      </c>
      <c r="B109" s="71" t="s">
        <v>153</v>
      </c>
      <c r="C109" s="12">
        <f t="shared" si="109"/>
        <v>1.8</v>
      </c>
      <c r="D109" s="75">
        <f t="shared" si="107"/>
        <v>5065</v>
      </c>
      <c r="E109" s="14">
        <v>0</v>
      </c>
      <c r="F109" s="74">
        <f t="shared" si="113"/>
        <v>0</v>
      </c>
      <c r="G109" s="74">
        <v>0</v>
      </c>
      <c r="H109" s="75">
        <v>0</v>
      </c>
      <c r="I109" s="74">
        <v>0</v>
      </c>
      <c r="J109" s="12">
        <v>0</v>
      </c>
      <c r="K109" s="28">
        <f t="shared" si="108"/>
        <v>0</v>
      </c>
      <c r="L109" s="28">
        <v>0</v>
      </c>
      <c r="M109" s="28">
        <v>0</v>
      </c>
      <c r="N109" s="28">
        <v>0</v>
      </c>
      <c r="O109" s="17">
        <v>1.8</v>
      </c>
      <c r="P109" s="28">
        <f t="shared" si="110"/>
        <v>5065</v>
      </c>
      <c r="Q109" s="28">
        <v>0</v>
      </c>
      <c r="R109" s="28">
        <f>ROUND(5065*0.959,1)</f>
        <v>4857.3</v>
      </c>
      <c r="S109" s="28">
        <f>ROUND(5065*0.041,1)</f>
        <v>207.7</v>
      </c>
      <c r="T109" s="17">
        <v>0</v>
      </c>
      <c r="U109" s="28">
        <f t="shared" si="111"/>
        <v>0</v>
      </c>
      <c r="V109" s="28">
        <v>0</v>
      </c>
      <c r="W109" s="28">
        <v>0</v>
      </c>
      <c r="X109" s="28">
        <v>0</v>
      </c>
      <c r="Y109" s="17">
        <v>0</v>
      </c>
      <c r="Z109" s="28">
        <f t="shared" si="112"/>
        <v>0</v>
      </c>
      <c r="AA109" s="28">
        <v>0</v>
      </c>
      <c r="AB109" s="28">
        <v>0</v>
      </c>
      <c r="AC109" s="28">
        <v>0</v>
      </c>
      <c r="AD109" s="38"/>
      <c r="AE109" s="38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</row>
    <row r="110" spans="1:43" s="8" customFormat="1" ht="43.15" customHeight="1" x14ac:dyDescent="0.2">
      <c r="A110" s="173" t="s">
        <v>44</v>
      </c>
      <c r="B110" s="174" t="s">
        <v>154</v>
      </c>
      <c r="C110" s="12">
        <f t="shared" si="109"/>
        <v>1</v>
      </c>
      <c r="D110" s="75">
        <f t="shared" si="107"/>
        <v>2814.1</v>
      </c>
      <c r="E110" s="14">
        <v>0</v>
      </c>
      <c r="F110" s="74">
        <f t="shared" si="113"/>
        <v>0</v>
      </c>
      <c r="G110" s="74">
        <v>0</v>
      </c>
      <c r="H110" s="75">
        <v>0</v>
      </c>
      <c r="I110" s="74">
        <v>0</v>
      </c>
      <c r="J110" s="12">
        <v>0</v>
      </c>
      <c r="K110" s="28">
        <f t="shared" si="108"/>
        <v>0</v>
      </c>
      <c r="L110" s="28">
        <v>0</v>
      </c>
      <c r="M110" s="28">
        <v>0</v>
      </c>
      <c r="N110" s="28">
        <v>0</v>
      </c>
      <c r="O110" s="17">
        <v>1</v>
      </c>
      <c r="P110" s="28">
        <f t="shared" si="110"/>
        <v>2814.1</v>
      </c>
      <c r="Q110" s="28">
        <v>0</v>
      </c>
      <c r="R110" s="28">
        <f>ROUND(2814.1*0.959,1)</f>
        <v>2698.7</v>
      </c>
      <c r="S110" s="28">
        <f>ROUND(2814.1*0.041,1)</f>
        <v>115.4</v>
      </c>
      <c r="T110" s="17">
        <v>0</v>
      </c>
      <c r="U110" s="28">
        <f t="shared" si="111"/>
        <v>0</v>
      </c>
      <c r="V110" s="28">
        <v>0</v>
      </c>
      <c r="W110" s="28">
        <v>0</v>
      </c>
      <c r="X110" s="28">
        <v>0</v>
      </c>
      <c r="Y110" s="17">
        <v>0</v>
      </c>
      <c r="Z110" s="28">
        <f t="shared" si="112"/>
        <v>0</v>
      </c>
      <c r="AA110" s="28">
        <v>0</v>
      </c>
      <c r="AB110" s="28">
        <v>0</v>
      </c>
      <c r="AC110" s="28">
        <v>0</v>
      </c>
      <c r="AD110" s="38"/>
      <c r="AE110" s="38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</row>
    <row r="111" spans="1:43" s="8" customFormat="1" ht="41.45" customHeight="1" x14ac:dyDescent="0.2">
      <c r="A111" s="172" t="s">
        <v>45</v>
      </c>
      <c r="B111" s="71" t="s">
        <v>944</v>
      </c>
      <c r="C111" s="12">
        <f t="shared" si="109"/>
        <v>1.2</v>
      </c>
      <c r="D111" s="75">
        <f t="shared" si="107"/>
        <v>3377</v>
      </c>
      <c r="E111" s="14">
        <v>0</v>
      </c>
      <c r="F111" s="74">
        <f t="shared" si="113"/>
        <v>0</v>
      </c>
      <c r="G111" s="74">
        <v>0</v>
      </c>
      <c r="H111" s="75">
        <v>0</v>
      </c>
      <c r="I111" s="74">
        <v>0</v>
      </c>
      <c r="J111" s="12">
        <v>0</v>
      </c>
      <c r="K111" s="28">
        <f t="shared" si="108"/>
        <v>0</v>
      </c>
      <c r="L111" s="28">
        <v>0</v>
      </c>
      <c r="M111" s="28">
        <v>0</v>
      </c>
      <c r="N111" s="28">
        <v>0</v>
      </c>
      <c r="O111" s="17">
        <v>1.2</v>
      </c>
      <c r="P111" s="28">
        <f t="shared" si="110"/>
        <v>3377</v>
      </c>
      <c r="Q111" s="28">
        <v>0</v>
      </c>
      <c r="R111" s="28">
        <f>ROUND(3376.92*0.959,1)</f>
        <v>3238.5</v>
      </c>
      <c r="S111" s="28">
        <f>ROUND(3376.92*0.041,1)</f>
        <v>138.5</v>
      </c>
      <c r="T111" s="17">
        <v>0</v>
      </c>
      <c r="U111" s="28">
        <f t="shared" si="111"/>
        <v>0</v>
      </c>
      <c r="V111" s="28">
        <v>0</v>
      </c>
      <c r="W111" s="28">
        <v>0</v>
      </c>
      <c r="X111" s="28">
        <v>0</v>
      </c>
      <c r="Y111" s="17">
        <v>0</v>
      </c>
      <c r="Z111" s="28">
        <f t="shared" si="112"/>
        <v>0</v>
      </c>
      <c r="AA111" s="28">
        <v>0</v>
      </c>
      <c r="AB111" s="28">
        <v>0</v>
      </c>
      <c r="AC111" s="28">
        <v>0</v>
      </c>
      <c r="AD111" s="38"/>
      <c r="AE111" s="38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</row>
    <row r="112" spans="1:43" s="8" customFormat="1" ht="40.15" customHeight="1" x14ac:dyDescent="0.2">
      <c r="A112" s="172" t="s">
        <v>46</v>
      </c>
      <c r="B112" s="71" t="s">
        <v>155</v>
      </c>
      <c r="C112" s="12">
        <f t="shared" si="109"/>
        <v>24.79</v>
      </c>
      <c r="D112" s="75">
        <f t="shared" si="107"/>
        <v>69767.199999999997</v>
      </c>
      <c r="E112" s="14">
        <v>0</v>
      </c>
      <c r="F112" s="74">
        <f t="shared" si="113"/>
        <v>0</v>
      </c>
      <c r="G112" s="74">
        <v>0</v>
      </c>
      <c r="H112" s="75">
        <v>0</v>
      </c>
      <c r="I112" s="74">
        <v>0</v>
      </c>
      <c r="J112" s="12">
        <v>0</v>
      </c>
      <c r="K112" s="28">
        <f t="shared" si="108"/>
        <v>0</v>
      </c>
      <c r="L112" s="28">
        <v>0</v>
      </c>
      <c r="M112" s="28">
        <v>0</v>
      </c>
      <c r="N112" s="28">
        <v>0</v>
      </c>
      <c r="O112" s="17">
        <v>24.79</v>
      </c>
      <c r="P112" s="28">
        <f t="shared" si="110"/>
        <v>69767.199999999997</v>
      </c>
      <c r="Q112" s="28">
        <v>0</v>
      </c>
      <c r="R112" s="28">
        <f>ROUND(69767.17*0.959,1)</f>
        <v>66906.7</v>
      </c>
      <c r="S112" s="28">
        <f>ROUND(69767.17*0.041,1)</f>
        <v>2860.5</v>
      </c>
      <c r="T112" s="17">
        <v>0</v>
      </c>
      <c r="U112" s="28">
        <f t="shared" si="111"/>
        <v>0</v>
      </c>
      <c r="V112" s="28">
        <v>0</v>
      </c>
      <c r="W112" s="28">
        <v>0</v>
      </c>
      <c r="X112" s="28">
        <v>0</v>
      </c>
      <c r="Y112" s="17">
        <v>0</v>
      </c>
      <c r="Z112" s="28">
        <f t="shared" si="112"/>
        <v>0</v>
      </c>
      <c r="AA112" s="28">
        <v>0</v>
      </c>
      <c r="AB112" s="28">
        <v>0</v>
      </c>
      <c r="AC112" s="28">
        <v>0</v>
      </c>
      <c r="AD112" s="38"/>
      <c r="AE112" s="38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</row>
    <row r="113" spans="1:43" s="8" customFormat="1" ht="39" customHeight="1" x14ac:dyDescent="0.2">
      <c r="A113" s="172" t="s">
        <v>47</v>
      </c>
      <c r="B113" s="71" t="s">
        <v>156</v>
      </c>
      <c r="C113" s="12">
        <f t="shared" si="109"/>
        <v>87.6</v>
      </c>
      <c r="D113" s="75">
        <f t="shared" si="107"/>
        <v>378119.2</v>
      </c>
      <c r="E113" s="14">
        <v>0</v>
      </c>
      <c r="F113" s="74">
        <f t="shared" si="113"/>
        <v>0</v>
      </c>
      <c r="G113" s="74">
        <v>0</v>
      </c>
      <c r="H113" s="75">
        <v>0</v>
      </c>
      <c r="I113" s="74">
        <v>0</v>
      </c>
      <c r="J113" s="12">
        <v>0</v>
      </c>
      <c r="K113" s="28">
        <f t="shared" si="108"/>
        <v>0</v>
      </c>
      <c r="L113" s="28">
        <v>0</v>
      </c>
      <c r="M113" s="28">
        <v>0</v>
      </c>
      <c r="N113" s="28">
        <v>0</v>
      </c>
      <c r="O113" s="17">
        <v>0</v>
      </c>
      <c r="P113" s="28">
        <f t="shared" si="110"/>
        <v>0</v>
      </c>
      <c r="Q113" s="28">
        <v>0</v>
      </c>
      <c r="R113" s="28">
        <v>0</v>
      </c>
      <c r="S113" s="28">
        <v>0</v>
      </c>
      <c r="T113" s="17">
        <v>87.6</v>
      </c>
      <c r="U113" s="28">
        <f t="shared" si="111"/>
        <v>378119.2</v>
      </c>
      <c r="V113" s="28">
        <v>0</v>
      </c>
      <c r="W113" s="28">
        <f>ROUND(378119.2*0.959,1)</f>
        <v>362616.3</v>
      </c>
      <c r="X113" s="28">
        <f>ROUND(378119.2*0.041,1)</f>
        <v>15502.9</v>
      </c>
      <c r="Y113" s="17">
        <v>0</v>
      </c>
      <c r="Z113" s="28">
        <f t="shared" si="112"/>
        <v>0</v>
      </c>
      <c r="AA113" s="28">
        <v>0</v>
      </c>
      <c r="AB113" s="28">
        <v>0</v>
      </c>
      <c r="AC113" s="28">
        <v>0</v>
      </c>
      <c r="AD113" s="38"/>
      <c r="AE113" s="38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</row>
    <row r="114" spans="1:43" s="8" customFormat="1" ht="33" customHeight="1" x14ac:dyDescent="0.2">
      <c r="A114" s="21" t="s">
        <v>48</v>
      </c>
      <c r="B114" s="71" t="s">
        <v>157</v>
      </c>
      <c r="C114" s="12">
        <f t="shared" si="109"/>
        <v>0.93</v>
      </c>
      <c r="D114" s="75">
        <f t="shared" si="107"/>
        <v>4035.8</v>
      </c>
      <c r="E114" s="14">
        <v>0</v>
      </c>
      <c r="F114" s="74">
        <f t="shared" si="113"/>
        <v>0</v>
      </c>
      <c r="G114" s="74">
        <v>0</v>
      </c>
      <c r="H114" s="75">
        <v>0</v>
      </c>
      <c r="I114" s="74">
        <v>0</v>
      </c>
      <c r="J114" s="12">
        <v>0</v>
      </c>
      <c r="K114" s="28">
        <f t="shared" si="108"/>
        <v>0</v>
      </c>
      <c r="L114" s="28">
        <v>0</v>
      </c>
      <c r="M114" s="28">
        <v>0</v>
      </c>
      <c r="N114" s="28">
        <v>0</v>
      </c>
      <c r="O114" s="17">
        <v>0</v>
      </c>
      <c r="P114" s="28">
        <f t="shared" si="110"/>
        <v>0</v>
      </c>
      <c r="Q114" s="28">
        <v>0</v>
      </c>
      <c r="R114" s="28">
        <v>0</v>
      </c>
      <c r="S114" s="28">
        <v>0</v>
      </c>
      <c r="T114" s="17">
        <v>0.93</v>
      </c>
      <c r="U114" s="28">
        <f t="shared" si="111"/>
        <v>4035.8</v>
      </c>
      <c r="V114" s="28">
        <v>0</v>
      </c>
      <c r="W114" s="28">
        <f>ROUND(4035.74*0.959,1)</f>
        <v>3870.3</v>
      </c>
      <c r="X114" s="28">
        <f>ROUND(4035.74*0.041,1)</f>
        <v>165.5</v>
      </c>
      <c r="Y114" s="17">
        <v>0</v>
      </c>
      <c r="Z114" s="28">
        <f t="shared" si="112"/>
        <v>0</v>
      </c>
      <c r="AA114" s="28">
        <v>0</v>
      </c>
      <c r="AB114" s="28">
        <v>0</v>
      </c>
      <c r="AC114" s="28">
        <v>0</v>
      </c>
      <c r="AD114" s="38"/>
      <c r="AE114" s="38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</row>
    <row r="115" spans="1:43" s="8" customFormat="1" ht="47.45" customHeight="1" x14ac:dyDescent="0.2">
      <c r="A115" s="21" t="s">
        <v>49</v>
      </c>
      <c r="B115" s="71" t="s">
        <v>158</v>
      </c>
      <c r="C115" s="12">
        <f t="shared" si="109"/>
        <v>0.75</v>
      </c>
      <c r="D115" s="75">
        <f t="shared" si="107"/>
        <v>3254.6</v>
      </c>
      <c r="E115" s="14">
        <v>0</v>
      </c>
      <c r="F115" s="74">
        <f t="shared" si="113"/>
        <v>0</v>
      </c>
      <c r="G115" s="74">
        <v>0</v>
      </c>
      <c r="H115" s="75">
        <v>0</v>
      </c>
      <c r="I115" s="74">
        <v>0</v>
      </c>
      <c r="J115" s="12">
        <v>0</v>
      </c>
      <c r="K115" s="28">
        <f t="shared" si="108"/>
        <v>0</v>
      </c>
      <c r="L115" s="28">
        <v>0</v>
      </c>
      <c r="M115" s="28">
        <v>0</v>
      </c>
      <c r="N115" s="28">
        <v>0</v>
      </c>
      <c r="O115" s="17">
        <v>0</v>
      </c>
      <c r="P115" s="28">
        <f t="shared" si="110"/>
        <v>0</v>
      </c>
      <c r="Q115" s="28">
        <v>0</v>
      </c>
      <c r="R115" s="28">
        <v>0</v>
      </c>
      <c r="S115" s="28">
        <v>0</v>
      </c>
      <c r="T115" s="17">
        <v>0.75</v>
      </c>
      <c r="U115" s="28">
        <f t="shared" si="111"/>
        <v>3254.6</v>
      </c>
      <c r="V115" s="28">
        <v>0</v>
      </c>
      <c r="W115" s="28">
        <f>ROUND(3254.63*0.959,1)</f>
        <v>3121.2</v>
      </c>
      <c r="X115" s="28">
        <f>ROUND(3254.63*0.041,1)</f>
        <v>133.4</v>
      </c>
      <c r="Y115" s="17">
        <v>0</v>
      </c>
      <c r="Z115" s="28">
        <f t="shared" si="112"/>
        <v>0</v>
      </c>
      <c r="AA115" s="28">
        <v>0</v>
      </c>
      <c r="AB115" s="28">
        <v>0</v>
      </c>
      <c r="AC115" s="28">
        <v>0</v>
      </c>
      <c r="AD115" s="38"/>
      <c r="AE115" s="38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</row>
    <row r="116" spans="1:43" s="5" customFormat="1" ht="32.450000000000003" customHeight="1" x14ac:dyDescent="0.2">
      <c r="A116" s="21" t="s">
        <v>50</v>
      </c>
      <c r="B116" s="71" t="s">
        <v>159</v>
      </c>
      <c r="C116" s="12">
        <f t="shared" si="109"/>
        <v>3.04</v>
      </c>
      <c r="D116" s="75">
        <f t="shared" si="107"/>
        <v>13192.1</v>
      </c>
      <c r="E116" s="14">
        <v>0</v>
      </c>
      <c r="F116" s="74">
        <f t="shared" si="113"/>
        <v>0</v>
      </c>
      <c r="G116" s="74">
        <v>0</v>
      </c>
      <c r="H116" s="75">
        <v>0</v>
      </c>
      <c r="I116" s="74">
        <v>0</v>
      </c>
      <c r="J116" s="12">
        <v>0</v>
      </c>
      <c r="K116" s="28">
        <f t="shared" si="108"/>
        <v>0</v>
      </c>
      <c r="L116" s="28">
        <v>0</v>
      </c>
      <c r="M116" s="28">
        <v>0</v>
      </c>
      <c r="N116" s="28">
        <v>0</v>
      </c>
      <c r="O116" s="17">
        <v>0</v>
      </c>
      <c r="P116" s="28">
        <f t="shared" si="110"/>
        <v>0</v>
      </c>
      <c r="Q116" s="28">
        <v>0</v>
      </c>
      <c r="R116" s="28">
        <v>0</v>
      </c>
      <c r="S116" s="28">
        <v>0</v>
      </c>
      <c r="T116" s="17">
        <v>3.04</v>
      </c>
      <c r="U116" s="28">
        <f t="shared" si="111"/>
        <v>13192.1</v>
      </c>
      <c r="V116" s="28">
        <v>0</v>
      </c>
      <c r="W116" s="28">
        <f>ROUND(13192.11*0.959,1)</f>
        <v>12651.2</v>
      </c>
      <c r="X116" s="28">
        <f>ROUND(13192.11*0.041,1)</f>
        <v>540.9</v>
      </c>
      <c r="Y116" s="17">
        <v>0</v>
      </c>
      <c r="Z116" s="28">
        <f t="shared" si="112"/>
        <v>0</v>
      </c>
      <c r="AA116" s="28">
        <v>0</v>
      </c>
      <c r="AB116" s="28">
        <v>0</v>
      </c>
      <c r="AC116" s="28">
        <v>0</v>
      </c>
      <c r="AD116" s="42"/>
      <c r="AE116" s="38"/>
    </row>
    <row r="117" spans="1:43" s="5" customFormat="1" ht="27" customHeight="1" x14ac:dyDescent="0.2">
      <c r="A117" s="21" t="s">
        <v>107</v>
      </c>
      <c r="B117" s="71" t="s">
        <v>160</v>
      </c>
      <c r="C117" s="12">
        <f t="shared" si="109"/>
        <v>11</v>
      </c>
      <c r="D117" s="75">
        <f t="shared" si="107"/>
        <v>48092.100000000006</v>
      </c>
      <c r="E117" s="14">
        <v>0</v>
      </c>
      <c r="F117" s="74">
        <f t="shared" si="113"/>
        <v>0</v>
      </c>
      <c r="G117" s="74">
        <v>0</v>
      </c>
      <c r="H117" s="75">
        <v>0</v>
      </c>
      <c r="I117" s="74">
        <v>0</v>
      </c>
      <c r="J117" s="12">
        <v>0</v>
      </c>
      <c r="K117" s="28">
        <f t="shared" si="108"/>
        <v>0</v>
      </c>
      <c r="L117" s="28">
        <v>0</v>
      </c>
      <c r="M117" s="28">
        <v>0</v>
      </c>
      <c r="N117" s="28">
        <v>0</v>
      </c>
      <c r="O117" s="17">
        <v>0</v>
      </c>
      <c r="P117" s="28">
        <f t="shared" si="110"/>
        <v>0</v>
      </c>
      <c r="Q117" s="28">
        <v>0</v>
      </c>
      <c r="R117" s="28">
        <v>0</v>
      </c>
      <c r="S117" s="28">
        <v>0</v>
      </c>
      <c r="T117" s="17">
        <v>11</v>
      </c>
      <c r="U117" s="28">
        <f t="shared" si="111"/>
        <v>48092.100000000006</v>
      </c>
      <c r="V117" s="28">
        <v>0</v>
      </c>
      <c r="W117" s="28">
        <f>ROUND(48092.06*0.959,1)</f>
        <v>46120.3</v>
      </c>
      <c r="X117" s="28">
        <f>ROUND(48092.06*0.041,1)</f>
        <v>1971.8</v>
      </c>
      <c r="Y117" s="17">
        <v>0</v>
      </c>
      <c r="Z117" s="28">
        <f t="shared" si="112"/>
        <v>0</v>
      </c>
      <c r="AA117" s="28">
        <v>0</v>
      </c>
      <c r="AB117" s="28">
        <v>0</v>
      </c>
      <c r="AC117" s="28">
        <v>0</v>
      </c>
      <c r="AD117" s="7"/>
    </row>
    <row r="118" spans="1:43" s="7" customFormat="1" ht="34.15" customHeight="1" x14ac:dyDescent="0.2">
      <c r="A118" s="21" t="s">
        <v>51</v>
      </c>
      <c r="B118" s="71" t="s">
        <v>161</v>
      </c>
      <c r="C118" s="12">
        <f t="shared" si="109"/>
        <v>2.75</v>
      </c>
      <c r="D118" s="75">
        <f t="shared" si="107"/>
        <v>11933.699999999999</v>
      </c>
      <c r="E118" s="14">
        <v>0</v>
      </c>
      <c r="F118" s="74">
        <f t="shared" si="113"/>
        <v>0</v>
      </c>
      <c r="G118" s="74">
        <v>0</v>
      </c>
      <c r="H118" s="75">
        <v>0</v>
      </c>
      <c r="I118" s="74">
        <v>0</v>
      </c>
      <c r="J118" s="12">
        <v>0</v>
      </c>
      <c r="K118" s="28">
        <f t="shared" si="108"/>
        <v>0</v>
      </c>
      <c r="L118" s="28">
        <v>0</v>
      </c>
      <c r="M118" s="28">
        <v>0</v>
      </c>
      <c r="N118" s="28">
        <v>0</v>
      </c>
      <c r="O118" s="17">
        <v>0</v>
      </c>
      <c r="P118" s="28">
        <f t="shared" si="110"/>
        <v>0</v>
      </c>
      <c r="Q118" s="28">
        <v>0</v>
      </c>
      <c r="R118" s="28">
        <v>0</v>
      </c>
      <c r="S118" s="28">
        <v>0</v>
      </c>
      <c r="T118" s="20">
        <v>2.75</v>
      </c>
      <c r="U118" s="28">
        <f t="shared" si="111"/>
        <v>11933.699999999999</v>
      </c>
      <c r="V118" s="78">
        <v>0</v>
      </c>
      <c r="W118" s="28">
        <f>ROUND(11933.65*0.959,1)</f>
        <v>11444.4</v>
      </c>
      <c r="X118" s="28">
        <f>ROUND(11933.65*0.041,1)</f>
        <v>489.3</v>
      </c>
      <c r="Y118" s="17">
        <v>0</v>
      </c>
      <c r="Z118" s="28">
        <f t="shared" si="112"/>
        <v>0</v>
      </c>
      <c r="AA118" s="28">
        <v>0</v>
      </c>
      <c r="AB118" s="28">
        <v>0</v>
      </c>
      <c r="AC118" s="28">
        <v>0</v>
      </c>
      <c r="AD118" s="42"/>
      <c r="AE118" s="42"/>
    </row>
    <row r="119" spans="1:43" s="7" customFormat="1" ht="30.6" customHeight="1" x14ac:dyDescent="0.2">
      <c r="A119" s="16" t="s">
        <v>52</v>
      </c>
      <c r="B119" s="71" t="s">
        <v>162</v>
      </c>
      <c r="C119" s="12">
        <f t="shared" si="109"/>
        <v>3.26</v>
      </c>
      <c r="D119" s="75">
        <f t="shared" si="107"/>
        <v>14146.8</v>
      </c>
      <c r="E119" s="14">
        <v>0</v>
      </c>
      <c r="F119" s="74">
        <f t="shared" si="113"/>
        <v>0</v>
      </c>
      <c r="G119" s="74">
        <v>0</v>
      </c>
      <c r="H119" s="75">
        <v>0</v>
      </c>
      <c r="I119" s="74">
        <v>0</v>
      </c>
      <c r="J119" s="12">
        <v>0</v>
      </c>
      <c r="K119" s="28">
        <f t="shared" si="108"/>
        <v>0</v>
      </c>
      <c r="L119" s="28">
        <v>0</v>
      </c>
      <c r="M119" s="28">
        <v>0</v>
      </c>
      <c r="N119" s="28">
        <v>0</v>
      </c>
      <c r="O119" s="17">
        <v>0</v>
      </c>
      <c r="P119" s="28">
        <f t="shared" si="110"/>
        <v>0</v>
      </c>
      <c r="Q119" s="28">
        <v>0</v>
      </c>
      <c r="R119" s="28">
        <v>0</v>
      </c>
      <c r="S119" s="28">
        <v>0</v>
      </c>
      <c r="T119" s="20">
        <v>3.26</v>
      </c>
      <c r="U119" s="28">
        <f t="shared" si="111"/>
        <v>14146.8</v>
      </c>
      <c r="V119" s="78">
        <v>0</v>
      </c>
      <c r="W119" s="28">
        <f>ROUND(14146.8*0.959,1)</f>
        <v>13566.8</v>
      </c>
      <c r="X119" s="28">
        <f>ROUND(14146.8*0.041,1)</f>
        <v>580</v>
      </c>
      <c r="Y119" s="17">
        <v>0</v>
      </c>
      <c r="Z119" s="28">
        <f t="shared" si="112"/>
        <v>0</v>
      </c>
      <c r="AA119" s="28">
        <v>0</v>
      </c>
      <c r="AB119" s="28">
        <v>0</v>
      </c>
      <c r="AC119" s="28">
        <v>0</v>
      </c>
      <c r="AD119" s="42"/>
      <c r="AE119" s="42"/>
    </row>
    <row r="120" spans="1:43" s="48" customFormat="1" ht="30" customHeight="1" x14ac:dyDescent="0.2">
      <c r="A120" s="16" t="s">
        <v>53</v>
      </c>
      <c r="B120" s="72" t="s">
        <v>70</v>
      </c>
      <c r="C120" s="12">
        <f t="shared" si="109"/>
        <v>46.18</v>
      </c>
      <c r="D120" s="75">
        <f t="shared" si="107"/>
        <v>74802.399999999994</v>
      </c>
      <c r="E120" s="19">
        <v>0</v>
      </c>
      <c r="F120" s="74">
        <f t="shared" si="113"/>
        <v>0</v>
      </c>
      <c r="G120" s="74">
        <v>0</v>
      </c>
      <c r="H120" s="67">
        <v>0</v>
      </c>
      <c r="I120" s="74">
        <v>0</v>
      </c>
      <c r="J120" s="12">
        <v>0</v>
      </c>
      <c r="K120" s="28">
        <f t="shared" si="108"/>
        <v>0</v>
      </c>
      <c r="L120" s="28">
        <v>0</v>
      </c>
      <c r="M120" s="28">
        <v>0</v>
      </c>
      <c r="N120" s="28">
        <v>0</v>
      </c>
      <c r="O120" s="17">
        <v>0</v>
      </c>
      <c r="P120" s="28">
        <f t="shared" si="110"/>
        <v>0</v>
      </c>
      <c r="Q120" s="28">
        <v>0</v>
      </c>
      <c r="R120" s="28">
        <v>0</v>
      </c>
      <c r="S120" s="28">
        <v>0</v>
      </c>
      <c r="T120" s="17">
        <v>0</v>
      </c>
      <c r="U120" s="28">
        <f t="shared" si="111"/>
        <v>0</v>
      </c>
      <c r="V120" s="28">
        <v>0</v>
      </c>
      <c r="W120" s="28">
        <v>0</v>
      </c>
      <c r="X120" s="28">
        <v>0</v>
      </c>
      <c r="Y120" s="17">
        <v>46.18</v>
      </c>
      <c r="Z120" s="28">
        <f t="shared" si="112"/>
        <v>74802.399999999994</v>
      </c>
      <c r="AA120" s="28">
        <v>0</v>
      </c>
      <c r="AB120" s="28">
        <f>ROUND(74802.37*0.959,1)</f>
        <v>71735.5</v>
      </c>
      <c r="AC120" s="28">
        <f>ROUND(74802.37*0.041,1)</f>
        <v>3066.9</v>
      </c>
      <c r="AD120" s="47"/>
      <c r="AE120" s="47"/>
    </row>
    <row r="121" spans="1:43" s="7" customFormat="1" ht="30.6" customHeight="1" x14ac:dyDescent="0.2">
      <c r="A121" s="43" t="s">
        <v>54</v>
      </c>
      <c r="B121" s="73" t="s">
        <v>71</v>
      </c>
      <c r="C121" s="12">
        <f t="shared" si="109"/>
        <v>58.08</v>
      </c>
      <c r="D121" s="75">
        <f t="shared" si="107"/>
        <v>96300.3</v>
      </c>
      <c r="E121" s="46">
        <v>0</v>
      </c>
      <c r="F121" s="74">
        <f t="shared" si="113"/>
        <v>0</v>
      </c>
      <c r="G121" s="74">
        <v>0</v>
      </c>
      <c r="H121" s="76">
        <v>0</v>
      </c>
      <c r="I121" s="74">
        <v>0</v>
      </c>
      <c r="J121" s="45">
        <v>0</v>
      </c>
      <c r="K121" s="28">
        <f t="shared" si="108"/>
        <v>0</v>
      </c>
      <c r="L121" s="77">
        <v>0</v>
      </c>
      <c r="M121" s="77">
        <v>0</v>
      </c>
      <c r="N121" s="77">
        <v>0</v>
      </c>
      <c r="O121" s="17">
        <v>0</v>
      </c>
      <c r="P121" s="28">
        <f t="shared" si="110"/>
        <v>0</v>
      </c>
      <c r="Q121" s="28">
        <v>0</v>
      </c>
      <c r="R121" s="28">
        <v>0</v>
      </c>
      <c r="S121" s="28">
        <v>0</v>
      </c>
      <c r="T121" s="44">
        <v>0</v>
      </c>
      <c r="U121" s="28">
        <f t="shared" si="111"/>
        <v>0</v>
      </c>
      <c r="V121" s="77">
        <v>0</v>
      </c>
      <c r="W121" s="77">
        <v>0</v>
      </c>
      <c r="X121" s="77">
        <v>0</v>
      </c>
      <c r="Y121" s="44">
        <v>58.08</v>
      </c>
      <c r="Z121" s="28">
        <f t="shared" si="112"/>
        <v>96300.3</v>
      </c>
      <c r="AA121" s="77">
        <v>0</v>
      </c>
      <c r="AB121" s="28">
        <f>ROUND(96300.35*0.959,1)</f>
        <v>92352</v>
      </c>
      <c r="AC121" s="28">
        <f>ROUND(96300.35*0.041,1)</f>
        <v>3948.3</v>
      </c>
      <c r="AD121" s="42"/>
      <c r="AE121" s="42"/>
    </row>
    <row r="122" spans="1:43" s="7" customFormat="1" ht="43.15" customHeight="1" x14ac:dyDescent="0.2">
      <c r="A122" s="16" t="s">
        <v>55</v>
      </c>
      <c r="B122" s="72" t="s">
        <v>945</v>
      </c>
      <c r="C122" s="12">
        <f t="shared" si="109"/>
        <v>66.3</v>
      </c>
      <c r="D122" s="75">
        <f t="shared" si="107"/>
        <v>135316</v>
      </c>
      <c r="E122" s="19">
        <v>0</v>
      </c>
      <c r="F122" s="74">
        <f t="shared" si="113"/>
        <v>0</v>
      </c>
      <c r="G122" s="74">
        <v>0</v>
      </c>
      <c r="H122" s="67">
        <v>0</v>
      </c>
      <c r="I122" s="74">
        <v>0</v>
      </c>
      <c r="J122" s="12">
        <v>0</v>
      </c>
      <c r="K122" s="28">
        <f t="shared" si="108"/>
        <v>0</v>
      </c>
      <c r="L122" s="28">
        <v>0</v>
      </c>
      <c r="M122" s="28">
        <v>0</v>
      </c>
      <c r="N122" s="28">
        <v>0</v>
      </c>
      <c r="O122" s="17">
        <v>0</v>
      </c>
      <c r="P122" s="28">
        <f t="shared" si="110"/>
        <v>0</v>
      </c>
      <c r="Q122" s="28">
        <v>0</v>
      </c>
      <c r="R122" s="28">
        <v>0</v>
      </c>
      <c r="S122" s="28">
        <v>0</v>
      </c>
      <c r="T122" s="17">
        <v>0</v>
      </c>
      <c r="U122" s="28">
        <f t="shared" si="111"/>
        <v>0</v>
      </c>
      <c r="V122" s="28">
        <v>0</v>
      </c>
      <c r="W122" s="28">
        <v>0</v>
      </c>
      <c r="X122" s="28">
        <v>0</v>
      </c>
      <c r="Y122" s="17">
        <v>66.3</v>
      </c>
      <c r="Z122" s="28">
        <f t="shared" si="112"/>
        <v>135316</v>
      </c>
      <c r="AA122" s="28">
        <v>0</v>
      </c>
      <c r="AB122" s="28">
        <f>ROUND(135315.96*0.959,1)</f>
        <v>129768</v>
      </c>
      <c r="AC122" s="28">
        <f>ROUND(135315.96*0.041,1)</f>
        <v>5548</v>
      </c>
      <c r="AD122" s="42"/>
      <c r="AE122" s="42"/>
    </row>
    <row r="123" spans="1:43" s="7" customFormat="1" ht="66" customHeight="1" x14ac:dyDescent="0.2">
      <c r="A123" s="16" t="s">
        <v>56</v>
      </c>
      <c r="B123" s="72" t="s">
        <v>72</v>
      </c>
      <c r="C123" s="12">
        <f t="shared" si="109"/>
        <v>57.76</v>
      </c>
      <c r="D123" s="75">
        <f t="shared" si="107"/>
        <v>113174.8</v>
      </c>
      <c r="E123" s="19">
        <v>0</v>
      </c>
      <c r="F123" s="74">
        <f t="shared" si="113"/>
        <v>0</v>
      </c>
      <c r="G123" s="74">
        <v>0</v>
      </c>
      <c r="H123" s="67">
        <v>0</v>
      </c>
      <c r="I123" s="74">
        <v>0</v>
      </c>
      <c r="J123" s="12">
        <v>0</v>
      </c>
      <c r="K123" s="28">
        <f t="shared" si="108"/>
        <v>0</v>
      </c>
      <c r="L123" s="28">
        <v>0</v>
      </c>
      <c r="M123" s="28">
        <v>0</v>
      </c>
      <c r="N123" s="28">
        <v>0</v>
      </c>
      <c r="O123" s="17">
        <v>0</v>
      </c>
      <c r="P123" s="28">
        <f t="shared" si="110"/>
        <v>0</v>
      </c>
      <c r="Q123" s="28">
        <v>0</v>
      </c>
      <c r="R123" s="28">
        <v>0</v>
      </c>
      <c r="S123" s="28">
        <v>0</v>
      </c>
      <c r="T123" s="17">
        <v>0</v>
      </c>
      <c r="U123" s="28">
        <f t="shared" si="111"/>
        <v>0</v>
      </c>
      <c r="V123" s="28">
        <v>0</v>
      </c>
      <c r="W123" s="28">
        <v>0</v>
      </c>
      <c r="X123" s="28">
        <v>0</v>
      </c>
      <c r="Y123" s="17">
        <v>57.76</v>
      </c>
      <c r="Z123" s="28">
        <f t="shared" si="112"/>
        <v>113174.8</v>
      </c>
      <c r="AA123" s="28">
        <v>0</v>
      </c>
      <c r="AB123" s="28">
        <f>ROUND(113174.76*0.959,1)</f>
        <v>108534.6</v>
      </c>
      <c r="AC123" s="28">
        <f>ROUND(113174.76*0.041,1)</f>
        <v>4640.2</v>
      </c>
      <c r="AD123" s="42"/>
      <c r="AE123" s="42"/>
    </row>
    <row r="124" spans="1:43" s="7" customFormat="1" ht="30.6" customHeight="1" x14ac:dyDescent="0.2">
      <c r="A124" s="16" t="s">
        <v>57</v>
      </c>
      <c r="B124" s="72" t="s">
        <v>73</v>
      </c>
      <c r="C124" s="12">
        <f t="shared" si="109"/>
        <v>31.08</v>
      </c>
      <c r="D124" s="75">
        <f t="shared" si="107"/>
        <v>64514.9</v>
      </c>
      <c r="E124" s="19">
        <v>0</v>
      </c>
      <c r="F124" s="74">
        <f t="shared" si="113"/>
        <v>0</v>
      </c>
      <c r="G124" s="74">
        <v>0</v>
      </c>
      <c r="H124" s="67">
        <v>0</v>
      </c>
      <c r="I124" s="74">
        <v>0</v>
      </c>
      <c r="J124" s="12">
        <v>0</v>
      </c>
      <c r="K124" s="28">
        <f t="shared" si="108"/>
        <v>0</v>
      </c>
      <c r="L124" s="28">
        <v>0</v>
      </c>
      <c r="M124" s="28">
        <v>0</v>
      </c>
      <c r="N124" s="28">
        <v>0</v>
      </c>
      <c r="O124" s="17">
        <v>0</v>
      </c>
      <c r="P124" s="28">
        <f t="shared" si="110"/>
        <v>0</v>
      </c>
      <c r="Q124" s="28">
        <v>0</v>
      </c>
      <c r="R124" s="28">
        <v>0</v>
      </c>
      <c r="S124" s="28">
        <v>0</v>
      </c>
      <c r="T124" s="17">
        <v>0</v>
      </c>
      <c r="U124" s="28">
        <f t="shared" si="111"/>
        <v>0</v>
      </c>
      <c r="V124" s="28">
        <v>0</v>
      </c>
      <c r="W124" s="28">
        <v>0</v>
      </c>
      <c r="X124" s="28">
        <v>0</v>
      </c>
      <c r="Y124" s="17">
        <v>31.08</v>
      </c>
      <c r="Z124" s="28">
        <f t="shared" si="112"/>
        <v>64514.9</v>
      </c>
      <c r="AA124" s="28">
        <v>0</v>
      </c>
      <c r="AB124" s="28">
        <f>ROUND(64514.92*0.959,1)</f>
        <v>61869.8</v>
      </c>
      <c r="AC124" s="28">
        <f>ROUND(64514.92*0.041,1)</f>
        <v>2645.1</v>
      </c>
      <c r="AD124" s="42"/>
      <c r="AE124" s="42"/>
    </row>
    <row r="125" spans="1:43" s="7" customFormat="1" ht="42" customHeight="1" x14ac:dyDescent="0.2">
      <c r="A125" s="16" t="s">
        <v>58</v>
      </c>
      <c r="B125" s="72" t="s">
        <v>74</v>
      </c>
      <c r="C125" s="12">
        <f t="shared" si="109"/>
        <v>52.71</v>
      </c>
      <c r="D125" s="75">
        <f t="shared" si="107"/>
        <v>121434.8</v>
      </c>
      <c r="E125" s="19">
        <v>0</v>
      </c>
      <c r="F125" s="74">
        <f t="shared" si="113"/>
        <v>0</v>
      </c>
      <c r="G125" s="74">
        <v>0</v>
      </c>
      <c r="H125" s="67">
        <v>0</v>
      </c>
      <c r="I125" s="74">
        <v>0</v>
      </c>
      <c r="J125" s="12">
        <v>0</v>
      </c>
      <c r="K125" s="28">
        <f t="shared" si="108"/>
        <v>0</v>
      </c>
      <c r="L125" s="28">
        <v>0</v>
      </c>
      <c r="M125" s="28">
        <v>0</v>
      </c>
      <c r="N125" s="28">
        <v>0</v>
      </c>
      <c r="O125" s="17">
        <v>0</v>
      </c>
      <c r="P125" s="28">
        <f t="shared" si="110"/>
        <v>0</v>
      </c>
      <c r="Q125" s="28">
        <v>0</v>
      </c>
      <c r="R125" s="28">
        <v>0</v>
      </c>
      <c r="S125" s="28">
        <v>0</v>
      </c>
      <c r="T125" s="17">
        <v>0</v>
      </c>
      <c r="U125" s="28">
        <f t="shared" si="111"/>
        <v>0</v>
      </c>
      <c r="V125" s="28">
        <v>0</v>
      </c>
      <c r="W125" s="28">
        <v>0</v>
      </c>
      <c r="X125" s="28">
        <v>0</v>
      </c>
      <c r="Y125" s="17">
        <v>52.71</v>
      </c>
      <c r="Z125" s="28">
        <f t="shared" si="112"/>
        <v>121434.8</v>
      </c>
      <c r="AA125" s="28">
        <v>0</v>
      </c>
      <c r="AB125" s="28">
        <f>ROUND(121434.83*0.959,1)</f>
        <v>116456</v>
      </c>
      <c r="AC125" s="28">
        <f>ROUND(121434.83*0.041,1)</f>
        <v>4978.8</v>
      </c>
      <c r="AD125" s="42"/>
      <c r="AE125" s="42"/>
    </row>
    <row r="126" spans="1:43" s="7" customFormat="1" ht="43.15" customHeight="1" x14ac:dyDescent="0.2">
      <c r="A126" s="16" t="s">
        <v>59</v>
      </c>
      <c r="B126" s="72" t="s">
        <v>75</v>
      </c>
      <c r="C126" s="12">
        <f t="shared" si="109"/>
        <v>19.04</v>
      </c>
      <c r="D126" s="75">
        <f t="shared" si="107"/>
        <v>31839.9</v>
      </c>
      <c r="E126" s="19">
        <v>0</v>
      </c>
      <c r="F126" s="74">
        <f t="shared" si="113"/>
        <v>0</v>
      </c>
      <c r="G126" s="74">
        <v>0</v>
      </c>
      <c r="H126" s="67">
        <v>0</v>
      </c>
      <c r="I126" s="74">
        <v>0</v>
      </c>
      <c r="J126" s="12">
        <v>0</v>
      </c>
      <c r="K126" s="28">
        <f t="shared" si="108"/>
        <v>0</v>
      </c>
      <c r="L126" s="28">
        <v>0</v>
      </c>
      <c r="M126" s="28">
        <v>0</v>
      </c>
      <c r="N126" s="28">
        <v>0</v>
      </c>
      <c r="O126" s="17">
        <v>0</v>
      </c>
      <c r="P126" s="28">
        <f t="shared" si="110"/>
        <v>0</v>
      </c>
      <c r="Q126" s="28">
        <v>0</v>
      </c>
      <c r="R126" s="28">
        <v>0</v>
      </c>
      <c r="S126" s="28">
        <v>0</v>
      </c>
      <c r="T126" s="17">
        <v>0</v>
      </c>
      <c r="U126" s="28">
        <f t="shared" si="111"/>
        <v>0</v>
      </c>
      <c r="V126" s="28">
        <v>0</v>
      </c>
      <c r="W126" s="28">
        <v>0</v>
      </c>
      <c r="X126" s="28">
        <v>0</v>
      </c>
      <c r="Y126" s="17">
        <v>19.04</v>
      </c>
      <c r="Z126" s="28">
        <f t="shared" si="112"/>
        <v>31839.9</v>
      </c>
      <c r="AA126" s="28">
        <v>0</v>
      </c>
      <c r="AB126" s="28">
        <f>ROUND(31839.9*0.959,1)</f>
        <v>30534.5</v>
      </c>
      <c r="AC126" s="28">
        <f>ROUND(31839.9*0.041,1)</f>
        <v>1305.4000000000001</v>
      </c>
      <c r="AD126" s="42"/>
      <c r="AE126" s="42"/>
    </row>
    <row r="127" spans="1:43" s="7" customFormat="1" ht="30.6" customHeight="1" x14ac:dyDescent="0.2">
      <c r="A127" s="16" t="s">
        <v>60</v>
      </c>
      <c r="B127" s="72" t="s">
        <v>76</v>
      </c>
      <c r="C127" s="12">
        <f t="shared" si="109"/>
        <v>17.489999999999998</v>
      </c>
      <c r="D127" s="75">
        <f t="shared" si="107"/>
        <v>29943.7</v>
      </c>
      <c r="E127" s="19">
        <v>0</v>
      </c>
      <c r="F127" s="74">
        <f t="shared" si="113"/>
        <v>0</v>
      </c>
      <c r="G127" s="74">
        <v>0</v>
      </c>
      <c r="H127" s="67">
        <v>0</v>
      </c>
      <c r="I127" s="74">
        <v>0</v>
      </c>
      <c r="J127" s="12">
        <v>0</v>
      </c>
      <c r="K127" s="28">
        <f t="shared" si="108"/>
        <v>0</v>
      </c>
      <c r="L127" s="28">
        <v>0</v>
      </c>
      <c r="M127" s="28">
        <v>0</v>
      </c>
      <c r="N127" s="28">
        <v>0</v>
      </c>
      <c r="O127" s="17">
        <v>0</v>
      </c>
      <c r="P127" s="28">
        <f t="shared" si="110"/>
        <v>0</v>
      </c>
      <c r="Q127" s="28">
        <v>0</v>
      </c>
      <c r="R127" s="28">
        <v>0</v>
      </c>
      <c r="S127" s="28">
        <v>0</v>
      </c>
      <c r="T127" s="17">
        <v>0</v>
      </c>
      <c r="U127" s="28">
        <f t="shared" si="111"/>
        <v>0</v>
      </c>
      <c r="V127" s="28">
        <v>0</v>
      </c>
      <c r="W127" s="28">
        <v>0</v>
      </c>
      <c r="X127" s="28">
        <v>0</v>
      </c>
      <c r="Y127" s="17">
        <v>17.489999999999998</v>
      </c>
      <c r="Z127" s="28">
        <f t="shared" si="112"/>
        <v>29943.7</v>
      </c>
      <c r="AA127" s="28">
        <v>0</v>
      </c>
      <c r="AB127" s="28">
        <f>ROUND(29943.73*0.959,1)</f>
        <v>28716</v>
      </c>
      <c r="AC127" s="28">
        <f>ROUND(29943.73*0.041,1)</f>
        <v>1227.7</v>
      </c>
      <c r="AD127" s="42"/>
      <c r="AE127" s="42"/>
    </row>
    <row r="128" spans="1:43" s="7" customFormat="1" ht="30" customHeight="1" x14ac:dyDescent="0.2">
      <c r="A128" s="16" t="s">
        <v>61</v>
      </c>
      <c r="B128" s="72" t="s">
        <v>83</v>
      </c>
      <c r="C128" s="12">
        <f t="shared" si="109"/>
        <v>7.45</v>
      </c>
      <c r="D128" s="75">
        <f t="shared" si="107"/>
        <v>14596.5</v>
      </c>
      <c r="E128" s="19">
        <v>0</v>
      </c>
      <c r="F128" s="74">
        <f t="shared" si="113"/>
        <v>0</v>
      </c>
      <c r="G128" s="74">
        <v>0</v>
      </c>
      <c r="H128" s="67">
        <v>0</v>
      </c>
      <c r="I128" s="74">
        <v>0</v>
      </c>
      <c r="J128" s="12">
        <v>0</v>
      </c>
      <c r="K128" s="28">
        <f t="shared" si="108"/>
        <v>0</v>
      </c>
      <c r="L128" s="28">
        <v>0</v>
      </c>
      <c r="M128" s="28">
        <v>0</v>
      </c>
      <c r="N128" s="28">
        <v>0</v>
      </c>
      <c r="O128" s="17">
        <v>0</v>
      </c>
      <c r="P128" s="28">
        <f t="shared" si="110"/>
        <v>0</v>
      </c>
      <c r="Q128" s="28">
        <v>0</v>
      </c>
      <c r="R128" s="28">
        <v>0</v>
      </c>
      <c r="S128" s="28">
        <v>0</v>
      </c>
      <c r="T128" s="17">
        <v>7.45</v>
      </c>
      <c r="U128" s="28">
        <f t="shared" si="111"/>
        <v>9303</v>
      </c>
      <c r="V128" s="74">
        <v>0</v>
      </c>
      <c r="W128" s="28">
        <f>ROUND(9302.98*0.93,1)</f>
        <v>8651.7999999999993</v>
      </c>
      <c r="X128" s="28">
        <f>ROUND(9302.98*0.07,1)</f>
        <v>651.20000000000005</v>
      </c>
      <c r="Y128" s="17">
        <v>0</v>
      </c>
      <c r="Z128" s="28">
        <f t="shared" si="112"/>
        <v>5293.5</v>
      </c>
      <c r="AA128" s="28">
        <v>0</v>
      </c>
      <c r="AB128" s="28">
        <f>ROUND(5293.56*0.959,1)</f>
        <v>5076.5</v>
      </c>
      <c r="AC128" s="28">
        <f>ROUND(5293.56*0.041,1)</f>
        <v>217</v>
      </c>
      <c r="AD128" s="42"/>
      <c r="AE128" s="42"/>
    </row>
    <row r="129" spans="1:43" s="7" customFormat="1" ht="22.15" customHeight="1" x14ac:dyDescent="0.2">
      <c r="A129" s="16" t="s">
        <v>66</v>
      </c>
      <c r="B129" s="72" t="s">
        <v>84</v>
      </c>
      <c r="C129" s="12">
        <f t="shared" si="109"/>
        <v>45.43</v>
      </c>
      <c r="D129" s="75">
        <f t="shared" si="107"/>
        <v>79982.5</v>
      </c>
      <c r="E129" s="19">
        <v>0</v>
      </c>
      <c r="F129" s="74">
        <f t="shared" si="113"/>
        <v>0</v>
      </c>
      <c r="G129" s="74">
        <v>0</v>
      </c>
      <c r="H129" s="67">
        <v>0</v>
      </c>
      <c r="I129" s="74">
        <v>0</v>
      </c>
      <c r="J129" s="12">
        <v>0</v>
      </c>
      <c r="K129" s="28">
        <f t="shared" si="108"/>
        <v>0</v>
      </c>
      <c r="L129" s="28">
        <v>0</v>
      </c>
      <c r="M129" s="28">
        <v>0</v>
      </c>
      <c r="N129" s="28">
        <v>0</v>
      </c>
      <c r="O129" s="17">
        <v>0</v>
      </c>
      <c r="P129" s="28">
        <f t="shared" si="110"/>
        <v>0</v>
      </c>
      <c r="Q129" s="28">
        <v>0</v>
      </c>
      <c r="R129" s="28">
        <v>0</v>
      </c>
      <c r="S129" s="28">
        <v>0</v>
      </c>
      <c r="T129" s="17">
        <v>45.43</v>
      </c>
      <c r="U129" s="28">
        <f t="shared" si="111"/>
        <v>46856.4</v>
      </c>
      <c r="V129" s="28">
        <v>0</v>
      </c>
      <c r="W129" s="28">
        <f>ROUND(46856.4*0.93,1)</f>
        <v>43576.5</v>
      </c>
      <c r="X129" s="28">
        <f>ROUND(46856.4*0.07,1)</f>
        <v>3279.9</v>
      </c>
      <c r="Y129" s="17">
        <v>0</v>
      </c>
      <c r="Z129" s="28">
        <f t="shared" si="112"/>
        <v>33126.1</v>
      </c>
      <c r="AA129" s="28">
        <v>0</v>
      </c>
      <c r="AB129" s="28">
        <f>ROUND(33126.1*0.959,1)</f>
        <v>31767.9</v>
      </c>
      <c r="AC129" s="28">
        <f>ROUND(33126.1*0.041,1)</f>
        <v>1358.2</v>
      </c>
      <c r="AD129" s="42"/>
      <c r="AE129" s="42"/>
    </row>
    <row r="130" spans="1:43" s="7" customFormat="1" ht="25.15" customHeight="1" x14ac:dyDescent="0.2">
      <c r="A130" s="16" t="s">
        <v>67</v>
      </c>
      <c r="B130" s="72" t="s">
        <v>946</v>
      </c>
      <c r="C130" s="12">
        <f t="shared" si="109"/>
        <v>16.760000000000002</v>
      </c>
      <c r="D130" s="75">
        <f t="shared" si="107"/>
        <v>33792.700000000004</v>
      </c>
      <c r="E130" s="19">
        <v>0</v>
      </c>
      <c r="F130" s="74">
        <f t="shared" si="113"/>
        <v>0</v>
      </c>
      <c r="G130" s="74">
        <v>0</v>
      </c>
      <c r="H130" s="67">
        <v>0</v>
      </c>
      <c r="I130" s="74">
        <v>0</v>
      </c>
      <c r="J130" s="12">
        <v>0</v>
      </c>
      <c r="K130" s="28">
        <f t="shared" si="108"/>
        <v>0</v>
      </c>
      <c r="L130" s="28">
        <v>0</v>
      </c>
      <c r="M130" s="28">
        <v>0</v>
      </c>
      <c r="N130" s="28">
        <v>0</v>
      </c>
      <c r="O130" s="17">
        <v>0</v>
      </c>
      <c r="P130" s="28">
        <f t="shared" si="110"/>
        <v>0</v>
      </c>
      <c r="Q130" s="28">
        <v>0</v>
      </c>
      <c r="R130" s="28">
        <v>0</v>
      </c>
      <c r="S130" s="28">
        <v>0</v>
      </c>
      <c r="T130" s="17">
        <v>16.760000000000002</v>
      </c>
      <c r="U130" s="28">
        <f t="shared" si="111"/>
        <v>21682.100000000002</v>
      </c>
      <c r="V130" s="28">
        <v>0</v>
      </c>
      <c r="W130" s="28">
        <f>ROUND(21682.13*0.93,1)</f>
        <v>20164.400000000001</v>
      </c>
      <c r="X130" s="28">
        <f>ROUND(21682.13*0.07,1)</f>
        <v>1517.7</v>
      </c>
      <c r="Y130" s="17">
        <v>0</v>
      </c>
      <c r="Z130" s="28">
        <f t="shared" si="112"/>
        <v>12110.6</v>
      </c>
      <c r="AA130" s="28">
        <v>0</v>
      </c>
      <c r="AB130" s="28">
        <f>ROUND(12110.64*0.959,1)</f>
        <v>11614.1</v>
      </c>
      <c r="AC130" s="28">
        <f>ROUND(12110.64*0.041,1)</f>
        <v>496.5</v>
      </c>
      <c r="AD130" s="42"/>
      <c r="AE130" s="42"/>
    </row>
    <row r="131" spans="1:43" s="7" customFormat="1" ht="30" customHeight="1" x14ac:dyDescent="0.2">
      <c r="A131" s="16" t="s">
        <v>68</v>
      </c>
      <c r="B131" s="72" t="s">
        <v>85</v>
      </c>
      <c r="C131" s="12">
        <f t="shared" si="109"/>
        <v>126.12</v>
      </c>
      <c r="D131" s="75">
        <f t="shared" si="107"/>
        <v>227222.3</v>
      </c>
      <c r="E131" s="19">
        <v>0</v>
      </c>
      <c r="F131" s="74">
        <f t="shared" si="113"/>
        <v>0</v>
      </c>
      <c r="G131" s="74">
        <v>0</v>
      </c>
      <c r="H131" s="67">
        <v>0</v>
      </c>
      <c r="I131" s="74">
        <v>0</v>
      </c>
      <c r="J131" s="12">
        <v>0</v>
      </c>
      <c r="K131" s="28">
        <f t="shared" si="108"/>
        <v>0</v>
      </c>
      <c r="L131" s="28">
        <v>0</v>
      </c>
      <c r="M131" s="28">
        <v>0</v>
      </c>
      <c r="N131" s="28">
        <v>0</v>
      </c>
      <c r="O131" s="17">
        <v>0</v>
      </c>
      <c r="P131" s="28">
        <f t="shared" si="110"/>
        <v>0</v>
      </c>
      <c r="Q131" s="28">
        <v>0</v>
      </c>
      <c r="R131" s="28">
        <v>0</v>
      </c>
      <c r="S131" s="28">
        <v>0</v>
      </c>
      <c r="T131" s="17">
        <v>126.12</v>
      </c>
      <c r="U131" s="28">
        <f t="shared" si="111"/>
        <v>137897.5</v>
      </c>
      <c r="V131" s="28">
        <v>0</v>
      </c>
      <c r="W131" s="28">
        <f>ROUND(137897.51*0.93,1)</f>
        <v>128244.7</v>
      </c>
      <c r="X131" s="28">
        <f>ROUND(137897.51*0.07,1)</f>
        <v>9652.7999999999993</v>
      </c>
      <c r="Y131" s="17">
        <v>0</v>
      </c>
      <c r="Z131" s="28">
        <f t="shared" si="112"/>
        <v>89324.800000000003</v>
      </c>
      <c r="AA131" s="28">
        <v>0</v>
      </c>
      <c r="AB131" s="28">
        <f>ROUND(89324.77*0.959,1)</f>
        <v>85662.5</v>
      </c>
      <c r="AC131" s="28">
        <f>ROUND(89324.77*0.041,1)</f>
        <v>3662.3</v>
      </c>
      <c r="AD131" s="42"/>
      <c r="AE131" s="42"/>
    </row>
    <row r="132" spans="1:43" s="58" customFormat="1" ht="104.45" customHeight="1" x14ac:dyDescent="0.2">
      <c r="A132" s="16" t="s">
        <v>69</v>
      </c>
      <c r="B132" s="72" t="s">
        <v>79</v>
      </c>
      <c r="C132" s="12">
        <f t="shared" si="109"/>
        <v>0</v>
      </c>
      <c r="D132" s="75">
        <f t="shared" si="107"/>
        <v>11906</v>
      </c>
      <c r="E132" s="19">
        <v>0</v>
      </c>
      <c r="F132" s="74">
        <f t="shared" si="113"/>
        <v>0</v>
      </c>
      <c r="G132" s="74">
        <v>0</v>
      </c>
      <c r="H132" s="67">
        <v>0</v>
      </c>
      <c r="I132" s="67">
        <v>0</v>
      </c>
      <c r="J132" s="12">
        <v>0</v>
      </c>
      <c r="K132" s="28">
        <f t="shared" si="108"/>
        <v>0</v>
      </c>
      <c r="L132" s="28">
        <v>0</v>
      </c>
      <c r="M132" s="28">
        <v>0</v>
      </c>
      <c r="N132" s="28">
        <f>2765-2765</f>
        <v>0</v>
      </c>
      <c r="O132" s="17">
        <v>0</v>
      </c>
      <c r="P132" s="28">
        <f t="shared" si="110"/>
        <v>3045</v>
      </c>
      <c r="Q132" s="28">
        <v>0</v>
      </c>
      <c r="R132" s="28">
        <v>0</v>
      </c>
      <c r="S132" s="28">
        <v>3045</v>
      </c>
      <c r="T132" s="17">
        <v>0</v>
      </c>
      <c r="U132" s="28">
        <f t="shared" si="111"/>
        <v>3965</v>
      </c>
      <c r="V132" s="28">
        <v>0</v>
      </c>
      <c r="W132" s="28">
        <v>0</v>
      </c>
      <c r="X132" s="28">
        <v>3965</v>
      </c>
      <c r="Y132" s="17">
        <v>0</v>
      </c>
      <c r="Z132" s="28">
        <f t="shared" si="112"/>
        <v>4896</v>
      </c>
      <c r="AA132" s="28">
        <v>0</v>
      </c>
      <c r="AB132" s="28">
        <v>0</v>
      </c>
      <c r="AC132" s="28">
        <v>4896</v>
      </c>
    </row>
    <row r="133" spans="1:43" s="58" customFormat="1" ht="37.9" customHeight="1" x14ac:dyDescent="0.2">
      <c r="A133" s="16" t="s">
        <v>793</v>
      </c>
      <c r="B133" s="72" t="s">
        <v>794</v>
      </c>
      <c r="C133" s="12">
        <f t="shared" si="109"/>
        <v>0.1</v>
      </c>
      <c r="D133" s="75">
        <f t="shared" si="107"/>
        <v>3234.87</v>
      </c>
      <c r="E133" s="19">
        <v>0.1</v>
      </c>
      <c r="F133" s="74">
        <f t="shared" si="113"/>
        <v>3234.87</v>
      </c>
      <c r="G133" s="74">
        <v>0</v>
      </c>
      <c r="H133" s="67">
        <v>0</v>
      </c>
      <c r="I133" s="67">
        <f>3235-0.13</f>
        <v>3234.87</v>
      </c>
      <c r="J133" s="12">
        <v>0</v>
      </c>
      <c r="K133" s="28">
        <f t="shared" si="108"/>
        <v>0</v>
      </c>
      <c r="L133" s="28">
        <v>0</v>
      </c>
      <c r="M133" s="28">
        <v>0</v>
      </c>
      <c r="N133" s="28">
        <f>2765-2765</f>
        <v>0</v>
      </c>
      <c r="O133" s="17">
        <v>0</v>
      </c>
      <c r="P133" s="28">
        <v>0</v>
      </c>
      <c r="Q133" s="28">
        <v>0</v>
      </c>
      <c r="R133" s="28">
        <v>0</v>
      </c>
      <c r="S133" s="28">
        <v>0</v>
      </c>
      <c r="T133" s="17">
        <v>0</v>
      </c>
      <c r="U133" s="28">
        <v>0</v>
      </c>
      <c r="V133" s="28">
        <v>0</v>
      </c>
      <c r="W133" s="28">
        <v>0</v>
      </c>
      <c r="X133" s="28">
        <v>0</v>
      </c>
      <c r="Y133" s="17">
        <v>0</v>
      </c>
      <c r="Z133" s="28">
        <v>0</v>
      </c>
      <c r="AA133" s="28">
        <v>0</v>
      </c>
      <c r="AB133" s="28">
        <v>0</v>
      </c>
      <c r="AC133" s="28">
        <v>0</v>
      </c>
    </row>
    <row r="134" spans="1:43" s="9" customFormat="1" ht="36" customHeight="1" x14ac:dyDescent="0.2">
      <c r="A134" s="170"/>
      <c r="B134" s="171" t="s">
        <v>86</v>
      </c>
      <c r="C134" s="139">
        <f>SUM(C86:C133)</f>
        <v>1135.5049999999999</v>
      </c>
      <c r="D134" s="169">
        <f>F134+K134+P134+U134+Z134</f>
        <v>2905076.0640000002</v>
      </c>
      <c r="E134" s="139">
        <f t="shared" ref="E134:J134" si="116">SUM(E86:E133)</f>
        <v>64.67</v>
      </c>
      <c r="F134" s="140">
        <f t="shared" si="116"/>
        <v>517794.64</v>
      </c>
      <c r="G134" s="140">
        <f t="shared" si="116"/>
        <v>0</v>
      </c>
      <c r="H134" s="140">
        <f t="shared" si="116"/>
        <v>489860.89</v>
      </c>
      <c r="I134" s="140">
        <f t="shared" si="116"/>
        <v>27933.749999999996</v>
      </c>
      <c r="J134" s="139">
        <f t="shared" si="116"/>
        <v>249.37</v>
      </c>
      <c r="K134" s="140">
        <f t="shared" si="108"/>
        <v>408719.22399999999</v>
      </c>
      <c r="L134" s="140">
        <f t="shared" ref="L134:M134" si="117">SUM(L86:L133)</f>
        <v>0</v>
      </c>
      <c r="M134" s="140">
        <f t="shared" si="117"/>
        <v>389100.66399999999</v>
      </c>
      <c r="N134" s="140">
        <f>SUM(N86:N133)</f>
        <v>19618.560000000001</v>
      </c>
      <c r="O134" s="139">
        <f>SUM(O86:O133)</f>
        <v>167.73500000000001</v>
      </c>
      <c r="P134" s="140">
        <f>SUM(P86:P133)</f>
        <v>474006.10000000003</v>
      </c>
      <c r="Q134" s="140">
        <f t="shared" ref="Q134:S134" si="118">SUM(Q86:Q133)</f>
        <v>0</v>
      </c>
      <c r="R134" s="140">
        <f t="shared" si="118"/>
        <v>451631.01600000006</v>
      </c>
      <c r="S134" s="140">
        <f t="shared" si="118"/>
        <v>22375.084000000003</v>
      </c>
      <c r="T134" s="139">
        <f t="shared" ref="T134:AC134" si="119">SUM(T86:T133)</f>
        <v>305.09000000000003</v>
      </c>
      <c r="U134" s="140">
        <f t="shared" si="119"/>
        <v>692478.29999999993</v>
      </c>
      <c r="V134" s="140">
        <f t="shared" si="119"/>
        <v>0</v>
      </c>
      <c r="W134" s="140">
        <f t="shared" si="119"/>
        <v>654027.89999999991</v>
      </c>
      <c r="X134" s="140">
        <f t="shared" si="119"/>
        <v>38450.400000000001</v>
      </c>
      <c r="Y134" s="139">
        <f t="shared" si="119"/>
        <v>348.64</v>
      </c>
      <c r="Z134" s="140">
        <f t="shared" si="119"/>
        <v>812077.8</v>
      </c>
      <c r="AA134" s="140">
        <f t="shared" si="119"/>
        <v>0</v>
      </c>
      <c r="AB134" s="140">
        <f t="shared" si="119"/>
        <v>774087.39999999991</v>
      </c>
      <c r="AC134" s="140">
        <f t="shared" si="119"/>
        <v>37990.400000000001</v>
      </c>
      <c r="AD134" s="36"/>
      <c r="AE134" s="37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</row>
    <row r="135" spans="1:43" s="64" customFormat="1" ht="30" customHeight="1" x14ac:dyDescent="0.2">
      <c r="A135" s="376" t="s">
        <v>902</v>
      </c>
      <c r="B135" s="376"/>
      <c r="C135" s="376"/>
      <c r="D135" s="376"/>
      <c r="E135" s="376"/>
      <c r="F135" s="376"/>
      <c r="G135" s="376"/>
      <c r="H135" s="376"/>
      <c r="I135" s="376"/>
      <c r="J135" s="376"/>
      <c r="K135" s="376"/>
      <c r="L135" s="376"/>
      <c r="M135" s="376"/>
      <c r="N135" s="376"/>
      <c r="O135" s="376"/>
      <c r="P135" s="376"/>
      <c r="Q135" s="376"/>
      <c r="R135" s="376"/>
      <c r="S135" s="376"/>
      <c r="T135" s="376"/>
      <c r="U135" s="376"/>
      <c r="V135" s="376"/>
      <c r="W135" s="376"/>
      <c r="X135" s="376"/>
      <c r="Y135" s="376"/>
      <c r="Z135" s="376"/>
      <c r="AA135" s="376"/>
      <c r="AB135" s="376"/>
      <c r="AC135" s="376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  <c r="AQ135" s="63"/>
    </row>
    <row r="136" spans="1:43" s="221" customFormat="1" ht="71.45" customHeight="1" x14ac:dyDescent="0.2">
      <c r="A136" s="143" t="s">
        <v>8</v>
      </c>
      <c r="B136" s="193" t="s">
        <v>103</v>
      </c>
      <c r="C136" s="17">
        <f>E136+J136+O136+T136+Y136</f>
        <v>989</v>
      </c>
      <c r="D136" s="28">
        <f t="shared" ref="D136:D137" si="120">F136+K136+P136+U136+Z136</f>
        <v>1094714</v>
      </c>
      <c r="E136" s="17">
        <v>15</v>
      </c>
      <c r="F136" s="74">
        <f t="shared" ref="F136:F137" si="121">G136+H136+I136</f>
        <v>14420</v>
      </c>
      <c r="G136" s="28">
        <v>0</v>
      </c>
      <c r="H136" s="28">
        <v>0</v>
      </c>
      <c r="I136" s="28">
        <v>14420</v>
      </c>
      <c r="J136" s="17">
        <v>15</v>
      </c>
      <c r="K136" s="74">
        <f t="shared" ref="K136:K138" si="122">SUM(L136:N136)</f>
        <v>14420</v>
      </c>
      <c r="L136" s="28">
        <v>0</v>
      </c>
      <c r="M136" s="28">
        <v>0</v>
      </c>
      <c r="N136" s="28">
        <v>14420</v>
      </c>
      <c r="O136" s="17">
        <v>321</v>
      </c>
      <c r="P136" s="152">
        <f>Q136+R136+S136</f>
        <v>354900</v>
      </c>
      <c r="Q136" s="28">
        <v>0</v>
      </c>
      <c r="R136" s="28">
        <f>ROUND(354900*0.959,1)</f>
        <v>340349.1</v>
      </c>
      <c r="S136" s="28">
        <f>ROUND(354900*0.041,1)</f>
        <v>14550.9</v>
      </c>
      <c r="T136" s="17">
        <v>311</v>
      </c>
      <c r="U136" s="28">
        <f>V136+W136+X136</f>
        <v>352679</v>
      </c>
      <c r="V136" s="28">
        <v>0</v>
      </c>
      <c r="W136" s="28">
        <f>ROUND(352679*0.959,1)</f>
        <v>338219.2</v>
      </c>
      <c r="X136" s="28">
        <f>ROUND(352679*0.041,1)</f>
        <v>14459.8</v>
      </c>
      <c r="Y136" s="17">
        <v>327</v>
      </c>
      <c r="Z136" s="152">
        <f>AA136+AB136+AC136</f>
        <v>358295</v>
      </c>
      <c r="AA136" s="152">
        <v>0</v>
      </c>
      <c r="AB136" s="152">
        <f>ROUND(358295*0.959,1)</f>
        <v>343604.9</v>
      </c>
      <c r="AC136" s="152">
        <f>ROUND(358295*0.041,1)</f>
        <v>14690.1</v>
      </c>
      <c r="AD136" s="219"/>
      <c r="AE136" s="220"/>
      <c r="AF136" s="219"/>
      <c r="AG136" s="219"/>
      <c r="AH136" s="219"/>
      <c r="AI136" s="219"/>
      <c r="AJ136" s="219"/>
      <c r="AK136" s="219"/>
      <c r="AL136" s="219"/>
      <c r="AM136" s="219"/>
      <c r="AN136" s="219"/>
      <c r="AO136" s="219"/>
      <c r="AP136" s="219"/>
      <c r="AQ136" s="219"/>
    </row>
    <row r="137" spans="1:43" s="66" customFormat="1" ht="125.45" customHeight="1" x14ac:dyDescent="0.2">
      <c r="A137" s="143" t="s">
        <v>9</v>
      </c>
      <c r="B137" s="193" t="s">
        <v>104</v>
      </c>
      <c r="C137" s="17">
        <v>0</v>
      </c>
      <c r="D137" s="28">
        <f t="shared" si="120"/>
        <v>14952</v>
      </c>
      <c r="E137" s="17">
        <v>0</v>
      </c>
      <c r="F137" s="74">
        <f t="shared" si="121"/>
        <v>3000</v>
      </c>
      <c r="G137" s="28">
        <v>0</v>
      </c>
      <c r="H137" s="28">
        <v>0</v>
      </c>
      <c r="I137" s="28">
        <v>3000</v>
      </c>
      <c r="J137" s="17">
        <v>0</v>
      </c>
      <c r="K137" s="74">
        <f t="shared" si="122"/>
        <v>0</v>
      </c>
      <c r="L137" s="28">
        <v>0</v>
      </c>
      <c r="M137" s="28">
        <v>0</v>
      </c>
      <c r="N137" s="28">
        <v>0</v>
      </c>
      <c r="O137" s="194">
        <v>0</v>
      </c>
      <c r="P137" s="152">
        <f>Q137+R137+S137</f>
        <v>3964</v>
      </c>
      <c r="Q137" s="28">
        <v>0</v>
      </c>
      <c r="R137" s="28">
        <v>0</v>
      </c>
      <c r="S137" s="28">
        <v>3964</v>
      </c>
      <c r="T137" s="194">
        <v>0</v>
      </c>
      <c r="U137" s="28">
        <f>V137+W137+X137</f>
        <v>3922</v>
      </c>
      <c r="V137" s="28">
        <v>0</v>
      </c>
      <c r="W137" s="28">
        <v>0</v>
      </c>
      <c r="X137" s="28">
        <v>3922</v>
      </c>
      <c r="Y137" s="194">
        <v>0</v>
      </c>
      <c r="Z137" s="152">
        <f>AA137+AB137+AC137</f>
        <v>4066</v>
      </c>
      <c r="AA137" s="152">
        <v>0</v>
      </c>
      <c r="AB137" s="152">
        <v>0</v>
      </c>
      <c r="AC137" s="152">
        <v>4066</v>
      </c>
      <c r="AD137" s="65"/>
      <c r="AE137" s="65"/>
      <c r="AF137" s="65"/>
      <c r="AG137" s="65"/>
      <c r="AH137" s="65"/>
      <c r="AI137" s="65"/>
      <c r="AJ137" s="65"/>
      <c r="AK137" s="65"/>
      <c r="AL137" s="65"/>
      <c r="AM137" s="65"/>
      <c r="AN137" s="65"/>
      <c r="AO137" s="65"/>
      <c r="AP137" s="65"/>
      <c r="AQ137" s="65"/>
    </row>
    <row r="138" spans="1:43" s="22" customFormat="1" ht="46.9" customHeight="1" x14ac:dyDescent="0.2">
      <c r="A138" s="143"/>
      <c r="B138" s="175" t="s">
        <v>18</v>
      </c>
      <c r="C138" s="139">
        <f>C136+C137</f>
        <v>989</v>
      </c>
      <c r="D138" s="169">
        <f>F138+K138+P138+U138+Z138</f>
        <v>1109666</v>
      </c>
      <c r="E138" s="139">
        <f t="shared" ref="E138:J138" si="123">E136+E137</f>
        <v>15</v>
      </c>
      <c r="F138" s="140">
        <f>F136+F137</f>
        <v>17420</v>
      </c>
      <c r="G138" s="140">
        <f t="shared" si="123"/>
        <v>0</v>
      </c>
      <c r="H138" s="140">
        <f t="shared" si="123"/>
        <v>0</v>
      </c>
      <c r="I138" s="140">
        <f t="shared" si="123"/>
        <v>17420</v>
      </c>
      <c r="J138" s="139">
        <f t="shared" si="123"/>
        <v>15</v>
      </c>
      <c r="K138" s="140">
        <f t="shared" si="122"/>
        <v>14420</v>
      </c>
      <c r="L138" s="140">
        <f t="shared" ref="L138" si="124">L136+L137</f>
        <v>0</v>
      </c>
      <c r="M138" s="140">
        <f t="shared" ref="M138" si="125">M136+M137</f>
        <v>0</v>
      </c>
      <c r="N138" s="140">
        <f t="shared" ref="N138" si="126">N136+N137</f>
        <v>14420</v>
      </c>
      <c r="O138" s="139">
        <f t="shared" ref="O138" si="127">O136+O137</f>
        <v>321</v>
      </c>
      <c r="P138" s="140">
        <f t="shared" ref="P138" si="128">P136+P137</f>
        <v>358864</v>
      </c>
      <c r="Q138" s="140">
        <f t="shared" ref="Q138" si="129">Q136+Q137</f>
        <v>0</v>
      </c>
      <c r="R138" s="140">
        <f t="shared" ref="R138" si="130">R136+R137</f>
        <v>340349.1</v>
      </c>
      <c r="S138" s="140">
        <f t="shared" ref="S138" si="131">S136+S137</f>
        <v>18514.900000000001</v>
      </c>
      <c r="T138" s="139">
        <f t="shared" ref="T138" si="132">T136+T137</f>
        <v>311</v>
      </c>
      <c r="U138" s="140">
        <f t="shared" ref="U138" si="133">U136+U137</f>
        <v>356601</v>
      </c>
      <c r="V138" s="140">
        <f t="shared" ref="V138" si="134">V136+V137</f>
        <v>0</v>
      </c>
      <c r="W138" s="140">
        <f t="shared" ref="W138" si="135">W136+W137</f>
        <v>338219.2</v>
      </c>
      <c r="X138" s="140">
        <f t="shared" ref="X138" si="136">X136+X137</f>
        <v>18381.8</v>
      </c>
      <c r="Y138" s="139">
        <f t="shared" ref="Y138" si="137">Y136+Y137</f>
        <v>327</v>
      </c>
      <c r="Z138" s="141">
        <f t="shared" ref="Z138" si="138">Z136+Z137</f>
        <v>362361</v>
      </c>
      <c r="AA138" s="141">
        <f t="shared" ref="AA138" si="139">AA136+AA137</f>
        <v>0</v>
      </c>
      <c r="AB138" s="141">
        <f t="shared" ref="AB138" si="140">AB136+AB137</f>
        <v>343604.9</v>
      </c>
      <c r="AC138" s="141">
        <f t="shared" ref="AC138" si="141">AC136+AC137</f>
        <v>18756.099999999999</v>
      </c>
      <c r="AD138" s="36"/>
      <c r="AE138" s="37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</row>
    <row r="139" spans="1:43" s="22" customFormat="1" ht="51" customHeight="1" x14ac:dyDescent="0.2">
      <c r="A139" s="366" t="s">
        <v>914</v>
      </c>
      <c r="B139" s="367"/>
      <c r="C139" s="367"/>
      <c r="D139" s="367"/>
      <c r="E139" s="367"/>
      <c r="F139" s="367"/>
      <c r="G139" s="367"/>
      <c r="H139" s="367"/>
      <c r="I139" s="367"/>
      <c r="J139" s="367"/>
      <c r="K139" s="367"/>
      <c r="L139" s="367"/>
      <c r="M139" s="367"/>
      <c r="N139" s="367"/>
      <c r="O139" s="367"/>
      <c r="P139" s="367"/>
      <c r="Q139" s="367"/>
      <c r="R139" s="367"/>
      <c r="S139" s="367"/>
      <c r="T139" s="367"/>
      <c r="U139" s="367"/>
      <c r="V139" s="367"/>
      <c r="W139" s="367"/>
      <c r="X139" s="367"/>
      <c r="Y139" s="367"/>
      <c r="Z139" s="367"/>
      <c r="AA139" s="367"/>
      <c r="AB139" s="367"/>
      <c r="AC139" s="368"/>
      <c r="AD139" s="36"/>
      <c r="AE139" s="37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</row>
    <row r="140" spans="1:43" s="22" customFormat="1" ht="25.15" customHeight="1" x14ac:dyDescent="0.2">
      <c r="A140" s="142"/>
      <c r="B140" s="126" t="s">
        <v>256</v>
      </c>
      <c r="C140" s="132"/>
      <c r="D140" s="169"/>
      <c r="E140" s="139"/>
      <c r="F140" s="140"/>
      <c r="G140" s="140"/>
      <c r="H140" s="140"/>
      <c r="I140" s="140"/>
      <c r="J140" s="139"/>
      <c r="K140" s="139"/>
      <c r="L140" s="140"/>
      <c r="M140" s="140"/>
      <c r="N140" s="140"/>
      <c r="O140" s="139"/>
      <c r="P140" s="17"/>
      <c r="Q140" s="140"/>
      <c r="R140" s="140"/>
      <c r="S140" s="132"/>
      <c r="T140" s="139"/>
      <c r="U140" s="28"/>
      <c r="V140" s="140"/>
      <c r="W140" s="140"/>
      <c r="X140" s="140"/>
      <c r="Y140" s="139"/>
      <c r="Z140" s="141"/>
      <c r="AA140" s="141"/>
      <c r="AB140" s="141"/>
      <c r="AC140" s="141"/>
      <c r="AD140" s="36"/>
      <c r="AE140" s="37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</row>
    <row r="141" spans="1:43" s="22" customFormat="1" ht="31.15" customHeight="1" x14ac:dyDescent="0.2">
      <c r="A141" s="147" t="s">
        <v>791</v>
      </c>
      <c r="B141" s="126" t="s">
        <v>468</v>
      </c>
      <c r="C141" s="132">
        <f>SUM(C142:C270)</f>
        <v>250.72000000000006</v>
      </c>
      <c r="D141" s="176">
        <f>F141+K141+P141+U141+Z141</f>
        <v>62615.199999999975</v>
      </c>
      <c r="E141" s="132">
        <f t="shared" ref="E141:AC141" si="142">SUM(E142:E270)</f>
        <v>0</v>
      </c>
      <c r="F141" s="149">
        <f t="shared" si="142"/>
        <v>0</v>
      </c>
      <c r="G141" s="149">
        <f t="shared" si="142"/>
        <v>0</v>
      </c>
      <c r="H141" s="149">
        <f t="shared" si="142"/>
        <v>0</v>
      </c>
      <c r="I141" s="149">
        <f t="shared" si="142"/>
        <v>0</v>
      </c>
      <c r="J141" s="132">
        <f t="shared" si="142"/>
        <v>0</v>
      </c>
      <c r="K141" s="149">
        <f t="shared" ref="K141:K204" si="143">SUM(L141:N141)</f>
        <v>0</v>
      </c>
      <c r="L141" s="149">
        <f t="shared" si="142"/>
        <v>0</v>
      </c>
      <c r="M141" s="149">
        <f t="shared" si="142"/>
        <v>0</v>
      </c>
      <c r="N141" s="149">
        <f t="shared" si="142"/>
        <v>0</v>
      </c>
      <c r="O141" s="132">
        <f t="shared" si="142"/>
        <v>0</v>
      </c>
      <c r="P141" s="176">
        <f>Q141+R141+S141</f>
        <v>0</v>
      </c>
      <c r="Q141" s="150">
        <f t="shared" si="142"/>
        <v>0</v>
      </c>
      <c r="R141" s="150">
        <f t="shared" si="142"/>
        <v>0</v>
      </c>
      <c r="S141" s="150">
        <f t="shared" si="142"/>
        <v>0</v>
      </c>
      <c r="T141" s="132">
        <f>SUM(T142:T270)</f>
        <v>115.18</v>
      </c>
      <c r="U141" s="176">
        <f>V141+W141+X141</f>
        <v>28767.399999999987</v>
      </c>
      <c r="V141" s="150">
        <f t="shared" si="142"/>
        <v>0</v>
      </c>
      <c r="W141" s="150">
        <f t="shared" si="142"/>
        <v>0</v>
      </c>
      <c r="X141" s="150">
        <f t="shared" si="142"/>
        <v>28767.399999999987</v>
      </c>
      <c r="Y141" s="132">
        <f t="shared" si="142"/>
        <v>135.53999999999996</v>
      </c>
      <c r="Z141" s="149">
        <f t="shared" si="142"/>
        <v>33847.799999999988</v>
      </c>
      <c r="AA141" s="149">
        <f t="shared" si="142"/>
        <v>0</v>
      </c>
      <c r="AB141" s="149">
        <f t="shared" si="142"/>
        <v>0</v>
      </c>
      <c r="AC141" s="149">
        <f t="shared" si="142"/>
        <v>33847.799999999988</v>
      </c>
      <c r="AD141" s="36"/>
      <c r="AE141" s="37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</row>
    <row r="142" spans="1:43" s="22" customFormat="1" ht="34.9" customHeight="1" outlineLevel="1" x14ac:dyDescent="0.2">
      <c r="A142" s="142" t="s">
        <v>792</v>
      </c>
      <c r="B142" s="71" t="s">
        <v>257</v>
      </c>
      <c r="C142" s="177">
        <f t="shared" ref="C142:C205" si="144">E142+J142+O142+T142+Y142</f>
        <v>5.13</v>
      </c>
      <c r="D142" s="28">
        <f t="shared" ref="D142:D204" si="145">F142+K142+P142+U142+Z142</f>
        <v>1281.3</v>
      </c>
      <c r="E142" s="17">
        <v>0</v>
      </c>
      <c r="F142" s="237">
        <f t="shared" ref="F142:F205" si="146">G142+H142+I142</f>
        <v>0</v>
      </c>
      <c r="G142" s="152">
        <v>0</v>
      </c>
      <c r="H142" s="152">
        <v>0</v>
      </c>
      <c r="I142" s="152">
        <v>0</v>
      </c>
      <c r="J142" s="17">
        <v>0</v>
      </c>
      <c r="K142" s="237">
        <f t="shared" si="143"/>
        <v>0</v>
      </c>
      <c r="L142" s="152">
        <v>0</v>
      </c>
      <c r="M142" s="152">
        <v>0</v>
      </c>
      <c r="N142" s="152">
        <v>0</v>
      </c>
      <c r="O142" s="136">
        <v>0</v>
      </c>
      <c r="P142" s="28">
        <f t="shared" ref="P142:P205" si="147">Q142+R142+S142</f>
        <v>0</v>
      </c>
      <c r="Q142" s="28">
        <v>0</v>
      </c>
      <c r="R142" s="28">
        <v>0</v>
      </c>
      <c r="S142" s="151">
        <v>0</v>
      </c>
      <c r="T142" s="136">
        <f>ROUND(5.125,2)</f>
        <v>5.13</v>
      </c>
      <c r="U142" s="28">
        <f t="shared" ref="U142:U205" si="148">V142+W142+X142</f>
        <v>1281.3</v>
      </c>
      <c r="V142" s="28">
        <v>0</v>
      </c>
      <c r="W142" s="28">
        <v>0</v>
      </c>
      <c r="X142" s="151">
        <f>ROUND(1281.25,1)</f>
        <v>1281.3</v>
      </c>
      <c r="Y142" s="136">
        <v>0</v>
      </c>
      <c r="Z142" s="152">
        <f t="shared" ref="Z142:Z205" si="149">AA142+AB142+AC142</f>
        <v>0</v>
      </c>
      <c r="AA142" s="152">
        <v>0</v>
      </c>
      <c r="AB142" s="152">
        <v>0</v>
      </c>
      <c r="AC142" s="157">
        <v>0</v>
      </c>
      <c r="AD142" s="36"/>
      <c r="AE142" s="37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</row>
    <row r="143" spans="1:43" s="22" customFormat="1" ht="34.9" customHeight="1" outlineLevel="1" x14ac:dyDescent="0.2">
      <c r="A143" s="142" t="s">
        <v>495</v>
      </c>
      <c r="B143" s="71" t="s">
        <v>258</v>
      </c>
      <c r="C143" s="177">
        <f t="shared" si="144"/>
        <v>2.7</v>
      </c>
      <c r="D143" s="28">
        <f t="shared" si="145"/>
        <v>675</v>
      </c>
      <c r="E143" s="17">
        <v>0</v>
      </c>
      <c r="F143" s="237">
        <f t="shared" si="146"/>
        <v>0</v>
      </c>
      <c r="G143" s="152">
        <v>0</v>
      </c>
      <c r="H143" s="152">
        <v>0</v>
      </c>
      <c r="I143" s="152">
        <v>0</v>
      </c>
      <c r="J143" s="17">
        <v>0</v>
      </c>
      <c r="K143" s="237">
        <f t="shared" si="143"/>
        <v>0</v>
      </c>
      <c r="L143" s="152">
        <v>0</v>
      </c>
      <c r="M143" s="152">
        <v>0</v>
      </c>
      <c r="N143" s="152">
        <v>0</v>
      </c>
      <c r="O143" s="136">
        <v>0</v>
      </c>
      <c r="P143" s="28">
        <f t="shared" si="147"/>
        <v>0</v>
      </c>
      <c r="Q143" s="28">
        <v>0</v>
      </c>
      <c r="R143" s="28">
        <v>0</v>
      </c>
      <c r="S143" s="151">
        <v>0</v>
      </c>
      <c r="T143" s="136">
        <v>2.7</v>
      </c>
      <c r="U143" s="28">
        <f t="shared" si="148"/>
        <v>675</v>
      </c>
      <c r="V143" s="28">
        <v>0</v>
      </c>
      <c r="W143" s="28">
        <v>0</v>
      </c>
      <c r="X143" s="151">
        <v>675</v>
      </c>
      <c r="Y143" s="136">
        <v>0</v>
      </c>
      <c r="Z143" s="152">
        <f t="shared" si="149"/>
        <v>0</v>
      </c>
      <c r="AA143" s="152">
        <v>0</v>
      </c>
      <c r="AB143" s="152">
        <v>0</v>
      </c>
      <c r="AC143" s="157">
        <v>0</v>
      </c>
      <c r="AD143" s="36"/>
      <c r="AE143" s="37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</row>
    <row r="144" spans="1:43" s="22" customFormat="1" ht="24" customHeight="1" outlineLevel="1" x14ac:dyDescent="0.2">
      <c r="A144" s="142" t="s">
        <v>496</v>
      </c>
      <c r="B144" s="71" t="s">
        <v>259</v>
      </c>
      <c r="C144" s="177">
        <f t="shared" si="144"/>
        <v>2.56</v>
      </c>
      <c r="D144" s="28">
        <f t="shared" si="145"/>
        <v>638.79999999999995</v>
      </c>
      <c r="E144" s="17">
        <v>0</v>
      </c>
      <c r="F144" s="237">
        <f t="shared" si="146"/>
        <v>0</v>
      </c>
      <c r="G144" s="152">
        <v>0</v>
      </c>
      <c r="H144" s="152">
        <v>0</v>
      </c>
      <c r="I144" s="152">
        <v>0</v>
      </c>
      <c r="J144" s="17">
        <v>0</v>
      </c>
      <c r="K144" s="237">
        <f t="shared" si="143"/>
        <v>0</v>
      </c>
      <c r="L144" s="152">
        <v>0</v>
      </c>
      <c r="M144" s="152">
        <v>0</v>
      </c>
      <c r="N144" s="152">
        <v>0</v>
      </c>
      <c r="O144" s="136">
        <v>0</v>
      </c>
      <c r="P144" s="28">
        <f t="shared" si="147"/>
        <v>0</v>
      </c>
      <c r="Q144" s="28">
        <v>0</v>
      </c>
      <c r="R144" s="28">
        <v>0</v>
      </c>
      <c r="S144" s="151">
        <v>0</v>
      </c>
      <c r="T144" s="136">
        <f>ROUND(2.555,2)</f>
        <v>2.56</v>
      </c>
      <c r="U144" s="28">
        <f t="shared" si="148"/>
        <v>638.79999999999995</v>
      </c>
      <c r="V144" s="28">
        <v>0</v>
      </c>
      <c r="W144" s="28">
        <v>0</v>
      </c>
      <c r="X144" s="151">
        <f>ROUND(638.75,1)</f>
        <v>638.79999999999995</v>
      </c>
      <c r="Y144" s="136">
        <v>0</v>
      </c>
      <c r="Z144" s="152">
        <f t="shared" si="149"/>
        <v>0</v>
      </c>
      <c r="AA144" s="152">
        <v>0</v>
      </c>
      <c r="AB144" s="152">
        <v>0</v>
      </c>
      <c r="AC144" s="157">
        <v>0</v>
      </c>
      <c r="AD144" s="36"/>
      <c r="AE144" s="37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</row>
    <row r="145" spans="1:43" s="22" customFormat="1" ht="27" customHeight="1" outlineLevel="1" x14ac:dyDescent="0.2">
      <c r="A145" s="142" t="s">
        <v>497</v>
      </c>
      <c r="B145" s="127" t="s">
        <v>260</v>
      </c>
      <c r="C145" s="177">
        <f t="shared" si="144"/>
        <v>3.3</v>
      </c>
      <c r="D145" s="28">
        <f t="shared" si="145"/>
        <v>823.8</v>
      </c>
      <c r="E145" s="17">
        <v>0</v>
      </c>
      <c r="F145" s="237">
        <f t="shared" si="146"/>
        <v>0</v>
      </c>
      <c r="G145" s="152">
        <v>0</v>
      </c>
      <c r="H145" s="152">
        <v>0</v>
      </c>
      <c r="I145" s="152">
        <v>0</v>
      </c>
      <c r="J145" s="17">
        <v>0</v>
      </c>
      <c r="K145" s="237">
        <f t="shared" si="143"/>
        <v>0</v>
      </c>
      <c r="L145" s="152">
        <v>0</v>
      </c>
      <c r="M145" s="152">
        <v>0</v>
      </c>
      <c r="N145" s="152">
        <v>0</v>
      </c>
      <c r="O145" s="136">
        <v>0</v>
      </c>
      <c r="P145" s="28">
        <f t="shared" si="147"/>
        <v>0</v>
      </c>
      <c r="Q145" s="28">
        <v>0</v>
      </c>
      <c r="R145" s="28">
        <v>0</v>
      </c>
      <c r="S145" s="151">
        <v>0</v>
      </c>
      <c r="T145" s="136">
        <f>ROUND(3.295,2)</f>
        <v>3.3</v>
      </c>
      <c r="U145" s="28">
        <f t="shared" si="148"/>
        <v>823.8</v>
      </c>
      <c r="V145" s="28">
        <v>0</v>
      </c>
      <c r="W145" s="28">
        <v>0</v>
      </c>
      <c r="X145" s="151">
        <f>ROUND(823.75,1)</f>
        <v>823.8</v>
      </c>
      <c r="Y145" s="136">
        <v>0</v>
      </c>
      <c r="Z145" s="152">
        <f t="shared" si="149"/>
        <v>0</v>
      </c>
      <c r="AA145" s="152">
        <v>0</v>
      </c>
      <c r="AB145" s="152">
        <v>0</v>
      </c>
      <c r="AC145" s="157">
        <v>0</v>
      </c>
      <c r="AD145" s="36"/>
      <c r="AE145" s="37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</row>
    <row r="146" spans="1:43" s="22" customFormat="1" ht="46.9" customHeight="1" outlineLevel="1" x14ac:dyDescent="0.2">
      <c r="A146" s="142" t="s">
        <v>498</v>
      </c>
      <c r="B146" s="71" t="s">
        <v>261</v>
      </c>
      <c r="C146" s="177">
        <f t="shared" si="144"/>
        <v>1.25</v>
      </c>
      <c r="D146" s="28">
        <f t="shared" si="145"/>
        <v>312.5</v>
      </c>
      <c r="E146" s="17">
        <v>0</v>
      </c>
      <c r="F146" s="237">
        <f t="shared" si="146"/>
        <v>0</v>
      </c>
      <c r="G146" s="152">
        <v>0</v>
      </c>
      <c r="H146" s="152">
        <v>0</v>
      </c>
      <c r="I146" s="152">
        <v>0</v>
      </c>
      <c r="J146" s="17">
        <v>0</v>
      </c>
      <c r="K146" s="237">
        <f t="shared" si="143"/>
        <v>0</v>
      </c>
      <c r="L146" s="152">
        <v>0</v>
      </c>
      <c r="M146" s="152">
        <v>0</v>
      </c>
      <c r="N146" s="152">
        <v>0</v>
      </c>
      <c r="O146" s="136">
        <v>0</v>
      </c>
      <c r="P146" s="28">
        <f t="shared" si="147"/>
        <v>0</v>
      </c>
      <c r="Q146" s="28">
        <v>0</v>
      </c>
      <c r="R146" s="28">
        <v>0</v>
      </c>
      <c r="S146" s="151">
        <v>0</v>
      </c>
      <c r="T146" s="136">
        <v>1.25</v>
      </c>
      <c r="U146" s="28">
        <f t="shared" si="148"/>
        <v>312.5</v>
      </c>
      <c r="V146" s="28">
        <v>0</v>
      </c>
      <c r="W146" s="28">
        <v>0</v>
      </c>
      <c r="X146" s="151">
        <v>312.5</v>
      </c>
      <c r="Y146" s="136">
        <v>0</v>
      </c>
      <c r="Z146" s="152">
        <f t="shared" si="149"/>
        <v>0</v>
      </c>
      <c r="AA146" s="152">
        <v>0</v>
      </c>
      <c r="AB146" s="152">
        <v>0</v>
      </c>
      <c r="AC146" s="157">
        <v>0</v>
      </c>
      <c r="AD146" s="36"/>
      <c r="AE146" s="37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</row>
    <row r="147" spans="1:43" s="22" customFormat="1" ht="46.9" customHeight="1" outlineLevel="1" x14ac:dyDescent="0.2">
      <c r="A147" s="142" t="s">
        <v>499</v>
      </c>
      <c r="B147" s="71" t="s">
        <v>916</v>
      </c>
      <c r="C147" s="177">
        <f t="shared" si="144"/>
        <v>2.08</v>
      </c>
      <c r="D147" s="28">
        <f t="shared" si="145"/>
        <v>518.79999999999995</v>
      </c>
      <c r="E147" s="17">
        <v>0</v>
      </c>
      <c r="F147" s="237">
        <f t="shared" si="146"/>
        <v>0</v>
      </c>
      <c r="G147" s="152">
        <v>0</v>
      </c>
      <c r="H147" s="152">
        <v>0</v>
      </c>
      <c r="I147" s="152">
        <v>0</v>
      </c>
      <c r="J147" s="17">
        <v>0</v>
      </c>
      <c r="K147" s="237">
        <f t="shared" si="143"/>
        <v>0</v>
      </c>
      <c r="L147" s="152">
        <v>0</v>
      </c>
      <c r="M147" s="152">
        <v>0</v>
      </c>
      <c r="N147" s="152">
        <v>0</v>
      </c>
      <c r="O147" s="136">
        <v>0</v>
      </c>
      <c r="P147" s="28">
        <f t="shared" si="147"/>
        <v>0</v>
      </c>
      <c r="Q147" s="28">
        <v>0</v>
      </c>
      <c r="R147" s="28">
        <v>0</v>
      </c>
      <c r="S147" s="151">
        <v>0</v>
      </c>
      <c r="T147" s="136">
        <f>ROUND(2.075,2)</f>
        <v>2.08</v>
      </c>
      <c r="U147" s="28">
        <f t="shared" si="148"/>
        <v>518.79999999999995</v>
      </c>
      <c r="V147" s="28">
        <v>0</v>
      </c>
      <c r="W147" s="28">
        <v>0</v>
      </c>
      <c r="X147" s="151">
        <f>ROUND(518.75,1)</f>
        <v>518.79999999999995</v>
      </c>
      <c r="Y147" s="136">
        <v>0</v>
      </c>
      <c r="Z147" s="152">
        <f t="shared" si="149"/>
        <v>0</v>
      </c>
      <c r="AA147" s="152">
        <v>0</v>
      </c>
      <c r="AB147" s="152">
        <v>0</v>
      </c>
      <c r="AC147" s="157">
        <v>0</v>
      </c>
      <c r="AD147" s="36"/>
      <c r="AE147" s="37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</row>
    <row r="148" spans="1:43" s="22" customFormat="1" ht="20.45" customHeight="1" outlineLevel="1" x14ac:dyDescent="0.2">
      <c r="A148" s="142" t="s">
        <v>500</v>
      </c>
      <c r="B148" s="71" t="s">
        <v>262</v>
      </c>
      <c r="C148" s="177">
        <f t="shared" si="144"/>
        <v>0.57999999999999996</v>
      </c>
      <c r="D148" s="28">
        <f t="shared" si="145"/>
        <v>143.80000000000001</v>
      </c>
      <c r="E148" s="17">
        <v>0</v>
      </c>
      <c r="F148" s="237">
        <f t="shared" si="146"/>
        <v>0</v>
      </c>
      <c r="G148" s="152">
        <v>0</v>
      </c>
      <c r="H148" s="152">
        <v>0</v>
      </c>
      <c r="I148" s="152">
        <v>0</v>
      </c>
      <c r="J148" s="17">
        <v>0</v>
      </c>
      <c r="K148" s="237">
        <f t="shared" si="143"/>
        <v>0</v>
      </c>
      <c r="L148" s="152">
        <v>0</v>
      </c>
      <c r="M148" s="152">
        <v>0</v>
      </c>
      <c r="N148" s="152">
        <v>0</v>
      </c>
      <c r="O148" s="136">
        <v>0</v>
      </c>
      <c r="P148" s="28">
        <f t="shared" si="147"/>
        <v>0</v>
      </c>
      <c r="Q148" s="28">
        <v>0</v>
      </c>
      <c r="R148" s="28">
        <v>0</v>
      </c>
      <c r="S148" s="151">
        <v>0</v>
      </c>
      <c r="T148" s="136">
        <f>ROUND(0.575,2)</f>
        <v>0.57999999999999996</v>
      </c>
      <c r="U148" s="28">
        <f t="shared" si="148"/>
        <v>143.80000000000001</v>
      </c>
      <c r="V148" s="28">
        <v>0</v>
      </c>
      <c r="W148" s="28">
        <v>0</v>
      </c>
      <c r="X148" s="151">
        <f>ROUND(143.75,1)</f>
        <v>143.80000000000001</v>
      </c>
      <c r="Y148" s="136">
        <v>0</v>
      </c>
      <c r="Z148" s="152">
        <f t="shared" si="149"/>
        <v>0</v>
      </c>
      <c r="AA148" s="152">
        <v>0</v>
      </c>
      <c r="AB148" s="152">
        <v>0</v>
      </c>
      <c r="AC148" s="157">
        <v>0</v>
      </c>
      <c r="AD148" s="36"/>
      <c r="AE148" s="37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</row>
    <row r="149" spans="1:43" s="22" customFormat="1" ht="22.15" customHeight="1" outlineLevel="1" x14ac:dyDescent="0.2">
      <c r="A149" s="142" t="s">
        <v>501</v>
      </c>
      <c r="B149" s="71" t="s">
        <v>263</v>
      </c>
      <c r="C149" s="177">
        <f t="shared" si="144"/>
        <v>2.34</v>
      </c>
      <c r="D149" s="28">
        <f t="shared" si="145"/>
        <v>583.79999999999995</v>
      </c>
      <c r="E149" s="17">
        <v>0</v>
      </c>
      <c r="F149" s="237">
        <f t="shared" si="146"/>
        <v>0</v>
      </c>
      <c r="G149" s="152">
        <v>0</v>
      </c>
      <c r="H149" s="152">
        <v>0</v>
      </c>
      <c r="I149" s="152">
        <v>0</v>
      </c>
      <c r="J149" s="17">
        <v>0</v>
      </c>
      <c r="K149" s="237">
        <f t="shared" si="143"/>
        <v>0</v>
      </c>
      <c r="L149" s="152">
        <v>0</v>
      </c>
      <c r="M149" s="152">
        <v>0</v>
      </c>
      <c r="N149" s="152">
        <v>0</v>
      </c>
      <c r="O149" s="136">
        <v>0</v>
      </c>
      <c r="P149" s="28">
        <f t="shared" si="147"/>
        <v>0</v>
      </c>
      <c r="Q149" s="28">
        <v>0</v>
      </c>
      <c r="R149" s="28">
        <v>0</v>
      </c>
      <c r="S149" s="151">
        <v>0</v>
      </c>
      <c r="T149" s="136">
        <f>ROUND(2.335,2)</f>
        <v>2.34</v>
      </c>
      <c r="U149" s="28">
        <f t="shared" si="148"/>
        <v>583.79999999999995</v>
      </c>
      <c r="V149" s="28">
        <v>0</v>
      </c>
      <c r="W149" s="28">
        <v>0</v>
      </c>
      <c r="X149" s="151">
        <f>ROUND(583.75,1)</f>
        <v>583.79999999999995</v>
      </c>
      <c r="Y149" s="136">
        <v>0</v>
      </c>
      <c r="Z149" s="152">
        <f t="shared" si="149"/>
        <v>0</v>
      </c>
      <c r="AA149" s="152">
        <v>0</v>
      </c>
      <c r="AB149" s="152">
        <v>0</v>
      </c>
      <c r="AC149" s="157">
        <v>0</v>
      </c>
      <c r="AD149" s="36"/>
      <c r="AE149" s="37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</row>
    <row r="150" spans="1:43" s="22" customFormat="1" ht="24" customHeight="1" outlineLevel="1" x14ac:dyDescent="0.2">
      <c r="A150" s="142" t="s">
        <v>502</v>
      </c>
      <c r="B150" s="71" t="s">
        <v>264</v>
      </c>
      <c r="C150" s="177">
        <f t="shared" si="144"/>
        <v>4.6899999999999995</v>
      </c>
      <c r="D150" s="28">
        <f t="shared" si="145"/>
        <v>1172.4999999999998</v>
      </c>
      <c r="E150" s="17">
        <v>0</v>
      </c>
      <c r="F150" s="237">
        <f t="shared" si="146"/>
        <v>0</v>
      </c>
      <c r="G150" s="152">
        <v>0</v>
      </c>
      <c r="H150" s="152">
        <v>0</v>
      </c>
      <c r="I150" s="152">
        <v>0</v>
      </c>
      <c r="J150" s="17">
        <v>0</v>
      </c>
      <c r="K150" s="237">
        <f t="shared" si="143"/>
        <v>0</v>
      </c>
      <c r="L150" s="152">
        <v>0</v>
      </c>
      <c r="M150" s="152">
        <v>0</v>
      </c>
      <c r="N150" s="152">
        <v>0</v>
      </c>
      <c r="O150" s="136">
        <v>0</v>
      </c>
      <c r="P150" s="28">
        <f t="shared" si="147"/>
        <v>0</v>
      </c>
      <c r="Q150" s="28">
        <v>0</v>
      </c>
      <c r="R150" s="28">
        <v>0</v>
      </c>
      <c r="S150" s="151">
        <v>0</v>
      </c>
      <c r="T150" s="136">
        <v>4.6899999999999995</v>
      </c>
      <c r="U150" s="28">
        <f t="shared" si="148"/>
        <v>1172.4999999999998</v>
      </c>
      <c r="V150" s="28">
        <v>0</v>
      </c>
      <c r="W150" s="28">
        <v>0</v>
      </c>
      <c r="X150" s="151">
        <v>1172.4999999999998</v>
      </c>
      <c r="Y150" s="136">
        <v>0</v>
      </c>
      <c r="Z150" s="152">
        <f t="shared" si="149"/>
        <v>0</v>
      </c>
      <c r="AA150" s="152">
        <v>0</v>
      </c>
      <c r="AB150" s="152">
        <v>0</v>
      </c>
      <c r="AC150" s="157">
        <v>0</v>
      </c>
      <c r="AD150" s="36"/>
      <c r="AE150" s="37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</row>
    <row r="151" spans="1:43" s="22" customFormat="1" ht="46.9" customHeight="1" outlineLevel="1" x14ac:dyDescent="0.2">
      <c r="A151" s="142" t="s">
        <v>503</v>
      </c>
      <c r="B151" s="71" t="s">
        <v>265</v>
      </c>
      <c r="C151" s="177">
        <f t="shared" si="144"/>
        <v>0.75</v>
      </c>
      <c r="D151" s="28">
        <f t="shared" si="145"/>
        <v>187.5</v>
      </c>
      <c r="E151" s="17">
        <v>0</v>
      </c>
      <c r="F151" s="237">
        <f t="shared" si="146"/>
        <v>0</v>
      </c>
      <c r="G151" s="152">
        <v>0</v>
      </c>
      <c r="H151" s="152">
        <v>0</v>
      </c>
      <c r="I151" s="152">
        <v>0</v>
      </c>
      <c r="J151" s="17">
        <v>0</v>
      </c>
      <c r="K151" s="237">
        <f t="shared" si="143"/>
        <v>0</v>
      </c>
      <c r="L151" s="152">
        <v>0</v>
      </c>
      <c r="M151" s="152">
        <v>0</v>
      </c>
      <c r="N151" s="152">
        <v>0</v>
      </c>
      <c r="O151" s="136">
        <v>0</v>
      </c>
      <c r="P151" s="28">
        <f t="shared" si="147"/>
        <v>0</v>
      </c>
      <c r="Q151" s="28">
        <v>0</v>
      </c>
      <c r="R151" s="28">
        <v>0</v>
      </c>
      <c r="S151" s="151">
        <v>0</v>
      </c>
      <c r="T151" s="136">
        <v>0.75</v>
      </c>
      <c r="U151" s="28">
        <f t="shared" si="148"/>
        <v>187.5</v>
      </c>
      <c r="V151" s="28">
        <v>0</v>
      </c>
      <c r="W151" s="28">
        <v>0</v>
      </c>
      <c r="X151" s="151">
        <v>187.5</v>
      </c>
      <c r="Y151" s="136">
        <v>0</v>
      </c>
      <c r="Z151" s="152">
        <f t="shared" si="149"/>
        <v>0</v>
      </c>
      <c r="AA151" s="152">
        <v>0</v>
      </c>
      <c r="AB151" s="152">
        <v>0</v>
      </c>
      <c r="AC151" s="157">
        <v>0</v>
      </c>
      <c r="AD151" s="36"/>
      <c r="AE151" s="37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</row>
    <row r="152" spans="1:43" s="22" customFormat="1" ht="32.450000000000003" customHeight="1" outlineLevel="1" x14ac:dyDescent="0.2">
      <c r="A152" s="142" t="s">
        <v>504</v>
      </c>
      <c r="B152" s="71" t="s">
        <v>917</v>
      </c>
      <c r="C152" s="177">
        <f t="shared" si="144"/>
        <v>1.88</v>
      </c>
      <c r="D152" s="28">
        <f t="shared" si="145"/>
        <v>470</v>
      </c>
      <c r="E152" s="17">
        <v>0</v>
      </c>
      <c r="F152" s="237">
        <f t="shared" si="146"/>
        <v>0</v>
      </c>
      <c r="G152" s="152">
        <v>0</v>
      </c>
      <c r="H152" s="152">
        <v>0</v>
      </c>
      <c r="I152" s="152">
        <v>0</v>
      </c>
      <c r="J152" s="17">
        <v>0</v>
      </c>
      <c r="K152" s="237">
        <f t="shared" si="143"/>
        <v>0</v>
      </c>
      <c r="L152" s="152">
        <v>0</v>
      </c>
      <c r="M152" s="152">
        <v>0</v>
      </c>
      <c r="N152" s="152">
        <v>0</v>
      </c>
      <c r="O152" s="136">
        <v>0</v>
      </c>
      <c r="P152" s="28">
        <f t="shared" si="147"/>
        <v>0</v>
      </c>
      <c r="Q152" s="28">
        <v>0</v>
      </c>
      <c r="R152" s="28">
        <v>0</v>
      </c>
      <c r="S152" s="151">
        <v>0</v>
      </c>
      <c r="T152" s="136">
        <v>1.88</v>
      </c>
      <c r="U152" s="28">
        <f t="shared" si="148"/>
        <v>470</v>
      </c>
      <c r="V152" s="28">
        <v>0</v>
      </c>
      <c r="W152" s="28">
        <v>0</v>
      </c>
      <c r="X152" s="151">
        <v>470</v>
      </c>
      <c r="Y152" s="136">
        <v>0</v>
      </c>
      <c r="Z152" s="152">
        <f t="shared" si="149"/>
        <v>0</v>
      </c>
      <c r="AA152" s="152">
        <v>0</v>
      </c>
      <c r="AB152" s="152">
        <v>0</v>
      </c>
      <c r="AC152" s="157">
        <v>0</v>
      </c>
      <c r="AD152" s="36"/>
      <c r="AE152" s="37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</row>
    <row r="153" spans="1:43" s="22" customFormat="1" ht="22.9" customHeight="1" outlineLevel="1" x14ac:dyDescent="0.2">
      <c r="A153" s="142" t="s">
        <v>505</v>
      </c>
      <c r="B153" s="71" t="s">
        <v>266</v>
      </c>
      <c r="C153" s="177">
        <f t="shared" si="144"/>
        <v>1</v>
      </c>
      <c r="D153" s="28">
        <f t="shared" si="145"/>
        <v>250</v>
      </c>
      <c r="E153" s="17">
        <v>0</v>
      </c>
      <c r="F153" s="237">
        <f t="shared" si="146"/>
        <v>0</v>
      </c>
      <c r="G153" s="152">
        <v>0</v>
      </c>
      <c r="H153" s="152">
        <v>0</v>
      </c>
      <c r="I153" s="152">
        <v>0</v>
      </c>
      <c r="J153" s="17">
        <v>0</v>
      </c>
      <c r="K153" s="237">
        <f t="shared" si="143"/>
        <v>0</v>
      </c>
      <c r="L153" s="152">
        <v>0</v>
      </c>
      <c r="M153" s="152">
        <v>0</v>
      </c>
      <c r="N153" s="152">
        <v>0</v>
      </c>
      <c r="O153" s="136">
        <v>0</v>
      </c>
      <c r="P153" s="28">
        <f t="shared" si="147"/>
        <v>0</v>
      </c>
      <c r="Q153" s="28">
        <v>0</v>
      </c>
      <c r="R153" s="28">
        <v>0</v>
      </c>
      <c r="S153" s="151">
        <v>0</v>
      </c>
      <c r="T153" s="136">
        <v>1</v>
      </c>
      <c r="U153" s="28">
        <f t="shared" si="148"/>
        <v>250</v>
      </c>
      <c r="V153" s="28">
        <v>0</v>
      </c>
      <c r="W153" s="28">
        <v>0</v>
      </c>
      <c r="X153" s="151">
        <v>250</v>
      </c>
      <c r="Y153" s="136">
        <v>0</v>
      </c>
      <c r="Z153" s="152">
        <f t="shared" si="149"/>
        <v>0</v>
      </c>
      <c r="AA153" s="152">
        <v>0</v>
      </c>
      <c r="AB153" s="152">
        <v>0</v>
      </c>
      <c r="AC153" s="157">
        <v>0</v>
      </c>
      <c r="AD153" s="36"/>
      <c r="AE153" s="37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</row>
    <row r="154" spans="1:43" s="22" customFormat="1" ht="41.45" customHeight="1" outlineLevel="1" x14ac:dyDescent="0.2">
      <c r="A154" s="142" t="s">
        <v>506</v>
      </c>
      <c r="B154" s="71" t="s">
        <v>267</v>
      </c>
      <c r="C154" s="177">
        <f t="shared" si="144"/>
        <v>0.61</v>
      </c>
      <c r="D154" s="28">
        <f t="shared" si="145"/>
        <v>152.5</v>
      </c>
      <c r="E154" s="17">
        <v>0</v>
      </c>
      <c r="F154" s="237">
        <f t="shared" si="146"/>
        <v>0</v>
      </c>
      <c r="G154" s="152">
        <v>0</v>
      </c>
      <c r="H154" s="152">
        <v>0</v>
      </c>
      <c r="I154" s="152">
        <v>0</v>
      </c>
      <c r="J154" s="17">
        <v>0</v>
      </c>
      <c r="K154" s="237">
        <f t="shared" si="143"/>
        <v>0</v>
      </c>
      <c r="L154" s="152">
        <v>0</v>
      </c>
      <c r="M154" s="152">
        <v>0</v>
      </c>
      <c r="N154" s="152">
        <v>0</v>
      </c>
      <c r="O154" s="136">
        <v>0</v>
      </c>
      <c r="P154" s="28">
        <f t="shared" si="147"/>
        <v>0</v>
      </c>
      <c r="Q154" s="28">
        <v>0</v>
      </c>
      <c r="R154" s="28">
        <v>0</v>
      </c>
      <c r="S154" s="151">
        <v>0</v>
      </c>
      <c r="T154" s="136">
        <v>0.61</v>
      </c>
      <c r="U154" s="28">
        <f t="shared" si="148"/>
        <v>152.5</v>
      </c>
      <c r="V154" s="28">
        <v>0</v>
      </c>
      <c r="W154" s="28">
        <v>0</v>
      </c>
      <c r="X154" s="151">
        <v>152.5</v>
      </c>
      <c r="Y154" s="136">
        <v>0</v>
      </c>
      <c r="Z154" s="152">
        <f t="shared" si="149"/>
        <v>0</v>
      </c>
      <c r="AA154" s="152">
        <v>0</v>
      </c>
      <c r="AB154" s="152">
        <v>0</v>
      </c>
      <c r="AC154" s="157">
        <v>0</v>
      </c>
      <c r="AD154" s="36"/>
      <c r="AE154" s="37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</row>
    <row r="155" spans="1:43" s="22" customFormat="1" ht="32.450000000000003" customHeight="1" outlineLevel="1" x14ac:dyDescent="0.2">
      <c r="A155" s="142" t="s">
        <v>507</v>
      </c>
      <c r="B155" s="71" t="s">
        <v>268</v>
      </c>
      <c r="C155" s="177">
        <f t="shared" si="144"/>
        <v>9.5499999999999989</v>
      </c>
      <c r="D155" s="28">
        <f t="shared" si="145"/>
        <v>2387.4999999999995</v>
      </c>
      <c r="E155" s="17">
        <v>0</v>
      </c>
      <c r="F155" s="237">
        <f t="shared" si="146"/>
        <v>0</v>
      </c>
      <c r="G155" s="152">
        <v>0</v>
      </c>
      <c r="H155" s="152">
        <v>0</v>
      </c>
      <c r="I155" s="152">
        <v>0</v>
      </c>
      <c r="J155" s="17">
        <v>0</v>
      </c>
      <c r="K155" s="237">
        <f t="shared" si="143"/>
        <v>0</v>
      </c>
      <c r="L155" s="152">
        <v>0</v>
      </c>
      <c r="M155" s="152">
        <v>0</v>
      </c>
      <c r="N155" s="152">
        <v>0</v>
      </c>
      <c r="O155" s="136">
        <v>0</v>
      </c>
      <c r="P155" s="28">
        <f t="shared" si="147"/>
        <v>0</v>
      </c>
      <c r="Q155" s="28">
        <v>0</v>
      </c>
      <c r="R155" s="28">
        <v>0</v>
      </c>
      <c r="S155" s="151">
        <v>0</v>
      </c>
      <c r="T155" s="136">
        <v>9.5499999999999989</v>
      </c>
      <c r="U155" s="28">
        <f t="shared" si="148"/>
        <v>2387.4999999999995</v>
      </c>
      <c r="V155" s="28">
        <v>0</v>
      </c>
      <c r="W155" s="28">
        <v>0</v>
      </c>
      <c r="X155" s="151">
        <v>2387.4999999999995</v>
      </c>
      <c r="Y155" s="136">
        <v>0</v>
      </c>
      <c r="Z155" s="152">
        <f t="shared" si="149"/>
        <v>0</v>
      </c>
      <c r="AA155" s="152">
        <v>0</v>
      </c>
      <c r="AB155" s="152">
        <v>0</v>
      </c>
      <c r="AC155" s="157">
        <v>0</v>
      </c>
      <c r="AD155" s="36"/>
      <c r="AE155" s="37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</row>
    <row r="156" spans="1:43" s="22" customFormat="1" ht="25.9" customHeight="1" outlineLevel="1" x14ac:dyDescent="0.2">
      <c r="A156" s="142" t="s">
        <v>508</v>
      </c>
      <c r="B156" s="71" t="s">
        <v>269</v>
      </c>
      <c r="C156" s="177">
        <f t="shared" si="144"/>
        <v>1.95</v>
      </c>
      <c r="D156" s="28">
        <f t="shared" si="145"/>
        <v>486.3</v>
      </c>
      <c r="E156" s="17">
        <v>0</v>
      </c>
      <c r="F156" s="237">
        <f t="shared" si="146"/>
        <v>0</v>
      </c>
      <c r="G156" s="152">
        <v>0</v>
      </c>
      <c r="H156" s="152">
        <v>0</v>
      </c>
      <c r="I156" s="152">
        <v>0</v>
      </c>
      <c r="J156" s="17">
        <v>0</v>
      </c>
      <c r="K156" s="237">
        <f t="shared" si="143"/>
        <v>0</v>
      </c>
      <c r="L156" s="152">
        <v>0</v>
      </c>
      <c r="M156" s="152">
        <v>0</v>
      </c>
      <c r="N156" s="152">
        <v>0</v>
      </c>
      <c r="O156" s="136">
        <v>0</v>
      </c>
      <c r="P156" s="28">
        <f t="shared" si="147"/>
        <v>0</v>
      </c>
      <c r="Q156" s="28">
        <v>0</v>
      </c>
      <c r="R156" s="28">
        <v>0</v>
      </c>
      <c r="S156" s="151">
        <v>0</v>
      </c>
      <c r="T156" s="136">
        <f>ROUND(1.945,2)</f>
        <v>1.95</v>
      </c>
      <c r="U156" s="28">
        <f t="shared" si="148"/>
        <v>486.3</v>
      </c>
      <c r="V156" s="28">
        <v>0</v>
      </c>
      <c r="W156" s="28">
        <v>0</v>
      </c>
      <c r="X156" s="151">
        <f>ROUND(486.25,1)</f>
        <v>486.3</v>
      </c>
      <c r="Y156" s="136">
        <v>0</v>
      </c>
      <c r="Z156" s="152">
        <f t="shared" si="149"/>
        <v>0</v>
      </c>
      <c r="AA156" s="152">
        <v>0</v>
      </c>
      <c r="AB156" s="152">
        <v>0</v>
      </c>
      <c r="AC156" s="157">
        <v>0</v>
      </c>
      <c r="AD156" s="36"/>
      <c r="AE156" s="37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</row>
    <row r="157" spans="1:43" s="22" customFormat="1" ht="30" customHeight="1" outlineLevel="1" x14ac:dyDescent="0.2">
      <c r="A157" s="142" t="s">
        <v>509</v>
      </c>
      <c r="B157" s="71" t="s">
        <v>270</v>
      </c>
      <c r="C157" s="177">
        <f t="shared" si="144"/>
        <v>3.76</v>
      </c>
      <c r="D157" s="28">
        <f t="shared" si="145"/>
        <v>938.8</v>
      </c>
      <c r="E157" s="17">
        <v>0</v>
      </c>
      <c r="F157" s="237">
        <f t="shared" si="146"/>
        <v>0</v>
      </c>
      <c r="G157" s="152">
        <v>0</v>
      </c>
      <c r="H157" s="152">
        <v>0</v>
      </c>
      <c r="I157" s="152">
        <v>0</v>
      </c>
      <c r="J157" s="17">
        <v>0</v>
      </c>
      <c r="K157" s="237">
        <f t="shared" si="143"/>
        <v>0</v>
      </c>
      <c r="L157" s="152">
        <v>0</v>
      </c>
      <c r="M157" s="152">
        <v>0</v>
      </c>
      <c r="N157" s="152">
        <v>0</v>
      </c>
      <c r="O157" s="136">
        <v>0</v>
      </c>
      <c r="P157" s="28">
        <f t="shared" si="147"/>
        <v>0</v>
      </c>
      <c r="Q157" s="28">
        <v>0</v>
      </c>
      <c r="R157" s="28">
        <v>0</v>
      </c>
      <c r="S157" s="151">
        <v>0</v>
      </c>
      <c r="T157" s="136">
        <f>ROUND(3.755,2)</f>
        <v>3.76</v>
      </c>
      <c r="U157" s="28">
        <f t="shared" si="148"/>
        <v>938.8</v>
      </c>
      <c r="V157" s="28">
        <v>0</v>
      </c>
      <c r="W157" s="28">
        <v>0</v>
      </c>
      <c r="X157" s="151">
        <f>ROUND(938.75,1)</f>
        <v>938.8</v>
      </c>
      <c r="Y157" s="136">
        <v>0</v>
      </c>
      <c r="Z157" s="152">
        <f t="shared" si="149"/>
        <v>0</v>
      </c>
      <c r="AA157" s="152">
        <v>0</v>
      </c>
      <c r="AB157" s="152">
        <v>0</v>
      </c>
      <c r="AC157" s="157">
        <v>0</v>
      </c>
      <c r="AD157" s="36"/>
      <c r="AE157" s="37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</row>
    <row r="158" spans="1:43" s="22" customFormat="1" ht="34.15" customHeight="1" outlineLevel="1" x14ac:dyDescent="0.2">
      <c r="A158" s="142" t="s">
        <v>510</v>
      </c>
      <c r="B158" s="71" t="s">
        <v>271</v>
      </c>
      <c r="C158" s="177">
        <f t="shared" si="144"/>
        <v>0.8899999999999999</v>
      </c>
      <c r="D158" s="28">
        <f t="shared" si="145"/>
        <v>222.49999999999997</v>
      </c>
      <c r="E158" s="17">
        <v>0</v>
      </c>
      <c r="F158" s="237">
        <f t="shared" si="146"/>
        <v>0</v>
      </c>
      <c r="G158" s="152">
        <v>0</v>
      </c>
      <c r="H158" s="152">
        <v>0</v>
      </c>
      <c r="I158" s="152">
        <v>0</v>
      </c>
      <c r="J158" s="17">
        <v>0</v>
      </c>
      <c r="K158" s="237">
        <f t="shared" si="143"/>
        <v>0</v>
      </c>
      <c r="L158" s="152">
        <v>0</v>
      </c>
      <c r="M158" s="152">
        <v>0</v>
      </c>
      <c r="N158" s="152">
        <v>0</v>
      </c>
      <c r="O158" s="136">
        <v>0</v>
      </c>
      <c r="P158" s="28">
        <f t="shared" si="147"/>
        <v>0</v>
      </c>
      <c r="Q158" s="28">
        <v>0</v>
      </c>
      <c r="R158" s="28">
        <v>0</v>
      </c>
      <c r="S158" s="151">
        <v>0</v>
      </c>
      <c r="T158" s="136">
        <v>0.8899999999999999</v>
      </c>
      <c r="U158" s="28">
        <f t="shared" si="148"/>
        <v>222.49999999999997</v>
      </c>
      <c r="V158" s="28">
        <v>0</v>
      </c>
      <c r="W158" s="28">
        <v>0</v>
      </c>
      <c r="X158" s="151">
        <v>222.49999999999997</v>
      </c>
      <c r="Y158" s="136">
        <v>0</v>
      </c>
      <c r="Z158" s="152">
        <f t="shared" si="149"/>
        <v>0</v>
      </c>
      <c r="AA158" s="152">
        <v>0</v>
      </c>
      <c r="AB158" s="152">
        <v>0</v>
      </c>
      <c r="AC158" s="157">
        <v>0</v>
      </c>
      <c r="AD158" s="36"/>
      <c r="AE158" s="37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</row>
    <row r="159" spans="1:43" s="22" customFormat="1" ht="46.9" customHeight="1" outlineLevel="1" x14ac:dyDescent="0.2">
      <c r="A159" s="142" t="s">
        <v>511</v>
      </c>
      <c r="B159" s="71" t="s">
        <v>272</v>
      </c>
      <c r="C159" s="177">
        <f t="shared" si="144"/>
        <v>0.55000000000000004</v>
      </c>
      <c r="D159" s="28">
        <f t="shared" si="145"/>
        <v>137.5</v>
      </c>
      <c r="E159" s="17">
        <v>0</v>
      </c>
      <c r="F159" s="237">
        <f t="shared" si="146"/>
        <v>0</v>
      </c>
      <c r="G159" s="152">
        <v>0</v>
      </c>
      <c r="H159" s="152">
        <v>0</v>
      </c>
      <c r="I159" s="152">
        <v>0</v>
      </c>
      <c r="J159" s="17">
        <v>0</v>
      </c>
      <c r="K159" s="237">
        <f t="shared" si="143"/>
        <v>0</v>
      </c>
      <c r="L159" s="152">
        <v>0</v>
      </c>
      <c r="M159" s="152">
        <v>0</v>
      </c>
      <c r="N159" s="152">
        <v>0</v>
      </c>
      <c r="O159" s="136">
        <v>0</v>
      </c>
      <c r="P159" s="28">
        <f t="shared" si="147"/>
        <v>0</v>
      </c>
      <c r="Q159" s="28">
        <v>0</v>
      </c>
      <c r="R159" s="28">
        <v>0</v>
      </c>
      <c r="S159" s="151">
        <v>0</v>
      </c>
      <c r="T159" s="136">
        <v>0.55000000000000004</v>
      </c>
      <c r="U159" s="28">
        <f t="shared" si="148"/>
        <v>137.5</v>
      </c>
      <c r="V159" s="28">
        <v>0</v>
      </c>
      <c r="W159" s="28">
        <v>0</v>
      </c>
      <c r="X159" s="151">
        <v>137.5</v>
      </c>
      <c r="Y159" s="136">
        <v>0</v>
      </c>
      <c r="Z159" s="152">
        <f t="shared" si="149"/>
        <v>0</v>
      </c>
      <c r="AA159" s="152">
        <v>0</v>
      </c>
      <c r="AB159" s="152">
        <v>0</v>
      </c>
      <c r="AC159" s="157">
        <v>0</v>
      </c>
      <c r="AD159" s="36"/>
      <c r="AE159" s="37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</row>
    <row r="160" spans="1:43" s="22" customFormat="1" ht="32.450000000000003" customHeight="1" outlineLevel="1" x14ac:dyDescent="0.2">
      <c r="A160" s="142" t="s">
        <v>512</v>
      </c>
      <c r="B160" s="71" t="s">
        <v>918</v>
      </c>
      <c r="C160" s="177">
        <f t="shared" si="144"/>
        <v>1.6600000000000001</v>
      </c>
      <c r="D160" s="28">
        <f t="shared" si="145"/>
        <v>415.00000000000006</v>
      </c>
      <c r="E160" s="17">
        <v>0</v>
      </c>
      <c r="F160" s="237">
        <f t="shared" si="146"/>
        <v>0</v>
      </c>
      <c r="G160" s="152">
        <v>0</v>
      </c>
      <c r="H160" s="152">
        <v>0</v>
      </c>
      <c r="I160" s="152">
        <v>0</v>
      </c>
      <c r="J160" s="17">
        <v>0</v>
      </c>
      <c r="K160" s="237">
        <f t="shared" si="143"/>
        <v>0</v>
      </c>
      <c r="L160" s="152">
        <v>0</v>
      </c>
      <c r="M160" s="152">
        <v>0</v>
      </c>
      <c r="N160" s="152">
        <v>0</v>
      </c>
      <c r="O160" s="136">
        <v>0</v>
      </c>
      <c r="P160" s="28">
        <f t="shared" si="147"/>
        <v>0</v>
      </c>
      <c r="Q160" s="28">
        <v>0</v>
      </c>
      <c r="R160" s="28">
        <v>0</v>
      </c>
      <c r="S160" s="151">
        <v>0</v>
      </c>
      <c r="T160" s="136">
        <v>1.6600000000000001</v>
      </c>
      <c r="U160" s="28">
        <f t="shared" si="148"/>
        <v>415.00000000000006</v>
      </c>
      <c r="V160" s="28">
        <v>0</v>
      </c>
      <c r="W160" s="28">
        <v>0</v>
      </c>
      <c r="X160" s="151">
        <v>415.00000000000006</v>
      </c>
      <c r="Y160" s="136">
        <v>0</v>
      </c>
      <c r="Z160" s="152">
        <f t="shared" si="149"/>
        <v>0</v>
      </c>
      <c r="AA160" s="152">
        <v>0</v>
      </c>
      <c r="AB160" s="152">
        <v>0</v>
      </c>
      <c r="AC160" s="157">
        <v>0</v>
      </c>
      <c r="AD160" s="36"/>
      <c r="AE160" s="37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</row>
    <row r="161" spans="1:43" s="22" customFormat="1" ht="43.15" customHeight="1" outlineLevel="1" x14ac:dyDescent="0.2">
      <c r="A161" s="142" t="s">
        <v>513</v>
      </c>
      <c r="B161" s="71" t="s">
        <v>273</v>
      </c>
      <c r="C161" s="177">
        <f t="shared" si="144"/>
        <v>0.25</v>
      </c>
      <c r="D161" s="28">
        <f t="shared" si="145"/>
        <v>62.5</v>
      </c>
      <c r="E161" s="17">
        <v>0</v>
      </c>
      <c r="F161" s="237">
        <f t="shared" si="146"/>
        <v>0</v>
      </c>
      <c r="G161" s="152">
        <v>0</v>
      </c>
      <c r="H161" s="152">
        <v>0</v>
      </c>
      <c r="I161" s="152">
        <v>0</v>
      </c>
      <c r="J161" s="17">
        <v>0</v>
      </c>
      <c r="K161" s="237">
        <f t="shared" si="143"/>
        <v>0</v>
      </c>
      <c r="L161" s="152">
        <v>0</v>
      </c>
      <c r="M161" s="152">
        <v>0</v>
      </c>
      <c r="N161" s="152">
        <v>0</v>
      </c>
      <c r="O161" s="136">
        <v>0</v>
      </c>
      <c r="P161" s="28">
        <f t="shared" si="147"/>
        <v>0</v>
      </c>
      <c r="Q161" s="28">
        <v>0</v>
      </c>
      <c r="R161" s="28">
        <v>0</v>
      </c>
      <c r="S161" s="151">
        <v>0</v>
      </c>
      <c r="T161" s="136">
        <v>0.25</v>
      </c>
      <c r="U161" s="28">
        <f t="shared" si="148"/>
        <v>62.5</v>
      </c>
      <c r="V161" s="28">
        <v>0</v>
      </c>
      <c r="W161" s="28">
        <v>0</v>
      </c>
      <c r="X161" s="151">
        <v>62.5</v>
      </c>
      <c r="Y161" s="136">
        <v>0</v>
      </c>
      <c r="Z161" s="152">
        <f t="shared" si="149"/>
        <v>0</v>
      </c>
      <c r="AA161" s="152">
        <v>0</v>
      </c>
      <c r="AB161" s="152">
        <v>0</v>
      </c>
      <c r="AC161" s="157">
        <v>0</v>
      </c>
      <c r="AD161" s="36"/>
      <c r="AE161" s="37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</row>
    <row r="162" spans="1:43" s="22" customFormat="1" ht="33" customHeight="1" outlineLevel="1" x14ac:dyDescent="0.2">
      <c r="A162" s="142" t="s">
        <v>514</v>
      </c>
      <c r="B162" s="71" t="s">
        <v>274</v>
      </c>
      <c r="C162" s="177">
        <f t="shared" si="144"/>
        <v>1.03</v>
      </c>
      <c r="D162" s="28">
        <f t="shared" si="145"/>
        <v>256.3</v>
      </c>
      <c r="E162" s="17">
        <v>0</v>
      </c>
      <c r="F162" s="237">
        <f t="shared" si="146"/>
        <v>0</v>
      </c>
      <c r="G162" s="152">
        <v>0</v>
      </c>
      <c r="H162" s="152">
        <v>0</v>
      </c>
      <c r="I162" s="152">
        <v>0</v>
      </c>
      <c r="J162" s="17">
        <v>0</v>
      </c>
      <c r="K162" s="237">
        <f t="shared" si="143"/>
        <v>0</v>
      </c>
      <c r="L162" s="152">
        <v>0</v>
      </c>
      <c r="M162" s="152">
        <v>0</v>
      </c>
      <c r="N162" s="152">
        <v>0</v>
      </c>
      <c r="O162" s="136">
        <v>0</v>
      </c>
      <c r="P162" s="28">
        <f t="shared" si="147"/>
        <v>0</v>
      </c>
      <c r="Q162" s="28">
        <v>0</v>
      </c>
      <c r="R162" s="28">
        <v>0</v>
      </c>
      <c r="S162" s="151">
        <v>0</v>
      </c>
      <c r="T162" s="136">
        <f>ROUND(1.025,2)</f>
        <v>1.03</v>
      </c>
      <c r="U162" s="28">
        <f t="shared" si="148"/>
        <v>256.3</v>
      </c>
      <c r="V162" s="28">
        <v>0</v>
      </c>
      <c r="W162" s="28">
        <v>0</v>
      </c>
      <c r="X162" s="151">
        <f>ROUND(256.25,1)</f>
        <v>256.3</v>
      </c>
      <c r="Y162" s="136">
        <v>0</v>
      </c>
      <c r="Z162" s="152">
        <f t="shared" si="149"/>
        <v>0</v>
      </c>
      <c r="AA162" s="152">
        <v>0</v>
      </c>
      <c r="AB162" s="152">
        <v>0</v>
      </c>
      <c r="AC162" s="157">
        <v>0</v>
      </c>
      <c r="AD162" s="36"/>
      <c r="AE162" s="37"/>
      <c r="AF162" s="24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</row>
    <row r="163" spans="1:43" s="22" customFormat="1" ht="26.45" customHeight="1" outlineLevel="1" x14ac:dyDescent="0.2">
      <c r="A163" s="142" t="s">
        <v>515</v>
      </c>
      <c r="B163" s="71" t="s">
        <v>275</v>
      </c>
      <c r="C163" s="177">
        <f t="shared" si="144"/>
        <v>2</v>
      </c>
      <c r="D163" s="28">
        <f t="shared" si="145"/>
        <v>500</v>
      </c>
      <c r="E163" s="17">
        <v>0</v>
      </c>
      <c r="F163" s="237">
        <f t="shared" si="146"/>
        <v>0</v>
      </c>
      <c r="G163" s="152">
        <v>0</v>
      </c>
      <c r="H163" s="152">
        <v>0</v>
      </c>
      <c r="I163" s="152">
        <v>0</v>
      </c>
      <c r="J163" s="17">
        <v>0</v>
      </c>
      <c r="K163" s="237">
        <f t="shared" si="143"/>
        <v>0</v>
      </c>
      <c r="L163" s="152">
        <v>0</v>
      </c>
      <c r="M163" s="152">
        <v>0</v>
      </c>
      <c r="N163" s="152">
        <v>0</v>
      </c>
      <c r="O163" s="136">
        <v>0</v>
      </c>
      <c r="P163" s="28">
        <f t="shared" si="147"/>
        <v>0</v>
      </c>
      <c r="Q163" s="28">
        <v>0</v>
      </c>
      <c r="R163" s="28">
        <v>0</v>
      </c>
      <c r="S163" s="151">
        <v>0</v>
      </c>
      <c r="T163" s="136">
        <v>2</v>
      </c>
      <c r="U163" s="28">
        <f t="shared" si="148"/>
        <v>500</v>
      </c>
      <c r="V163" s="28">
        <v>0</v>
      </c>
      <c r="W163" s="28">
        <v>0</v>
      </c>
      <c r="X163" s="151">
        <v>500</v>
      </c>
      <c r="Y163" s="136">
        <v>0</v>
      </c>
      <c r="Z163" s="152">
        <f t="shared" si="149"/>
        <v>0</v>
      </c>
      <c r="AA163" s="152">
        <v>0</v>
      </c>
      <c r="AB163" s="152">
        <v>0</v>
      </c>
      <c r="AC163" s="157">
        <v>0</v>
      </c>
      <c r="AD163" s="36"/>
      <c r="AE163" s="37"/>
      <c r="AF163" s="24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</row>
    <row r="164" spans="1:43" s="22" customFormat="1" ht="32.450000000000003" customHeight="1" outlineLevel="1" x14ac:dyDescent="0.2">
      <c r="A164" s="142" t="s">
        <v>516</v>
      </c>
      <c r="B164" s="71" t="s">
        <v>276</v>
      </c>
      <c r="C164" s="177">
        <f t="shared" si="144"/>
        <v>2.88</v>
      </c>
      <c r="D164" s="28">
        <f t="shared" si="145"/>
        <v>718.8</v>
      </c>
      <c r="E164" s="17">
        <v>0</v>
      </c>
      <c r="F164" s="237">
        <f t="shared" si="146"/>
        <v>0</v>
      </c>
      <c r="G164" s="152">
        <v>0</v>
      </c>
      <c r="H164" s="152">
        <v>0</v>
      </c>
      <c r="I164" s="152">
        <v>0</v>
      </c>
      <c r="J164" s="17">
        <v>0</v>
      </c>
      <c r="K164" s="237">
        <f t="shared" si="143"/>
        <v>0</v>
      </c>
      <c r="L164" s="152">
        <v>0</v>
      </c>
      <c r="M164" s="152">
        <v>0</v>
      </c>
      <c r="N164" s="152">
        <v>0</v>
      </c>
      <c r="O164" s="136">
        <v>0</v>
      </c>
      <c r="P164" s="28">
        <f t="shared" si="147"/>
        <v>0</v>
      </c>
      <c r="Q164" s="28">
        <v>0</v>
      </c>
      <c r="R164" s="28">
        <v>0</v>
      </c>
      <c r="S164" s="151">
        <v>0</v>
      </c>
      <c r="T164" s="136">
        <f>ROUND(2.875,2)</f>
        <v>2.88</v>
      </c>
      <c r="U164" s="28">
        <f t="shared" si="148"/>
        <v>718.8</v>
      </c>
      <c r="V164" s="28">
        <v>0</v>
      </c>
      <c r="W164" s="28">
        <v>0</v>
      </c>
      <c r="X164" s="151">
        <f>ROUND(718.75,1)</f>
        <v>718.8</v>
      </c>
      <c r="Y164" s="136">
        <v>0</v>
      </c>
      <c r="Z164" s="152">
        <f t="shared" si="149"/>
        <v>0</v>
      </c>
      <c r="AA164" s="152">
        <v>0</v>
      </c>
      <c r="AB164" s="152">
        <v>0</v>
      </c>
      <c r="AC164" s="157">
        <v>0</v>
      </c>
      <c r="AD164" s="36"/>
      <c r="AE164" s="37"/>
      <c r="AF164" s="24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</row>
    <row r="165" spans="1:43" s="22" customFormat="1" ht="36" customHeight="1" outlineLevel="1" x14ac:dyDescent="0.2">
      <c r="A165" s="142" t="s">
        <v>517</v>
      </c>
      <c r="B165" s="71" t="s">
        <v>277</v>
      </c>
      <c r="C165" s="177">
        <f t="shared" si="144"/>
        <v>3.7800000000000002</v>
      </c>
      <c r="D165" s="28">
        <f t="shared" si="145"/>
        <v>945.00000000000011</v>
      </c>
      <c r="E165" s="17">
        <v>0</v>
      </c>
      <c r="F165" s="237">
        <f t="shared" si="146"/>
        <v>0</v>
      </c>
      <c r="G165" s="152">
        <v>0</v>
      </c>
      <c r="H165" s="152">
        <v>0</v>
      </c>
      <c r="I165" s="152">
        <v>0</v>
      </c>
      <c r="J165" s="17">
        <v>0</v>
      </c>
      <c r="K165" s="237">
        <f t="shared" si="143"/>
        <v>0</v>
      </c>
      <c r="L165" s="152">
        <v>0</v>
      </c>
      <c r="M165" s="152">
        <v>0</v>
      </c>
      <c r="N165" s="152">
        <v>0</v>
      </c>
      <c r="O165" s="136">
        <v>0</v>
      </c>
      <c r="P165" s="28">
        <f t="shared" si="147"/>
        <v>0</v>
      </c>
      <c r="Q165" s="28">
        <v>0</v>
      </c>
      <c r="R165" s="28">
        <v>0</v>
      </c>
      <c r="S165" s="151">
        <v>0</v>
      </c>
      <c r="T165" s="136">
        <v>3.7800000000000002</v>
      </c>
      <c r="U165" s="28">
        <f t="shared" si="148"/>
        <v>945.00000000000011</v>
      </c>
      <c r="V165" s="28">
        <v>0</v>
      </c>
      <c r="W165" s="28">
        <v>0</v>
      </c>
      <c r="X165" s="151">
        <v>945.00000000000011</v>
      </c>
      <c r="Y165" s="136">
        <v>0</v>
      </c>
      <c r="Z165" s="152">
        <f t="shared" si="149"/>
        <v>0</v>
      </c>
      <c r="AA165" s="152">
        <v>0</v>
      </c>
      <c r="AB165" s="152">
        <v>0</v>
      </c>
      <c r="AC165" s="157">
        <v>0</v>
      </c>
      <c r="AD165" s="36"/>
      <c r="AE165" s="37"/>
      <c r="AF165" s="24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</row>
    <row r="166" spans="1:43" s="22" customFormat="1" ht="46.9" customHeight="1" outlineLevel="1" x14ac:dyDescent="0.2">
      <c r="A166" s="142" t="s">
        <v>518</v>
      </c>
      <c r="B166" s="127" t="s">
        <v>278</v>
      </c>
      <c r="C166" s="177">
        <f t="shared" si="144"/>
        <v>2.29</v>
      </c>
      <c r="D166" s="28">
        <f t="shared" si="145"/>
        <v>572.5</v>
      </c>
      <c r="E166" s="17">
        <v>0</v>
      </c>
      <c r="F166" s="237">
        <f t="shared" si="146"/>
        <v>0</v>
      </c>
      <c r="G166" s="152">
        <v>0</v>
      </c>
      <c r="H166" s="152">
        <v>0</v>
      </c>
      <c r="I166" s="152">
        <v>0</v>
      </c>
      <c r="J166" s="17">
        <v>0</v>
      </c>
      <c r="K166" s="237">
        <f t="shared" si="143"/>
        <v>0</v>
      </c>
      <c r="L166" s="152">
        <v>0</v>
      </c>
      <c r="M166" s="152">
        <v>0</v>
      </c>
      <c r="N166" s="152">
        <v>0</v>
      </c>
      <c r="O166" s="136">
        <v>0</v>
      </c>
      <c r="P166" s="28">
        <f t="shared" si="147"/>
        <v>0</v>
      </c>
      <c r="Q166" s="28">
        <v>0</v>
      </c>
      <c r="R166" s="28">
        <v>0</v>
      </c>
      <c r="S166" s="151">
        <v>0</v>
      </c>
      <c r="T166" s="136">
        <v>2.29</v>
      </c>
      <c r="U166" s="28">
        <f t="shared" si="148"/>
        <v>572.5</v>
      </c>
      <c r="V166" s="28">
        <v>0</v>
      </c>
      <c r="W166" s="28">
        <v>0</v>
      </c>
      <c r="X166" s="151">
        <v>572.5</v>
      </c>
      <c r="Y166" s="136">
        <v>0</v>
      </c>
      <c r="Z166" s="152">
        <f t="shared" si="149"/>
        <v>0</v>
      </c>
      <c r="AA166" s="152">
        <v>0</v>
      </c>
      <c r="AB166" s="152">
        <v>0</v>
      </c>
      <c r="AC166" s="157">
        <v>0</v>
      </c>
      <c r="AD166" s="36"/>
      <c r="AE166" s="37"/>
      <c r="AF166" s="24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</row>
    <row r="167" spans="1:43" s="22" customFormat="1" ht="53.45" customHeight="1" outlineLevel="1" x14ac:dyDescent="0.2">
      <c r="A167" s="142" t="s">
        <v>519</v>
      </c>
      <c r="B167" s="127" t="s">
        <v>279</v>
      </c>
      <c r="C167" s="177">
        <f t="shared" si="144"/>
        <v>4.88</v>
      </c>
      <c r="D167" s="28">
        <f t="shared" si="145"/>
        <v>1218.8</v>
      </c>
      <c r="E167" s="17">
        <v>0</v>
      </c>
      <c r="F167" s="237">
        <f t="shared" si="146"/>
        <v>0</v>
      </c>
      <c r="G167" s="152">
        <v>0</v>
      </c>
      <c r="H167" s="152">
        <v>0</v>
      </c>
      <c r="I167" s="152">
        <v>0</v>
      </c>
      <c r="J167" s="17">
        <v>0</v>
      </c>
      <c r="K167" s="237">
        <f t="shared" si="143"/>
        <v>0</v>
      </c>
      <c r="L167" s="152">
        <v>0</v>
      </c>
      <c r="M167" s="152">
        <v>0</v>
      </c>
      <c r="N167" s="152">
        <v>0</v>
      </c>
      <c r="O167" s="136">
        <v>0</v>
      </c>
      <c r="P167" s="28">
        <f t="shared" si="147"/>
        <v>0</v>
      </c>
      <c r="Q167" s="28">
        <v>0</v>
      </c>
      <c r="R167" s="28">
        <v>0</v>
      </c>
      <c r="S167" s="151">
        <v>0</v>
      </c>
      <c r="T167" s="136">
        <f>ROUND(4.875,2)</f>
        <v>4.88</v>
      </c>
      <c r="U167" s="28">
        <f t="shared" si="148"/>
        <v>1218.8</v>
      </c>
      <c r="V167" s="28">
        <v>0</v>
      </c>
      <c r="W167" s="28">
        <v>0</v>
      </c>
      <c r="X167" s="151">
        <f>ROUND(1218.75,1)</f>
        <v>1218.8</v>
      </c>
      <c r="Y167" s="136">
        <v>0</v>
      </c>
      <c r="Z167" s="152">
        <f t="shared" si="149"/>
        <v>0</v>
      </c>
      <c r="AA167" s="152">
        <v>0</v>
      </c>
      <c r="AB167" s="152">
        <v>0</v>
      </c>
      <c r="AC167" s="157">
        <v>0</v>
      </c>
      <c r="AD167" s="36"/>
      <c r="AE167" s="37"/>
      <c r="AF167" s="24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</row>
    <row r="168" spans="1:43" s="22" customFormat="1" ht="31.9" customHeight="1" outlineLevel="1" x14ac:dyDescent="0.2">
      <c r="A168" s="142" t="s">
        <v>520</v>
      </c>
      <c r="B168" s="127" t="s">
        <v>280</v>
      </c>
      <c r="C168" s="177">
        <f t="shared" si="144"/>
        <v>4.55</v>
      </c>
      <c r="D168" s="28">
        <f t="shared" si="145"/>
        <v>1137.5</v>
      </c>
      <c r="E168" s="17">
        <v>0</v>
      </c>
      <c r="F168" s="237">
        <f t="shared" si="146"/>
        <v>0</v>
      </c>
      <c r="G168" s="152">
        <v>0</v>
      </c>
      <c r="H168" s="152">
        <v>0</v>
      </c>
      <c r="I168" s="152">
        <v>0</v>
      </c>
      <c r="J168" s="17">
        <v>0</v>
      </c>
      <c r="K168" s="237">
        <f t="shared" si="143"/>
        <v>0</v>
      </c>
      <c r="L168" s="152">
        <v>0</v>
      </c>
      <c r="M168" s="152">
        <v>0</v>
      </c>
      <c r="N168" s="152">
        <v>0</v>
      </c>
      <c r="O168" s="136">
        <v>0</v>
      </c>
      <c r="P168" s="28">
        <f t="shared" si="147"/>
        <v>0</v>
      </c>
      <c r="Q168" s="28">
        <v>0</v>
      </c>
      <c r="R168" s="28">
        <v>0</v>
      </c>
      <c r="S168" s="151">
        <v>0</v>
      </c>
      <c r="T168" s="136">
        <v>4.55</v>
      </c>
      <c r="U168" s="28">
        <f t="shared" si="148"/>
        <v>1137.5</v>
      </c>
      <c r="V168" s="28">
        <v>0</v>
      </c>
      <c r="W168" s="28">
        <v>0</v>
      </c>
      <c r="X168" s="151">
        <v>1137.5</v>
      </c>
      <c r="Y168" s="136">
        <v>0</v>
      </c>
      <c r="Z168" s="152">
        <f t="shared" si="149"/>
        <v>0</v>
      </c>
      <c r="AA168" s="152">
        <v>0</v>
      </c>
      <c r="AB168" s="152">
        <v>0</v>
      </c>
      <c r="AC168" s="157">
        <v>0</v>
      </c>
      <c r="AD168" s="36"/>
      <c r="AE168" s="37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</row>
    <row r="169" spans="1:43" s="22" customFormat="1" ht="26.45" customHeight="1" outlineLevel="1" x14ac:dyDescent="0.2">
      <c r="A169" s="142" t="s">
        <v>521</v>
      </c>
      <c r="B169" s="127" t="s">
        <v>281</v>
      </c>
      <c r="C169" s="177">
        <f t="shared" si="144"/>
        <v>3.77</v>
      </c>
      <c r="D169" s="28">
        <f t="shared" si="145"/>
        <v>941.3</v>
      </c>
      <c r="E169" s="17">
        <v>0</v>
      </c>
      <c r="F169" s="237">
        <f t="shared" si="146"/>
        <v>0</v>
      </c>
      <c r="G169" s="152">
        <v>0</v>
      </c>
      <c r="H169" s="152">
        <v>0</v>
      </c>
      <c r="I169" s="152">
        <v>0</v>
      </c>
      <c r="J169" s="17">
        <v>0</v>
      </c>
      <c r="K169" s="237">
        <f t="shared" si="143"/>
        <v>0</v>
      </c>
      <c r="L169" s="152">
        <v>0</v>
      </c>
      <c r="M169" s="152">
        <v>0</v>
      </c>
      <c r="N169" s="152">
        <v>0</v>
      </c>
      <c r="O169" s="136">
        <v>0</v>
      </c>
      <c r="P169" s="28">
        <f t="shared" si="147"/>
        <v>0</v>
      </c>
      <c r="Q169" s="28">
        <v>0</v>
      </c>
      <c r="R169" s="28">
        <v>0</v>
      </c>
      <c r="S169" s="151">
        <v>0</v>
      </c>
      <c r="T169" s="136">
        <f>ROUND(3.765,2)</f>
        <v>3.77</v>
      </c>
      <c r="U169" s="28">
        <f t="shared" si="148"/>
        <v>941.3</v>
      </c>
      <c r="V169" s="28">
        <v>0</v>
      </c>
      <c r="W169" s="28">
        <v>0</v>
      </c>
      <c r="X169" s="151">
        <f>ROUND(941.25,1)</f>
        <v>941.3</v>
      </c>
      <c r="Y169" s="136">
        <v>0</v>
      </c>
      <c r="Z169" s="152">
        <f t="shared" si="149"/>
        <v>0</v>
      </c>
      <c r="AA169" s="152">
        <v>0</v>
      </c>
      <c r="AB169" s="152">
        <v>0</v>
      </c>
      <c r="AC169" s="157">
        <v>0</v>
      </c>
      <c r="AD169" s="36"/>
      <c r="AE169" s="37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</row>
    <row r="170" spans="1:43" s="22" customFormat="1" ht="31.15" customHeight="1" outlineLevel="1" x14ac:dyDescent="0.2">
      <c r="A170" s="142" t="s">
        <v>522</v>
      </c>
      <c r="B170" s="127" t="s">
        <v>282</v>
      </c>
      <c r="C170" s="177">
        <f t="shared" si="144"/>
        <v>1.08</v>
      </c>
      <c r="D170" s="28">
        <f t="shared" si="145"/>
        <v>268.8</v>
      </c>
      <c r="E170" s="17">
        <v>0</v>
      </c>
      <c r="F170" s="237">
        <f t="shared" si="146"/>
        <v>0</v>
      </c>
      <c r="G170" s="152">
        <v>0</v>
      </c>
      <c r="H170" s="152">
        <v>0</v>
      </c>
      <c r="I170" s="152">
        <v>0</v>
      </c>
      <c r="J170" s="17">
        <v>0</v>
      </c>
      <c r="K170" s="237">
        <f t="shared" si="143"/>
        <v>0</v>
      </c>
      <c r="L170" s="152">
        <v>0</v>
      </c>
      <c r="M170" s="152">
        <v>0</v>
      </c>
      <c r="N170" s="152">
        <v>0</v>
      </c>
      <c r="O170" s="136">
        <v>0</v>
      </c>
      <c r="P170" s="28">
        <f t="shared" si="147"/>
        <v>0</v>
      </c>
      <c r="Q170" s="28">
        <v>0</v>
      </c>
      <c r="R170" s="28">
        <v>0</v>
      </c>
      <c r="S170" s="151">
        <v>0</v>
      </c>
      <c r="T170" s="136">
        <f>ROUND(1.075,2)</f>
        <v>1.08</v>
      </c>
      <c r="U170" s="28">
        <f t="shared" si="148"/>
        <v>268.8</v>
      </c>
      <c r="V170" s="28">
        <v>0</v>
      </c>
      <c r="W170" s="28">
        <v>0</v>
      </c>
      <c r="X170" s="151">
        <f>ROUND(268.75,1)</f>
        <v>268.8</v>
      </c>
      <c r="Y170" s="136">
        <v>0</v>
      </c>
      <c r="Z170" s="152">
        <f t="shared" si="149"/>
        <v>0</v>
      </c>
      <c r="AA170" s="152">
        <v>0</v>
      </c>
      <c r="AB170" s="152">
        <v>0</v>
      </c>
      <c r="AC170" s="157">
        <v>0</v>
      </c>
      <c r="AD170" s="36"/>
      <c r="AE170" s="37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</row>
    <row r="171" spans="1:43" s="22" customFormat="1" ht="32.450000000000003" customHeight="1" outlineLevel="1" x14ac:dyDescent="0.2">
      <c r="A171" s="142" t="s">
        <v>523</v>
      </c>
      <c r="B171" s="127" t="s">
        <v>283</v>
      </c>
      <c r="C171" s="177">
        <f t="shared" si="144"/>
        <v>3.53</v>
      </c>
      <c r="D171" s="28">
        <f t="shared" si="145"/>
        <v>882.5</v>
      </c>
      <c r="E171" s="17">
        <v>0</v>
      </c>
      <c r="F171" s="237">
        <f t="shared" si="146"/>
        <v>0</v>
      </c>
      <c r="G171" s="152">
        <v>0</v>
      </c>
      <c r="H171" s="152">
        <v>0</v>
      </c>
      <c r="I171" s="152">
        <v>0</v>
      </c>
      <c r="J171" s="17">
        <v>0</v>
      </c>
      <c r="K171" s="237">
        <f t="shared" si="143"/>
        <v>0</v>
      </c>
      <c r="L171" s="152">
        <v>0</v>
      </c>
      <c r="M171" s="152">
        <v>0</v>
      </c>
      <c r="N171" s="152">
        <v>0</v>
      </c>
      <c r="O171" s="136">
        <v>0</v>
      </c>
      <c r="P171" s="28">
        <f t="shared" si="147"/>
        <v>0</v>
      </c>
      <c r="Q171" s="28">
        <v>0</v>
      </c>
      <c r="R171" s="28">
        <v>0</v>
      </c>
      <c r="S171" s="151">
        <v>0</v>
      </c>
      <c r="T171" s="136">
        <v>3.53</v>
      </c>
      <c r="U171" s="28">
        <f t="shared" si="148"/>
        <v>882.5</v>
      </c>
      <c r="V171" s="28">
        <v>0</v>
      </c>
      <c r="W171" s="28">
        <v>0</v>
      </c>
      <c r="X171" s="151">
        <v>882.5</v>
      </c>
      <c r="Y171" s="136">
        <v>0</v>
      </c>
      <c r="Z171" s="152">
        <f t="shared" si="149"/>
        <v>0</v>
      </c>
      <c r="AA171" s="152">
        <v>0</v>
      </c>
      <c r="AB171" s="152">
        <v>0</v>
      </c>
      <c r="AC171" s="157">
        <v>0</v>
      </c>
      <c r="AD171" s="36"/>
      <c r="AE171" s="37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</row>
    <row r="172" spans="1:43" s="22" customFormat="1" ht="30.6" customHeight="1" outlineLevel="1" x14ac:dyDescent="0.2">
      <c r="A172" s="142" t="s">
        <v>524</v>
      </c>
      <c r="B172" s="127" t="s">
        <v>284</v>
      </c>
      <c r="C172" s="177">
        <f t="shared" si="144"/>
        <v>2.1</v>
      </c>
      <c r="D172" s="28">
        <f t="shared" si="145"/>
        <v>525</v>
      </c>
      <c r="E172" s="17">
        <v>0</v>
      </c>
      <c r="F172" s="237">
        <f t="shared" si="146"/>
        <v>0</v>
      </c>
      <c r="G172" s="152">
        <v>0</v>
      </c>
      <c r="H172" s="152">
        <v>0</v>
      </c>
      <c r="I172" s="152">
        <v>0</v>
      </c>
      <c r="J172" s="17">
        <v>0</v>
      </c>
      <c r="K172" s="237">
        <f t="shared" si="143"/>
        <v>0</v>
      </c>
      <c r="L172" s="152">
        <v>0</v>
      </c>
      <c r="M172" s="152">
        <v>0</v>
      </c>
      <c r="N172" s="152">
        <v>0</v>
      </c>
      <c r="O172" s="136">
        <v>0</v>
      </c>
      <c r="P172" s="28">
        <f t="shared" si="147"/>
        <v>0</v>
      </c>
      <c r="Q172" s="28">
        <v>0</v>
      </c>
      <c r="R172" s="28">
        <v>0</v>
      </c>
      <c r="S172" s="151">
        <v>0</v>
      </c>
      <c r="T172" s="136">
        <v>2.1</v>
      </c>
      <c r="U172" s="28">
        <f t="shared" si="148"/>
        <v>525</v>
      </c>
      <c r="V172" s="28">
        <v>0</v>
      </c>
      <c r="W172" s="28">
        <v>0</v>
      </c>
      <c r="X172" s="151">
        <v>525</v>
      </c>
      <c r="Y172" s="136">
        <v>0</v>
      </c>
      <c r="Z172" s="152">
        <f t="shared" si="149"/>
        <v>0</v>
      </c>
      <c r="AA172" s="152">
        <v>0</v>
      </c>
      <c r="AB172" s="152">
        <v>0</v>
      </c>
      <c r="AC172" s="157">
        <v>0</v>
      </c>
      <c r="AD172" s="36"/>
      <c r="AE172" s="37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</row>
    <row r="173" spans="1:43" s="22" customFormat="1" ht="25.15" customHeight="1" outlineLevel="1" x14ac:dyDescent="0.2">
      <c r="A173" s="142" t="s">
        <v>525</v>
      </c>
      <c r="B173" s="127" t="s">
        <v>285</v>
      </c>
      <c r="C173" s="177">
        <f t="shared" si="144"/>
        <v>1.04</v>
      </c>
      <c r="D173" s="28">
        <f t="shared" si="145"/>
        <v>258.8</v>
      </c>
      <c r="E173" s="17">
        <v>0</v>
      </c>
      <c r="F173" s="237">
        <f t="shared" si="146"/>
        <v>0</v>
      </c>
      <c r="G173" s="152">
        <v>0</v>
      </c>
      <c r="H173" s="152">
        <v>0</v>
      </c>
      <c r="I173" s="152">
        <v>0</v>
      </c>
      <c r="J173" s="17">
        <v>0</v>
      </c>
      <c r="K173" s="237">
        <f t="shared" si="143"/>
        <v>0</v>
      </c>
      <c r="L173" s="152">
        <v>0</v>
      </c>
      <c r="M173" s="152">
        <v>0</v>
      </c>
      <c r="N173" s="152">
        <v>0</v>
      </c>
      <c r="O173" s="136">
        <v>0</v>
      </c>
      <c r="P173" s="28">
        <f t="shared" si="147"/>
        <v>0</v>
      </c>
      <c r="Q173" s="28">
        <v>0</v>
      </c>
      <c r="R173" s="28">
        <v>0</v>
      </c>
      <c r="S173" s="151">
        <v>0</v>
      </c>
      <c r="T173" s="136">
        <f>ROUND(1.035,2)</f>
        <v>1.04</v>
      </c>
      <c r="U173" s="28">
        <f t="shared" si="148"/>
        <v>258.8</v>
      </c>
      <c r="V173" s="28">
        <v>0</v>
      </c>
      <c r="W173" s="28">
        <v>0</v>
      </c>
      <c r="X173" s="151">
        <f>ROUND(258.75,1)</f>
        <v>258.8</v>
      </c>
      <c r="Y173" s="136">
        <v>0</v>
      </c>
      <c r="Z173" s="152">
        <f t="shared" si="149"/>
        <v>0</v>
      </c>
      <c r="AA173" s="152">
        <v>0</v>
      </c>
      <c r="AB173" s="152">
        <v>0</v>
      </c>
      <c r="AC173" s="157">
        <v>0</v>
      </c>
      <c r="AD173" s="36"/>
      <c r="AE173" s="37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</row>
    <row r="174" spans="1:43" s="22" customFormat="1" ht="35.450000000000003" customHeight="1" outlineLevel="1" x14ac:dyDescent="0.2">
      <c r="A174" s="142" t="s">
        <v>526</v>
      </c>
      <c r="B174" s="127" t="s">
        <v>286</v>
      </c>
      <c r="C174" s="177">
        <f t="shared" si="144"/>
        <v>0.33</v>
      </c>
      <c r="D174" s="28">
        <f t="shared" si="145"/>
        <v>81.3</v>
      </c>
      <c r="E174" s="17">
        <v>0</v>
      </c>
      <c r="F174" s="237">
        <f t="shared" si="146"/>
        <v>0</v>
      </c>
      <c r="G174" s="152">
        <v>0</v>
      </c>
      <c r="H174" s="152">
        <v>0</v>
      </c>
      <c r="I174" s="152">
        <v>0</v>
      </c>
      <c r="J174" s="17">
        <v>0</v>
      </c>
      <c r="K174" s="237">
        <f t="shared" si="143"/>
        <v>0</v>
      </c>
      <c r="L174" s="152">
        <v>0</v>
      </c>
      <c r="M174" s="152">
        <v>0</v>
      </c>
      <c r="N174" s="152">
        <v>0</v>
      </c>
      <c r="O174" s="136">
        <v>0</v>
      </c>
      <c r="P174" s="28">
        <f t="shared" si="147"/>
        <v>0</v>
      </c>
      <c r="Q174" s="28">
        <v>0</v>
      </c>
      <c r="R174" s="28">
        <v>0</v>
      </c>
      <c r="S174" s="151">
        <v>0</v>
      </c>
      <c r="T174" s="136">
        <f>ROUND(0.325,2)</f>
        <v>0.33</v>
      </c>
      <c r="U174" s="28">
        <f t="shared" si="148"/>
        <v>81.3</v>
      </c>
      <c r="V174" s="28">
        <v>0</v>
      </c>
      <c r="W174" s="28">
        <v>0</v>
      </c>
      <c r="X174" s="151">
        <f>ROUND(81.25,1)</f>
        <v>81.3</v>
      </c>
      <c r="Y174" s="136">
        <v>0</v>
      </c>
      <c r="Z174" s="152">
        <f t="shared" si="149"/>
        <v>0</v>
      </c>
      <c r="AA174" s="152">
        <v>0</v>
      </c>
      <c r="AB174" s="152">
        <v>0</v>
      </c>
      <c r="AC174" s="157">
        <v>0</v>
      </c>
      <c r="AD174" s="36"/>
      <c r="AE174" s="37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</row>
    <row r="175" spans="1:43" s="22" customFormat="1" ht="31.9" customHeight="1" outlineLevel="1" x14ac:dyDescent="0.2">
      <c r="A175" s="142" t="s">
        <v>527</v>
      </c>
      <c r="B175" s="127" t="s">
        <v>287</v>
      </c>
      <c r="C175" s="177">
        <f t="shared" si="144"/>
        <v>0.91999999999999993</v>
      </c>
      <c r="D175" s="28">
        <f t="shared" si="145"/>
        <v>229.99999999999997</v>
      </c>
      <c r="E175" s="17">
        <v>0</v>
      </c>
      <c r="F175" s="237">
        <f t="shared" si="146"/>
        <v>0</v>
      </c>
      <c r="G175" s="152">
        <v>0</v>
      </c>
      <c r="H175" s="152">
        <v>0</v>
      </c>
      <c r="I175" s="152">
        <v>0</v>
      </c>
      <c r="J175" s="17">
        <v>0</v>
      </c>
      <c r="K175" s="237">
        <f t="shared" si="143"/>
        <v>0</v>
      </c>
      <c r="L175" s="152">
        <v>0</v>
      </c>
      <c r="M175" s="152">
        <v>0</v>
      </c>
      <c r="N175" s="152">
        <v>0</v>
      </c>
      <c r="O175" s="136">
        <v>0</v>
      </c>
      <c r="P175" s="28">
        <f t="shared" si="147"/>
        <v>0</v>
      </c>
      <c r="Q175" s="28">
        <v>0</v>
      </c>
      <c r="R175" s="28">
        <v>0</v>
      </c>
      <c r="S175" s="151">
        <v>0</v>
      </c>
      <c r="T175" s="136">
        <v>0.91999999999999993</v>
      </c>
      <c r="U175" s="28">
        <f t="shared" si="148"/>
        <v>229.99999999999997</v>
      </c>
      <c r="V175" s="28">
        <v>0</v>
      </c>
      <c r="W175" s="28">
        <v>0</v>
      </c>
      <c r="X175" s="151">
        <v>229.99999999999997</v>
      </c>
      <c r="Y175" s="136">
        <v>0</v>
      </c>
      <c r="Z175" s="152">
        <f t="shared" si="149"/>
        <v>0</v>
      </c>
      <c r="AA175" s="152">
        <v>0</v>
      </c>
      <c r="AB175" s="152">
        <v>0</v>
      </c>
      <c r="AC175" s="157">
        <v>0</v>
      </c>
      <c r="AD175" s="36"/>
      <c r="AE175" s="37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</row>
    <row r="176" spans="1:43" s="22" customFormat="1" ht="32.450000000000003" customHeight="1" outlineLevel="1" x14ac:dyDescent="0.2">
      <c r="A176" s="142" t="s">
        <v>528</v>
      </c>
      <c r="B176" s="127" t="s">
        <v>288</v>
      </c>
      <c r="C176" s="177">
        <f t="shared" si="144"/>
        <v>0.88</v>
      </c>
      <c r="D176" s="28">
        <f t="shared" si="145"/>
        <v>218.8</v>
      </c>
      <c r="E176" s="17">
        <v>0</v>
      </c>
      <c r="F176" s="237">
        <f t="shared" si="146"/>
        <v>0</v>
      </c>
      <c r="G176" s="152">
        <v>0</v>
      </c>
      <c r="H176" s="152">
        <v>0</v>
      </c>
      <c r="I176" s="152">
        <v>0</v>
      </c>
      <c r="J176" s="17">
        <v>0</v>
      </c>
      <c r="K176" s="237">
        <f t="shared" si="143"/>
        <v>0</v>
      </c>
      <c r="L176" s="152">
        <v>0</v>
      </c>
      <c r="M176" s="152">
        <v>0</v>
      </c>
      <c r="N176" s="152">
        <v>0</v>
      </c>
      <c r="O176" s="136">
        <v>0</v>
      </c>
      <c r="P176" s="28">
        <f t="shared" si="147"/>
        <v>0</v>
      </c>
      <c r="Q176" s="28">
        <v>0</v>
      </c>
      <c r="R176" s="28">
        <v>0</v>
      </c>
      <c r="S176" s="151">
        <v>0</v>
      </c>
      <c r="T176" s="136">
        <f>ROUND(0.875,2)</f>
        <v>0.88</v>
      </c>
      <c r="U176" s="28">
        <f t="shared" si="148"/>
        <v>218.8</v>
      </c>
      <c r="V176" s="28">
        <v>0</v>
      </c>
      <c r="W176" s="28">
        <v>0</v>
      </c>
      <c r="X176" s="151">
        <f>ROUND(218.75,1)</f>
        <v>218.8</v>
      </c>
      <c r="Y176" s="136">
        <v>0</v>
      </c>
      <c r="Z176" s="152">
        <f t="shared" si="149"/>
        <v>0</v>
      </c>
      <c r="AA176" s="152">
        <v>0</v>
      </c>
      <c r="AB176" s="152">
        <v>0</v>
      </c>
      <c r="AC176" s="157">
        <v>0</v>
      </c>
      <c r="AD176" s="36"/>
      <c r="AE176" s="37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</row>
    <row r="177" spans="1:43" s="22" customFormat="1" ht="28.9" customHeight="1" outlineLevel="1" x14ac:dyDescent="0.2">
      <c r="A177" s="142" t="s">
        <v>529</v>
      </c>
      <c r="B177" s="127" t="s">
        <v>289</v>
      </c>
      <c r="C177" s="177">
        <f t="shared" si="144"/>
        <v>1</v>
      </c>
      <c r="D177" s="28">
        <f t="shared" si="145"/>
        <v>250</v>
      </c>
      <c r="E177" s="17">
        <v>0</v>
      </c>
      <c r="F177" s="237">
        <f t="shared" si="146"/>
        <v>0</v>
      </c>
      <c r="G177" s="152">
        <v>0</v>
      </c>
      <c r="H177" s="152">
        <v>0</v>
      </c>
      <c r="I177" s="152">
        <v>0</v>
      </c>
      <c r="J177" s="17">
        <v>0</v>
      </c>
      <c r="K177" s="237">
        <f t="shared" si="143"/>
        <v>0</v>
      </c>
      <c r="L177" s="152">
        <v>0</v>
      </c>
      <c r="M177" s="152">
        <v>0</v>
      </c>
      <c r="N177" s="152">
        <v>0</v>
      </c>
      <c r="O177" s="136">
        <v>0</v>
      </c>
      <c r="P177" s="28">
        <f t="shared" si="147"/>
        <v>0</v>
      </c>
      <c r="Q177" s="28">
        <v>0</v>
      </c>
      <c r="R177" s="28">
        <v>0</v>
      </c>
      <c r="S177" s="151">
        <v>0</v>
      </c>
      <c r="T177" s="136">
        <v>1</v>
      </c>
      <c r="U177" s="28">
        <f t="shared" si="148"/>
        <v>250</v>
      </c>
      <c r="V177" s="28">
        <v>0</v>
      </c>
      <c r="W177" s="28">
        <v>0</v>
      </c>
      <c r="X177" s="151">
        <v>250</v>
      </c>
      <c r="Y177" s="136">
        <v>0</v>
      </c>
      <c r="Z177" s="152">
        <f t="shared" si="149"/>
        <v>0</v>
      </c>
      <c r="AA177" s="152">
        <v>0</v>
      </c>
      <c r="AB177" s="152">
        <v>0</v>
      </c>
      <c r="AC177" s="157">
        <v>0</v>
      </c>
      <c r="AD177" s="36"/>
      <c r="AE177" s="37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</row>
    <row r="178" spans="1:43" s="22" customFormat="1" ht="33" customHeight="1" outlineLevel="1" x14ac:dyDescent="0.2">
      <c r="A178" s="142" t="s">
        <v>530</v>
      </c>
      <c r="B178" s="127" t="s">
        <v>290</v>
      </c>
      <c r="C178" s="177">
        <f t="shared" si="144"/>
        <v>0.98</v>
      </c>
      <c r="D178" s="28">
        <f t="shared" si="145"/>
        <v>245</v>
      </c>
      <c r="E178" s="17">
        <v>0</v>
      </c>
      <c r="F178" s="237">
        <f t="shared" si="146"/>
        <v>0</v>
      </c>
      <c r="G178" s="152">
        <v>0</v>
      </c>
      <c r="H178" s="152">
        <v>0</v>
      </c>
      <c r="I178" s="152">
        <v>0</v>
      </c>
      <c r="J178" s="17">
        <v>0</v>
      </c>
      <c r="K178" s="237">
        <f t="shared" si="143"/>
        <v>0</v>
      </c>
      <c r="L178" s="152">
        <v>0</v>
      </c>
      <c r="M178" s="152">
        <v>0</v>
      </c>
      <c r="N178" s="152">
        <v>0</v>
      </c>
      <c r="O178" s="136">
        <v>0</v>
      </c>
      <c r="P178" s="28">
        <f t="shared" si="147"/>
        <v>0</v>
      </c>
      <c r="Q178" s="28">
        <v>0</v>
      </c>
      <c r="R178" s="28">
        <v>0</v>
      </c>
      <c r="S178" s="151">
        <v>0</v>
      </c>
      <c r="T178" s="136">
        <v>0.98</v>
      </c>
      <c r="U178" s="28">
        <f t="shared" si="148"/>
        <v>245</v>
      </c>
      <c r="V178" s="28">
        <v>0</v>
      </c>
      <c r="W178" s="28">
        <v>0</v>
      </c>
      <c r="X178" s="151">
        <v>245</v>
      </c>
      <c r="Y178" s="136">
        <v>0</v>
      </c>
      <c r="Z178" s="152">
        <f t="shared" si="149"/>
        <v>0</v>
      </c>
      <c r="AA178" s="152">
        <v>0</v>
      </c>
      <c r="AB178" s="152">
        <v>0</v>
      </c>
      <c r="AC178" s="157">
        <v>0</v>
      </c>
      <c r="AD178" s="36"/>
      <c r="AE178" s="37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</row>
    <row r="179" spans="1:43" s="22" customFormat="1" ht="31.15" customHeight="1" outlineLevel="1" x14ac:dyDescent="0.2">
      <c r="A179" s="142" t="s">
        <v>531</v>
      </c>
      <c r="B179" s="127" t="s">
        <v>291</v>
      </c>
      <c r="C179" s="177">
        <f t="shared" si="144"/>
        <v>1.33</v>
      </c>
      <c r="D179" s="28">
        <f t="shared" si="145"/>
        <v>331.3</v>
      </c>
      <c r="E179" s="17">
        <v>0</v>
      </c>
      <c r="F179" s="237">
        <f t="shared" si="146"/>
        <v>0</v>
      </c>
      <c r="G179" s="152">
        <v>0</v>
      </c>
      <c r="H179" s="152">
        <v>0</v>
      </c>
      <c r="I179" s="152">
        <v>0</v>
      </c>
      <c r="J179" s="17">
        <v>0</v>
      </c>
      <c r="K179" s="237">
        <f t="shared" si="143"/>
        <v>0</v>
      </c>
      <c r="L179" s="152">
        <v>0</v>
      </c>
      <c r="M179" s="152">
        <v>0</v>
      </c>
      <c r="N179" s="152">
        <v>0</v>
      </c>
      <c r="O179" s="136">
        <v>0</v>
      </c>
      <c r="P179" s="28">
        <f t="shared" si="147"/>
        <v>0</v>
      </c>
      <c r="Q179" s="28">
        <v>0</v>
      </c>
      <c r="R179" s="28">
        <v>0</v>
      </c>
      <c r="S179" s="151">
        <v>0</v>
      </c>
      <c r="T179" s="136">
        <f>ROUND(1.325,2)</f>
        <v>1.33</v>
      </c>
      <c r="U179" s="28">
        <f t="shared" si="148"/>
        <v>331.3</v>
      </c>
      <c r="V179" s="28">
        <v>0</v>
      </c>
      <c r="W179" s="28">
        <v>0</v>
      </c>
      <c r="X179" s="151">
        <f>ROUND(331.25,1)</f>
        <v>331.3</v>
      </c>
      <c r="Y179" s="136">
        <v>0</v>
      </c>
      <c r="Z179" s="152">
        <f t="shared" si="149"/>
        <v>0</v>
      </c>
      <c r="AA179" s="152">
        <v>0</v>
      </c>
      <c r="AB179" s="152">
        <v>0</v>
      </c>
      <c r="AC179" s="157">
        <v>0</v>
      </c>
      <c r="AD179" s="36"/>
      <c r="AE179" s="37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</row>
    <row r="180" spans="1:43" s="22" customFormat="1" ht="19.149999999999999" customHeight="1" outlineLevel="1" x14ac:dyDescent="0.2">
      <c r="A180" s="142" t="s">
        <v>532</v>
      </c>
      <c r="B180" s="127" t="s">
        <v>292</v>
      </c>
      <c r="C180" s="177">
        <f t="shared" si="144"/>
        <v>3.13</v>
      </c>
      <c r="D180" s="28">
        <f t="shared" si="145"/>
        <v>781.3</v>
      </c>
      <c r="E180" s="17">
        <v>0</v>
      </c>
      <c r="F180" s="237">
        <f t="shared" si="146"/>
        <v>0</v>
      </c>
      <c r="G180" s="152">
        <v>0</v>
      </c>
      <c r="H180" s="152">
        <v>0</v>
      </c>
      <c r="I180" s="152">
        <v>0</v>
      </c>
      <c r="J180" s="17">
        <v>0</v>
      </c>
      <c r="K180" s="237">
        <f t="shared" si="143"/>
        <v>0</v>
      </c>
      <c r="L180" s="152">
        <v>0</v>
      </c>
      <c r="M180" s="152">
        <v>0</v>
      </c>
      <c r="N180" s="152">
        <v>0</v>
      </c>
      <c r="O180" s="136">
        <v>0</v>
      </c>
      <c r="P180" s="28">
        <f t="shared" si="147"/>
        <v>0</v>
      </c>
      <c r="Q180" s="28">
        <v>0</v>
      </c>
      <c r="R180" s="28">
        <v>0</v>
      </c>
      <c r="S180" s="151">
        <v>0</v>
      </c>
      <c r="T180" s="136">
        <f>ROUND(3.125,2)</f>
        <v>3.13</v>
      </c>
      <c r="U180" s="28">
        <f t="shared" si="148"/>
        <v>781.3</v>
      </c>
      <c r="V180" s="28">
        <v>0</v>
      </c>
      <c r="W180" s="28">
        <v>0</v>
      </c>
      <c r="X180" s="151">
        <f>ROUND(781.25,1)</f>
        <v>781.3</v>
      </c>
      <c r="Y180" s="136">
        <v>0</v>
      </c>
      <c r="Z180" s="152">
        <f t="shared" si="149"/>
        <v>0</v>
      </c>
      <c r="AA180" s="152">
        <v>0</v>
      </c>
      <c r="AB180" s="152">
        <v>0</v>
      </c>
      <c r="AC180" s="157">
        <v>0</v>
      </c>
      <c r="AD180" s="36"/>
      <c r="AE180" s="37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</row>
    <row r="181" spans="1:43" s="22" customFormat="1" ht="24" customHeight="1" outlineLevel="1" x14ac:dyDescent="0.2">
      <c r="A181" s="142" t="s">
        <v>533</v>
      </c>
      <c r="B181" s="127" t="s">
        <v>293</v>
      </c>
      <c r="C181" s="177">
        <f t="shared" si="144"/>
        <v>1.5</v>
      </c>
      <c r="D181" s="28">
        <f t="shared" si="145"/>
        <v>375</v>
      </c>
      <c r="E181" s="17">
        <v>0</v>
      </c>
      <c r="F181" s="237">
        <f t="shared" si="146"/>
        <v>0</v>
      </c>
      <c r="G181" s="152">
        <v>0</v>
      </c>
      <c r="H181" s="152">
        <v>0</v>
      </c>
      <c r="I181" s="152">
        <v>0</v>
      </c>
      <c r="J181" s="17">
        <v>0</v>
      </c>
      <c r="K181" s="237">
        <f t="shared" si="143"/>
        <v>0</v>
      </c>
      <c r="L181" s="152">
        <v>0</v>
      </c>
      <c r="M181" s="152">
        <v>0</v>
      </c>
      <c r="N181" s="152">
        <v>0</v>
      </c>
      <c r="O181" s="136">
        <v>0</v>
      </c>
      <c r="P181" s="28">
        <f t="shared" si="147"/>
        <v>0</v>
      </c>
      <c r="Q181" s="28">
        <v>0</v>
      </c>
      <c r="R181" s="28">
        <v>0</v>
      </c>
      <c r="S181" s="151">
        <v>0</v>
      </c>
      <c r="T181" s="136">
        <v>1.5</v>
      </c>
      <c r="U181" s="28">
        <f t="shared" si="148"/>
        <v>375</v>
      </c>
      <c r="V181" s="28">
        <v>0</v>
      </c>
      <c r="W181" s="28">
        <v>0</v>
      </c>
      <c r="X181" s="151">
        <v>375</v>
      </c>
      <c r="Y181" s="136">
        <v>0</v>
      </c>
      <c r="Z181" s="152">
        <f t="shared" si="149"/>
        <v>0</v>
      </c>
      <c r="AA181" s="152">
        <v>0</v>
      </c>
      <c r="AB181" s="152">
        <v>0</v>
      </c>
      <c r="AC181" s="157">
        <v>0</v>
      </c>
      <c r="AD181" s="36"/>
      <c r="AE181" s="37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</row>
    <row r="182" spans="1:43" s="22" customFormat="1" ht="32.450000000000003" customHeight="1" outlineLevel="1" x14ac:dyDescent="0.2">
      <c r="A182" s="142" t="s">
        <v>534</v>
      </c>
      <c r="B182" s="127" t="s">
        <v>294</v>
      </c>
      <c r="C182" s="177">
        <f t="shared" si="144"/>
        <v>0.62</v>
      </c>
      <c r="D182" s="28">
        <f t="shared" si="145"/>
        <v>155</v>
      </c>
      <c r="E182" s="17">
        <v>0</v>
      </c>
      <c r="F182" s="237">
        <f t="shared" si="146"/>
        <v>0</v>
      </c>
      <c r="G182" s="152">
        <v>0</v>
      </c>
      <c r="H182" s="152">
        <v>0</v>
      </c>
      <c r="I182" s="152">
        <v>0</v>
      </c>
      <c r="J182" s="17">
        <v>0</v>
      </c>
      <c r="K182" s="237">
        <f t="shared" si="143"/>
        <v>0</v>
      </c>
      <c r="L182" s="152">
        <v>0</v>
      </c>
      <c r="M182" s="152">
        <v>0</v>
      </c>
      <c r="N182" s="152">
        <v>0</v>
      </c>
      <c r="O182" s="136">
        <v>0</v>
      </c>
      <c r="P182" s="28">
        <f t="shared" si="147"/>
        <v>0</v>
      </c>
      <c r="Q182" s="28">
        <v>0</v>
      </c>
      <c r="R182" s="28">
        <v>0</v>
      </c>
      <c r="S182" s="151">
        <v>0</v>
      </c>
      <c r="T182" s="136">
        <v>0.62</v>
      </c>
      <c r="U182" s="28">
        <f t="shared" si="148"/>
        <v>155</v>
      </c>
      <c r="V182" s="28">
        <v>0</v>
      </c>
      <c r="W182" s="28">
        <v>0</v>
      </c>
      <c r="X182" s="151">
        <v>155</v>
      </c>
      <c r="Y182" s="136">
        <v>0</v>
      </c>
      <c r="Z182" s="152">
        <f t="shared" si="149"/>
        <v>0</v>
      </c>
      <c r="AA182" s="152">
        <v>0</v>
      </c>
      <c r="AB182" s="152">
        <v>0</v>
      </c>
      <c r="AC182" s="157">
        <v>0</v>
      </c>
      <c r="AD182" s="36"/>
      <c r="AE182" s="37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</row>
    <row r="183" spans="1:43" s="22" customFormat="1" ht="30.6" customHeight="1" outlineLevel="1" x14ac:dyDescent="0.2">
      <c r="A183" s="142" t="s">
        <v>535</v>
      </c>
      <c r="B183" s="127" t="s">
        <v>295</v>
      </c>
      <c r="C183" s="177">
        <f t="shared" si="144"/>
        <v>3.43</v>
      </c>
      <c r="D183" s="28">
        <f t="shared" si="145"/>
        <v>856.3</v>
      </c>
      <c r="E183" s="17">
        <v>0</v>
      </c>
      <c r="F183" s="237">
        <f t="shared" si="146"/>
        <v>0</v>
      </c>
      <c r="G183" s="152">
        <v>0</v>
      </c>
      <c r="H183" s="152">
        <v>0</v>
      </c>
      <c r="I183" s="152">
        <v>0</v>
      </c>
      <c r="J183" s="17">
        <v>0</v>
      </c>
      <c r="K183" s="237">
        <f t="shared" si="143"/>
        <v>0</v>
      </c>
      <c r="L183" s="152">
        <v>0</v>
      </c>
      <c r="M183" s="152">
        <v>0</v>
      </c>
      <c r="N183" s="152">
        <v>0</v>
      </c>
      <c r="O183" s="136">
        <v>0</v>
      </c>
      <c r="P183" s="28">
        <f t="shared" si="147"/>
        <v>0</v>
      </c>
      <c r="Q183" s="28">
        <v>0</v>
      </c>
      <c r="R183" s="28">
        <v>0</v>
      </c>
      <c r="S183" s="151">
        <v>0</v>
      </c>
      <c r="T183" s="136">
        <f>ROUND(3.425,2)</f>
        <v>3.43</v>
      </c>
      <c r="U183" s="28">
        <f t="shared" si="148"/>
        <v>856.3</v>
      </c>
      <c r="V183" s="28">
        <v>0</v>
      </c>
      <c r="W183" s="28">
        <v>0</v>
      </c>
      <c r="X183" s="151">
        <f>ROUND(856.25,1)</f>
        <v>856.3</v>
      </c>
      <c r="Y183" s="136">
        <v>0</v>
      </c>
      <c r="Z183" s="152">
        <f t="shared" si="149"/>
        <v>0</v>
      </c>
      <c r="AA183" s="152">
        <v>0</v>
      </c>
      <c r="AB183" s="152">
        <v>0</v>
      </c>
      <c r="AC183" s="157">
        <v>0</v>
      </c>
      <c r="AD183" s="36"/>
      <c r="AE183" s="37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</row>
    <row r="184" spans="1:43" s="22" customFormat="1" ht="33" customHeight="1" outlineLevel="1" x14ac:dyDescent="0.2">
      <c r="A184" s="142" t="s">
        <v>536</v>
      </c>
      <c r="B184" s="127" t="s">
        <v>296</v>
      </c>
      <c r="C184" s="177">
        <f t="shared" si="144"/>
        <v>3.37</v>
      </c>
      <c r="D184" s="28">
        <f t="shared" si="145"/>
        <v>841.3</v>
      </c>
      <c r="E184" s="17">
        <v>0</v>
      </c>
      <c r="F184" s="237">
        <f t="shared" si="146"/>
        <v>0</v>
      </c>
      <c r="G184" s="152">
        <v>0</v>
      </c>
      <c r="H184" s="152">
        <v>0</v>
      </c>
      <c r="I184" s="152">
        <v>0</v>
      </c>
      <c r="J184" s="17">
        <v>0</v>
      </c>
      <c r="K184" s="237">
        <f t="shared" si="143"/>
        <v>0</v>
      </c>
      <c r="L184" s="152">
        <v>0</v>
      </c>
      <c r="M184" s="152">
        <v>0</v>
      </c>
      <c r="N184" s="152">
        <v>0</v>
      </c>
      <c r="O184" s="136">
        <v>0</v>
      </c>
      <c r="P184" s="28">
        <f t="shared" si="147"/>
        <v>0</v>
      </c>
      <c r="Q184" s="28">
        <v>0</v>
      </c>
      <c r="R184" s="28">
        <v>0</v>
      </c>
      <c r="S184" s="151">
        <v>0</v>
      </c>
      <c r="T184" s="136">
        <f>ROUND(3.365,2)</f>
        <v>3.37</v>
      </c>
      <c r="U184" s="28">
        <f t="shared" si="148"/>
        <v>841.3</v>
      </c>
      <c r="V184" s="28">
        <v>0</v>
      </c>
      <c r="W184" s="28">
        <v>0</v>
      </c>
      <c r="X184" s="151">
        <f>ROUND(841.25,1)</f>
        <v>841.3</v>
      </c>
      <c r="Y184" s="136">
        <v>0</v>
      </c>
      <c r="Z184" s="152">
        <f t="shared" si="149"/>
        <v>0</v>
      </c>
      <c r="AA184" s="152">
        <v>0</v>
      </c>
      <c r="AB184" s="152">
        <v>0</v>
      </c>
      <c r="AC184" s="157">
        <v>0</v>
      </c>
      <c r="AD184" s="36"/>
      <c r="AE184" s="37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</row>
    <row r="185" spans="1:43" s="22" customFormat="1" ht="35.450000000000003" customHeight="1" outlineLevel="1" x14ac:dyDescent="0.2">
      <c r="A185" s="142" t="s">
        <v>537</v>
      </c>
      <c r="B185" s="127" t="s">
        <v>297</v>
      </c>
      <c r="C185" s="177">
        <f t="shared" si="144"/>
        <v>5.53</v>
      </c>
      <c r="D185" s="28">
        <f t="shared" si="145"/>
        <v>1382.5</v>
      </c>
      <c r="E185" s="17">
        <v>0</v>
      </c>
      <c r="F185" s="237">
        <f t="shared" si="146"/>
        <v>0</v>
      </c>
      <c r="G185" s="152">
        <v>0</v>
      </c>
      <c r="H185" s="152">
        <v>0</v>
      </c>
      <c r="I185" s="152">
        <v>0</v>
      </c>
      <c r="J185" s="17">
        <v>0</v>
      </c>
      <c r="K185" s="237">
        <f t="shared" si="143"/>
        <v>0</v>
      </c>
      <c r="L185" s="152">
        <v>0</v>
      </c>
      <c r="M185" s="152">
        <v>0</v>
      </c>
      <c r="N185" s="152">
        <v>0</v>
      </c>
      <c r="O185" s="136">
        <v>0</v>
      </c>
      <c r="P185" s="28">
        <f t="shared" si="147"/>
        <v>0</v>
      </c>
      <c r="Q185" s="28">
        <v>0</v>
      </c>
      <c r="R185" s="28">
        <v>0</v>
      </c>
      <c r="S185" s="151">
        <v>0</v>
      </c>
      <c r="T185" s="136">
        <v>5.53</v>
      </c>
      <c r="U185" s="28">
        <f t="shared" si="148"/>
        <v>1382.5</v>
      </c>
      <c r="V185" s="28">
        <v>0</v>
      </c>
      <c r="W185" s="28">
        <v>0</v>
      </c>
      <c r="X185" s="151">
        <v>1382.5</v>
      </c>
      <c r="Y185" s="136">
        <v>0</v>
      </c>
      <c r="Z185" s="152">
        <f t="shared" si="149"/>
        <v>0</v>
      </c>
      <c r="AA185" s="152">
        <v>0</v>
      </c>
      <c r="AB185" s="152">
        <v>0</v>
      </c>
      <c r="AC185" s="157">
        <v>0</v>
      </c>
      <c r="AD185" s="36"/>
      <c r="AE185" s="37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</row>
    <row r="186" spans="1:43" s="22" customFormat="1" ht="33" customHeight="1" outlineLevel="1" x14ac:dyDescent="0.2">
      <c r="A186" s="142" t="s">
        <v>538</v>
      </c>
      <c r="B186" s="127" t="s">
        <v>298</v>
      </c>
      <c r="C186" s="177">
        <f t="shared" si="144"/>
        <v>2.25</v>
      </c>
      <c r="D186" s="28">
        <f t="shared" si="145"/>
        <v>561.29999999999995</v>
      </c>
      <c r="E186" s="17">
        <v>0</v>
      </c>
      <c r="F186" s="237">
        <f t="shared" si="146"/>
        <v>0</v>
      </c>
      <c r="G186" s="152">
        <v>0</v>
      </c>
      <c r="H186" s="152">
        <v>0</v>
      </c>
      <c r="I186" s="152">
        <v>0</v>
      </c>
      <c r="J186" s="17">
        <v>0</v>
      </c>
      <c r="K186" s="237">
        <f t="shared" si="143"/>
        <v>0</v>
      </c>
      <c r="L186" s="152">
        <v>0</v>
      </c>
      <c r="M186" s="152">
        <v>0</v>
      </c>
      <c r="N186" s="152">
        <v>0</v>
      </c>
      <c r="O186" s="136">
        <v>0</v>
      </c>
      <c r="P186" s="28">
        <f t="shared" si="147"/>
        <v>0</v>
      </c>
      <c r="Q186" s="28">
        <v>0</v>
      </c>
      <c r="R186" s="28">
        <v>0</v>
      </c>
      <c r="S186" s="151">
        <v>0</v>
      </c>
      <c r="T186" s="136">
        <f>ROUND(2.245,2)</f>
        <v>2.25</v>
      </c>
      <c r="U186" s="28">
        <f t="shared" si="148"/>
        <v>561.29999999999995</v>
      </c>
      <c r="V186" s="28">
        <v>0</v>
      </c>
      <c r="W186" s="28">
        <v>0</v>
      </c>
      <c r="X186" s="151">
        <f>ROUND(561.25,1)</f>
        <v>561.29999999999995</v>
      </c>
      <c r="Y186" s="136">
        <v>0</v>
      </c>
      <c r="Z186" s="152">
        <f t="shared" si="149"/>
        <v>0</v>
      </c>
      <c r="AA186" s="152">
        <v>0</v>
      </c>
      <c r="AB186" s="152">
        <v>0</v>
      </c>
      <c r="AC186" s="157">
        <v>0</v>
      </c>
      <c r="AD186" s="36"/>
      <c r="AE186" s="37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</row>
    <row r="187" spans="1:43" s="22" customFormat="1" ht="31.9" customHeight="1" outlineLevel="1" x14ac:dyDescent="0.2">
      <c r="A187" s="142" t="s">
        <v>539</v>
      </c>
      <c r="B187" s="127" t="s">
        <v>299</v>
      </c>
      <c r="C187" s="177">
        <f t="shared" si="144"/>
        <v>2.25</v>
      </c>
      <c r="D187" s="28">
        <f t="shared" si="145"/>
        <v>561.29999999999995</v>
      </c>
      <c r="E187" s="17">
        <v>0</v>
      </c>
      <c r="F187" s="237">
        <f t="shared" si="146"/>
        <v>0</v>
      </c>
      <c r="G187" s="152">
        <v>0</v>
      </c>
      <c r="H187" s="152">
        <v>0</v>
      </c>
      <c r="I187" s="152">
        <v>0</v>
      </c>
      <c r="J187" s="17">
        <v>0</v>
      </c>
      <c r="K187" s="237">
        <f t="shared" si="143"/>
        <v>0</v>
      </c>
      <c r="L187" s="152">
        <v>0</v>
      </c>
      <c r="M187" s="152">
        <v>0</v>
      </c>
      <c r="N187" s="152">
        <v>0</v>
      </c>
      <c r="O187" s="136">
        <v>0</v>
      </c>
      <c r="P187" s="28">
        <f t="shared" si="147"/>
        <v>0</v>
      </c>
      <c r="Q187" s="28">
        <v>0</v>
      </c>
      <c r="R187" s="28">
        <v>0</v>
      </c>
      <c r="S187" s="151">
        <v>0</v>
      </c>
      <c r="T187" s="136">
        <f>ROUND(2.245,2)</f>
        <v>2.25</v>
      </c>
      <c r="U187" s="28">
        <f t="shared" si="148"/>
        <v>561.29999999999995</v>
      </c>
      <c r="V187" s="28">
        <v>0</v>
      </c>
      <c r="W187" s="28">
        <v>0</v>
      </c>
      <c r="X187" s="151">
        <f>ROUND(561.25,1)</f>
        <v>561.29999999999995</v>
      </c>
      <c r="Y187" s="136">
        <v>0</v>
      </c>
      <c r="Z187" s="152">
        <f t="shared" si="149"/>
        <v>0</v>
      </c>
      <c r="AA187" s="152">
        <v>0</v>
      </c>
      <c r="AB187" s="152">
        <v>0</v>
      </c>
      <c r="AC187" s="157">
        <v>0</v>
      </c>
      <c r="AD187" s="36"/>
      <c r="AE187" s="37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</row>
    <row r="188" spans="1:43" s="22" customFormat="1" ht="25.15" customHeight="1" outlineLevel="1" x14ac:dyDescent="0.2">
      <c r="A188" s="142" t="s">
        <v>540</v>
      </c>
      <c r="B188" s="127" t="s">
        <v>300</v>
      </c>
      <c r="C188" s="177">
        <f t="shared" si="144"/>
        <v>3.13</v>
      </c>
      <c r="D188" s="28">
        <f t="shared" si="145"/>
        <v>782.5</v>
      </c>
      <c r="E188" s="17">
        <v>0</v>
      </c>
      <c r="F188" s="237">
        <f t="shared" si="146"/>
        <v>0</v>
      </c>
      <c r="G188" s="152">
        <v>0</v>
      </c>
      <c r="H188" s="152">
        <v>0</v>
      </c>
      <c r="I188" s="152">
        <v>0</v>
      </c>
      <c r="J188" s="17">
        <v>0</v>
      </c>
      <c r="K188" s="237">
        <f t="shared" si="143"/>
        <v>0</v>
      </c>
      <c r="L188" s="152">
        <v>0</v>
      </c>
      <c r="M188" s="152">
        <v>0</v>
      </c>
      <c r="N188" s="152">
        <v>0</v>
      </c>
      <c r="O188" s="136">
        <v>0</v>
      </c>
      <c r="P188" s="28">
        <f t="shared" si="147"/>
        <v>0</v>
      </c>
      <c r="Q188" s="28">
        <v>0</v>
      </c>
      <c r="R188" s="28">
        <v>0</v>
      </c>
      <c r="S188" s="151">
        <v>0</v>
      </c>
      <c r="T188" s="136">
        <v>3.13</v>
      </c>
      <c r="U188" s="28">
        <f t="shared" si="148"/>
        <v>782.5</v>
      </c>
      <c r="V188" s="28">
        <v>0</v>
      </c>
      <c r="W188" s="28">
        <v>0</v>
      </c>
      <c r="X188" s="151">
        <v>782.5</v>
      </c>
      <c r="Y188" s="136">
        <v>0</v>
      </c>
      <c r="Z188" s="152">
        <f t="shared" si="149"/>
        <v>0</v>
      </c>
      <c r="AA188" s="152">
        <v>0</v>
      </c>
      <c r="AB188" s="152">
        <v>0</v>
      </c>
      <c r="AC188" s="157">
        <v>0</v>
      </c>
      <c r="AD188" s="36"/>
      <c r="AE188" s="37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</row>
    <row r="189" spans="1:43" s="22" customFormat="1" ht="24" customHeight="1" outlineLevel="1" x14ac:dyDescent="0.2">
      <c r="A189" s="142" t="s">
        <v>541</v>
      </c>
      <c r="B189" s="127" t="s">
        <v>301</v>
      </c>
      <c r="C189" s="177">
        <f t="shared" si="144"/>
        <v>2.2200000000000002</v>
      </c>
      <c r="D189" s="28">
        <f t="shared" si="145"/>
        <v>553.79999999999995</v>
      </c>
      <c r="E189" s="17">
        <v>0</v>
      </c>
      <c r="F189" s="237">
        <f t="shared" si="146"/>
        <v>0</v>
      </c>
      <c r="G189" s="152">
        <v>0</v>
      </c>
      <c r="H189" s="152">
        <v>0</v>
      </c>
      <c r="I189" s="152">
        <v>0</v>
      </c>
      <c r="J189" s="17">
        <v>0</v>
      </c>
      <c r="K189" s="237">
        <f t="shared" si="143"/>
        <v>0</v>
      </c>
      <c r="L189" s="152">
        <v>0</v>
      </c>
      <c r="M189" s="152">
        <v>0</v>
      </c>
      <c r="N189" s="152">
        <v>0</v>
      </c>
      <c r="O189" s="136">
        <v>0</v>
      </c>
      <c r="P189" s="28">
        <f t="shared" si="147"/>
        <v>0</v>
      </c>
      <c r="Q189" s="28">
        <v>0</v>
      </c>
      <c r="R189" s="28">
        <v>0</v>
      </c>
      <c r="S189" s="151">
        <v>0</v>
      </c>
      <c r="T189" s="136">
        <f>ROUND(2.215,2)</f>
        <v>2.2200000000000002</v>
      </c>
      <c r="U189" s="28">
        <f t="shared" si="148"/>
        <v>553.79999999999995</v>
      </c>
      <c r="V189" s="28">
        <v>0</v>
      </c>
      <c r="W189" s="28">
        <v>0</v>
      </c>
      <c r="X189" s="151">
        <f>ROUND(553.75,1)</f>
        <v>553.79999999999995</v>
      </c>
      <c r="Y189" s="136">
        <v>0</v>
      </c>
      <c r="Z189" s="152">
        <f t="shared" si="149"/>
        <v>0</v>
      </c>
      <c r="AA189" s="152">
        <v>0</v>
      </c>
      <c r="AB189" s="152">
        <v>0</v>
      </c>
      <c r="AC189" s="157">
        <v>0</v>
      </c>
      <c r="AD189" s="36"/>
      <c r="AE189" s="37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</row>
    <row r="190" spans="1:43" s="22" customFormat="1" ht="34.15" customHeight="1" outlineLevel="1" x14ac:dyDescent="0.2">
      <c r="A190" s="142" t="s">
        <v>542</v>
      </c>
      <c r="B190" s="127" t="s">
        <v>302</v>
      </c>
      <c r="C190" s="177">
        <f t="shared" si="144"/>
        <v>1.9</v>
      </c>
      <c r="D190" s="28">
        <f t="shared" si="145"/>
        <v>475</v>
      </c>
      <c r="E190" s="17">
        <v>0</v>
      </c>
      <c r="F190" s="237">
        <f t="shared" si="146"/>
        <v>0</v>
      </c>
      <c r="G190" s="152">
        <v>0</v>
      </c>
      <c r="H190" s="152">
        <v>0</v>
      </c>
      <c r="I190" s="152">
        <v>0</v>
      </c>
      <c r="J190" s="17">
        <v>0</v>
      </c>
      <c r="K190" s="237">
        <f t="shared" si="143"/>
        <v>0</v>
      </c>
      <c r="L190" s="152">
        <v>0</v>
      </c>
      <c r="M190" s="152">
        <v>0</v>
      </c>
      <c r="N190" s="152">
        <v>0</v>
      </c>
      <c r="O190" s="136">
        <v>0</v>
      </c>
      <c r="P190" s="28">
        <f t="shared" si="147"/>
        <v>0</v>
      </c>
      <c r="Q190" s="28">
        <v>0</v>
      </c>
      <c r="R190" s="28">
        <v>0</v>
      </c>
      <c r="S190" s="151">
        <v>0</v>
      </c>
      <c r="T190" s="136">
        <v>1.9</v>
      </c>
      <c r="U190" s="28">
        <f t="shared" si="148"/>
        <v>475</v>
      </c>
      <c r="V190" s="28">
        <v>0</v>
      </c>
      <c r="W190" s="28">
        <v>0</v>
      </c>
      <c r="X190" s="151">
        <v>475</v>
      </c>
      <c r="Y190" s="136">
        <v>0</v>
      </c>
      <c r="Z190" s="152">
        <f t="shared" si="149"/>
        <v>0</v>
      </c>
      <c r="AA190" s="152">
        <v>0</v>
      </c>
      <c r="AB190" s="152">
        <v>0</v>
      </c>
      <c r="AC190" s="157">
        <v>0</v>
      </c>
      <c r="AD190" s="36"/>
      <c r="AE190" s="37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</row>
    <row r="191" spans="1:43" s="22" customFormat="1" ht="28.9" customHeight="1" outlineLevel="1" x14ac:dyDescent="0.2">
      <c r="A191" s="142" t="s">
        <v>543</v>
      </c>
      <c r="B191" s="127" t="s">
        <v>303</v>
      </c>
      <c r="C191" s="177">
        <f t="shared" si="144"/>
        <v>4.8899999999999997</v>
      </c>
      <c r="D191" s="28">
        <f t="shared" si="145"/>
        <v>1221.3</v>
      </c>
      <c r="E191" s="17">
        <v>0</v>
      </c>
      <c r="F191" s="237">
        <f t="shared" si="146"/>
        <v>0</v>
      </c>
      <c r="G191" s="152">
        <v>0</v>
      </c>
      <c r="H191" s="152">
        <v>0</v>
      </c>
      <c r="I191" s="152">
        <v>0</v>
      </c>
      <c r="J191" s="17">
        <v>0</v>
      </c>
      <c r="K191" s="237">
        <f t="shared" si="143"/>
        <v>0</v>
      </c>
      <c r="L191" s="152">
        <v>0</v>
      </c>
      <c r="M191" s="152">
        <v>0</v>
      </c>
      <c r="N191" s="152">
        <v>0</v>
      </c>
      <c r="O191" s="136">
        <v>0</v>
      </c>
      <c r="P191" s="28">
        <f t="shared" si="147"/>
        <v>0</v>
      </c>
      <c r="Q191" s="28">
        <v>0</v>
      </c>
      <c r="R191" s="28">
        <v>0</v>
      </c>
      <c r="S191" s="151">
        <v>0</v>
      </c>
      <c r="T191" s="136">
        <v>0</v>
      </c>
      <c r="U191" s="28">
        <f t="shared" si="148"/>
        <v>0</v>
      </c>
      <c r="V191" s="28">
        <v>0</v>
      </c>
      <c r="W191" s="28">
        <v>0</v>
      </c>
      <c r="X191" s="151">
        <v>0</v>
      </c>
      <c r="Y191" s="136">
        <f>ROUND(4.885,2)</f>
        <v>4.8899999999999997</v>
      </c>
      <c r="Z191" s="152">
        <f t="shared" si="149"/>
        <v>1221.3</v>
      </c>
      <c r="AA191" s="152">
        <v>0</v>
      </c>
      <c r="AB191" s="152">
        <v>0</v>
      </c>
      <c r="AC191" s="157">
        <f>ROUND(1221.25,1)</f>
        <v>1221.3</v>
      </c>
      <c r="AD191" s="36"/>
      <c r="AE191" s="37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</row>
    <row r="192" spans="1:43" s="22" customFormat="1" ht="42" customHeight="1" outlineLevel="1" x14ac:dyDescent="0.2">
      <c r="A192" s="142" t="s">
        <v>544</v>
      </c>
      <c r="B192" s="127" t="s">
        <v>304</v>
      </c>
      <c r="C192" s="177">
        <f t="shared" si="144"/>
        <v>3.29</v>
      </c>
      <c r="D192" s="28">
        <f t="shared" si="145"/>
        <v>821.3</v>
      </c>
      <c r="E192" s="17">
        <v>0</v>
      </c>
      <c r="F192" s="237">
        <f t="shared" si="146"/>
        <v>0</v>
      </c>
      <c r="G192" s="152">
        <v>0</v>
      </c>
      <c r="H192" s="152">
        <v>0</v>
      </c>
      <c r="I192" s="152">
        <v>0</v>
      </c>
      <c r="J192" s="17">
        <v>0</v>
      </c>
      <c r="K192" s="237">
        <f t="shared" si="143"/>
        <v>0</v>
      </c>
      <c r="L192" s="152">
        <v>0</v>
      </c>
      <c r="M192" s="152">
        <v>0</v>
      </c>
      <c r="N192" s="152">
        <v>0</v>
      </c>
      <c r="O192" s="136">
        <v>0</v>
      </c>
      <c r="P192" s="28">
        <f t="shared" si="147"/>
        <v>0</v>
      </c>
      <c r="Q192" s="28">
        <v>0</v>
      </c>
      <c r="R192" s="28">
        <v>0</v>
      </c>
      <c r="S192" s="151">
        <v>0</v>
      </c>
      <c r="T192" s="136">
        <v>0</v>
      </c>
      <c r="U192" s="28">
        <f t="shared" si="148"/>
        <v>0</v>
      </c>
      <c r="V192" s="28">
        <v>0</v>
      </c>
      <c r="W192" s="28">
        <v>0</v>
      </c>
      <c r="X192" s="151">
        <v>0</v>
      </c>
      <c r="Y192" s="136">
        <f>ROUND(3.285,2)</f>
        <v>3.29</v>
      </c>
      <c r="Z192" s="152">
        <f t="shared" si="149"/>
        <v>821.3</v>
      </c>
      <c r="AA192" s="152">
        <v>0</v>
      </c>
      <c r="AB192" s="152">
        <v>0</v>
      </c>
      <c r="AC192" s="157">
        <f>ROUND(821.25,1)</f>
        <v>821.3</v>
      </c>
      <c r="AD192" s="36"/>
      <c r="AE192" s="37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</row>
    <row r="193" spans="1:43" s="22" customFormat="1" ht="23.45" customHeight="1" outlineLevel="1" x14ac:dyDescent="0.2">
      <c r="A193" s="142" t="s">
        <v>545</v>
      </c>
      <c r="B193" s="127" t="s">
        <v>305</v>
      </c>
      <c r="C193" s="177">
        <f t="shared" si="144"/>
        <v>3.58</v>
      </c>
      <c r="D193" s="28">
        <f t="shared" si="145"/>
        <v>895</v>
      </c>
      <c r="E193" s="17">
        <v>0</v>
      </c>
      <c r="F193" s="237">
        <f t="shared" si="146"/>
        <v>0</v>
      </c>
      <c r="G193" s="152">
        <v>0</v>
      </c>
      <c r="H193" s="152">
        <v>0</v>
      </c>
      <c r="I193" s="152">
        <v>0</v>
      </c>
      <c r="J193" s="17">
        <v>0</v>
      </c>
      <c r="K193" s="237">
        <f t="shared" si="143"/>
        <v>0</v>
      </c>
      <c r="L193" s="152">
        <v>0</v>
      </c>
      <c r="M193" s="152">
        <v>0</v>
      </c>
      <c r="N193" s="152">
        <v>0</v>
      </c>
      <c r="O193" s="136">
        <v>0</v>
      </c>
      <c r="P193" s="28">
        <f t="shared" si="147"/>
        <v>0</v>
      </c>
      <c r="Q193" s="28">
        <v>0</v>
      </c>
      <c r="R193" s="28">
        <v>0</v>
      </c>
      <c r="S193" s="151">
        <v>0</v>
      </c>
      <c r="T193" s="136">
        <v>0</v>
      </c>
      <c r="U193" s="28">
        <f t="shared" si="148"/>
        <v>0</v>
      </c>
      <c r="V193" s="28">
        <v>0</v>
      </c>
      <c r="W193" s="28">
        <v>0</v>
      </c>
      <c r="X193" s="151">
        <v>0</v>
      </c>
      <c r="Y193" s="136">
        <v>3.58</v>
      </c>
      <c r="Z193" s="152">
        <f t="shared" si="149"/>
        <v>895</v>
      </c>
      <c r="AA193" s="152">
        <v>0</v>
      </c>
      <c r="AB193" s="152">
        <v>0</v>
      </c>
      <c r="AC193" s="157">
        <v>895</v>
      </c>
      <c r="AD193" s="36"/>
      <c r="AE193" s="37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</row>
    <row r="194" spans="1:43" s="22" customFormat="1" ht="46.9" customHeight="1" outlineLevel="1" x14ac:dyDescent="0.2">
      <c r="A194" s="142" t="s">
        <v>546</v>
      </c>
      <c r="B194" s="127" t="s">
        <v>493</v>
      </c>
      <c r="C194" s="177">
        <f t="shared" si="144"/>
        <v>0.43999999999999995</v>
      </c>
      <c r="D194" s="28">
        <f t="shared" si="145"/>
        <v>109.99999999999999</v>
      </c>
      <c r="E194" s="17">
        <v>0</v>
      </c>
      <c r="F194" s="237">
        <f t="shared" si="146"/>
        <v>0</v>
      </c>
      <c r="G194" s="152">
        <v>0</v>
      </c>
      <c r="H194" s="152">
        <v>0</v>
      </c>
      <c r="I194" s="152">
        <v>0</v>
      </c>
      <c r="J194" s="17">
        <v>0</v>
      </c>
      <c r="K194" s="237">
        <f t="shared" si="143"/>
        <v>0</v>
      </c>
      <c r="L194" s="152">
        <v>0</v>
      </c>
      <c r="M194" s="152">
        <v>0</v>
      </c>
      <c r="N194" s="152">
        <v>0</v>
      </c>
      <c r="O194" s="136">
        <v>0</v>
      </c>
      <c r="P194" s="28">
        <f t="shared" si="147"/>
        <v>0</v>
      </c>
      <c r="Q194" s="28">
        <v>0</v>
      </c>
      <c r="R194" s="28">
        <v>0</v>
      </c>
      <c r="S194" s="151">
        <v>0</v>
      </c>
      <c r="T194" s="136">
        <v>0</v>
      </c>
      <c r="U194" s="28">
        <f t="shared" si="148"/>
        <v>0</v>
      </c>
      <c r="V194" s="28">
        <v>0</v>
      </c>
      <c r="W194" s="28">
        <v>0</v>
      </c>
      <c r="X194" s="151">
        <v>0</v>
      </c>
      <c r="Y194" s="136">
        <v>0.43999999999999995</v>
      </c>
      <c r="Z194" s="152">
        <f t="shared" si="149"/>
        <v>109.99999999999999</v>
      </c>
      <c r="AA194" s="152">
        <v>0</v>
      </c>
      <c r="AB194" s="152">
        <v>0</v>
      </c>
      <c r="AC194" s="157">
        <v>109.99999999999999</v>
      </c>
      <c r="AD194" s="36"/>
      <c r="AE194" s="37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</row>
    <row r="195" spans="1:43" s="22" customFormat="1" ht="27" customHeight="1" outlineLevel="1" x14ac:dyDescent="0.2">
      <c r="A195" s="142" t="s">
        <v>547</v>
      </c>
      <c r="B195" s="127" t="s">
        <v>306</v>
      </c>
      <c r="C195" s="177">
        <f t="shared" si="144"/>
        <v>0.70000000000000007</v>
      </c>
      <c r="D195" s="28">
        <f t="shared" si="145"/>
        <v>175.00000000000003</v>
      </c>
      <c r="E195" s="17">
        <v>0</v>
      </c>
      <c r="F195" s="237">
        <f t="shared" si="146"/>
        <v>0</v>
      </c>
      <c r="G195" s="152">
        <v>0</v>
      </c>
      <c r="H195" s="152">
        <v>0</v>
      </c>
      <c r="I195" s="152">
        <v>0</v>
      </c>
      <c r="J195" s="17">
        <v>0</v>
      </c>
      <c r="K195" s="237">
        <f t="shared" si="143"/>
        <v>0</v>
      </c>
      <c r="L195" s="152">
        <v>0</v>
      </c>
      <c r="M195" s="152">
        <v>0</v>
      </c>
      <c r="N195" s="152">
        <v>0</v>
      </c>
      <c r="O195" s="136">
        <v>0</v>
      </c>
      <c r="P195" s="28">
        <f t="shared" si="147"/>
        <v>0</v>
      </c>
      <c r="Q195" s="28">
        <v>0</v>
      </c>
      <c r="R195" s="28">
        <v>0</v>
      </c>
      <c r="S195" s="151">
        <v>0</v>
      </c>
      <c r="T195" s="136">
        <v>0</v>
      </c>
      <c r="U195" s="28">
        <f t="shared" si="148"/>
        <v>0</v>
      </c>
      <c r="V195" s="28">
        <v>0</v>
      </c>
      <c r="W195" s="28">
        <v>0</v>
      </c>
      <c r="X195" s="151">
        <v>0</v>
      </c>
      <c r="Y195" s="136">
        <v>0.70000000000000007</v>
      </c>
      <c r="Z195" s="152">
        <f t="shared" si="149"/>
        <v>175.00000000000003</v>
      </c>
      <c r="AA195" s="152">
        <v>0</v>
      </c>
      <c r="AB195" s="152">
        <v>0</v>
      </c>
      <c r="AC195" s="157">
        <v>175.00000000000003</v>
      </c>
      <c r="AD195" s="36"/>
      <c r="AE195" s="37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</row>
    <row r="196" spans="1:43" s="22" customFormat="1" ht="34.15" customHeight="1" outlineLevel="1" x14ac:dyDescent="0.2">
      <c r="A196" s="142" t="s">
        <v>548</v>
      </c>
      <c r="B196" s="127" t="s">
        <v>307</v>
      </c>
      <c r="C196" s="177">
        <f t="shared" si="144"/>
        <v>3.4899999999999998</v>
      </c>
      <c r="D196" s="28">
        <f t="shared" si="145"/>
        <v>872.49999999999989</v>
      </c>
      <c r="E196" s="17">
        <v>0</v>
      </c>
      <c r="F196" s="237">
        <f t="shared" si="146"/>
        <v>0</v>
      </c>
      <c r="G196" s="152">
        <v>0</v>
      </c>
      <c r="H196" s="152">
        <v>0</v>
      </c>
      <c r="I196" s="152">
        <v>0</v>
      </c>
      <c r="J196" s="17">
        <v>0</v>
      </c>
      <c r="K196" s="237">
        <f t="shared" si="143"/>
        <v>0</v>
      </c>
      <c r="L196" s="152">
        <v>0</v>
      </c>
      <c r="M196" s="152">
        <v>0</v>
      </c>
      <c r="N196" s="152">
        <v>0</v>
      </c>
      <c r="O196" s="136">
        <v>0</v>
      </c>
      <c r="P196" s="28">
        <f t="shared" si="147"/>
        <v>0</v>
      </c>
      <c r="Q196" s="28">
        <v>0</v>
      </c>
      <c r="R196" s="28">
        <v>0</v>
      </c>
      <c r="S196" s="151">
        <v>0</v>
      </c>
      <c r="T196" s="136">
        <v>0</v>
      </c>
      <c r="U196" s="28">
        <f t="shared" si="148"/>
        <v>0</v>
      </c>
      <c r="V196" s="28">
        <v>0</v>
      </c>
      <c r="W196" s="28">
        <v>0</v>
      </c>
      <c r="X196" s="151">
        <v>0</v>
      </c>
      <c r="Y196" s="136">
        <v>3.4899999999999998</v>
      </c>
      <c r="Z196" s="152">
        <f t="shared" si="149"/>
        <v>872.49999999999989</v>
      </c>
      <c r="AA196" s="152">
        <v>0</v>
      </c>
      <c r="AB196" s="152">
        <v>0</v>
      </c>
      <c r="AC196" s="157">
        <v>872.49999999999989</v>
      </c>
      <c r="AD196" s="36"/>
      <c r="AE196" s="37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</row>
    <row r="197" spans="1:43" s="22" customFormat="1" ht="27" customHeight="1" outlineLevel="1" x14ac:dyDescent="0.2">
      <c r="A197" s="142" t="s">
        <v>549</v>
      </c>
      <c r="B197" s="127" t="s">
        <v>308</v>
      </c>
      <c r="C197" s="177">
        <f t="shared" si="144"/>
        <v>2.97</v>
      </c>
      <c r="D197" s="28">
        <f t="shared" si="145"/>
        <v>741.3</v>
      </c>
      <c r="E197" s="17">
        <v>0</v>
      </c>
      <c r="F197" s="237">
        <f t="shared" si="146"/>
        <v>0</v>
      </c>
      <c r="G197" s="152">
        <v>0</v>
      </c>
      <c r="H197" s="152">
        <v>0</v>
      </c>
      <c r="I197" s="152">
        <v>0</v>
      </c>
      <c r="J197" s="17">
        <v>0</v>
      </c>
      <c r="K197" s="237">
        <f t="shared" si="143"/>
        <v>0</v>
      </c>
      <c r="L197" s="152">
        <v>0</v>
      </c>
      <c r="M197" s="152">
        <v>0</v>
      </c>
      <c r="N197" s="152">
        <v>0</v>
      </c>
      <c r="O197" s="136">
        <v>0</v>
      </c>
      <c r="P197" s="28">
        <f t="shared" si="147"/>
        <v>0</v>
      </c>
      <c r="Q197" s="28">
        <v>0</v>
      </c>
      <c r="R197" s="28">
        <v>0</v>
      </c>
      <c r="S197" s="151">
        <v>0</v>
      </c>
      <c r="T197" s="136">
        <v>0</v>
      </c>
      <c r="U197" s="28">
        <f t="shared" si="148"/>
        <v>0</v>
      </c>
      <c r="V197" s="28">
        <v>0</v>
      </c>
      <c r="W197" s="28">
        <v>0</v>
      </c>
      <c r="X197" s="151">
        <v>0</v>
      </c>
      <c r="Y197" s="136">
        <f>ROUND(2.965,2)</f>
        <v>2.97</v>
      </c>
      <c r="Z197" s="152">
        <f t="shared" si="149"/>
        <v>741.3</v>
      </c>
      <c r="AA197" s="152">
        <v>0</v>
      </c>
      <c r="AB197" s="152">
        <v>0</v>
      </c>
      <c r="AC197" s="157">
        <f>ROUND(741.25,1)</f>
        <v>741.3</v>
      </c>
      <c r="AD197" s="36"/>
      <c r="AE197" s="37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</row>
    <row r="198" spans="1:43" s="22" customFormat="1" ht="26.45" customHeight="1" outlineLevel="1" x14ac:dyDescent="0.2">
      <c r="A198" s="142" t="s">
        <v>550</v>
      </c>
      <c r="B198" s="127" t="s">
        <v>309</v>
      </c>
      <c r="C198" s="177">
        <f t="shared" si="144"/>
        <v>1.27</v>
      </c>
      <c r="D198" s="28">
        <f t="shared" si="145"/>
        <v>317.5</v>
      </c>
      <c r="E198" s="17">
        <v>0</v>
      </c>
      <c r="F198" s="237">
        <f t="shared" si="146"/>
        <v>0</v>
      </c>
      <c r="G198" s="152">
        <v>0</v>
      </c>
      <c r="H198" s="152">
        <v>0</v>
      </c>
      <c r="I198" s="152">
        <v>0</v>
      </c>
      <c r="J198" s="17">
        <v>0</v>
      </c>
      <c r="K198" s="237">
        <f t="shared" si="143"/>
        <v>0</v>
      </c>
      <c r="L198" s="152">
        <v>0</v>
      </c>
      <c r="M198" s="152">
        <v>0</v>
      </c>
      <c r="N198" s="152">
        <v>0</v>
      </c>
      <c r="O198" s="136">
        <v>0</v>
      </c>
      <c r="P198" s="28">
        <f t="shared" si="147"/>
        <v>0</v>
      </c>
      <c r="Q198" s="28">
        <v>0</v>
      </c>
      <c r="R198" s="28">
        <v>0</v>
      </c>
      <c r="S198" s="151">
        <v>0</v>
      </c>
      <c r="T198" s="136">
        <v>0</v>
      </c>
      <c r="U198" s="28">
        <f t="shared" si="148"/>
        <v>0</v>
      </c>
      <c r="V198" s="28">
        <v>0</v>
      </c>
      <c r="W198" s="28">
        <v>0</v>
      </c>
      <c r="X198" s="151">
        <v>0</v>
      </c>
      <c r="Y198" s="136">
        <v>1.27</v>
      </c>
      <c r="Z198" s="152">
        <f t="shared" si="149"/>
        <v>317.5</v>
      </c>
      <c r="AA198" s="152">
        <v>0</v>
      </c>
      <c r="AB198" s="152">
        <v>0</v>
      </c>
      <c r="AC198" s="157">
        <v>317.5</v>
      </c>
      <c r="AD198" s="36"/>
      <c r="AE198" s="37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</row>
    <row r="199" spans="1:43" s="22" customFormat="1" ht="25.9" customHeight="1" outlineLevel="1" x14ac:dyDescent="0.2">
      <c r="A199" s="142" t="s">
        <v>551</v>
      </c>
      <c r="B199" s="127" t="s">
        <v>310</v>
      </c>
      <c r="C199" s="177">
        <f t="shared" si="144"/>
        <v>3.61</v>
      </c>
      <c r="D199" s="28">
        <f t="shared" si="145"/>
        <v>902.5</v>
      </c>
      <c r="E199" s="17">
        <v>0</v>
      </c>
      <c r="F199" s="237">
        <f t="shared" si="146"/>
        <v>0</v>
      </c>
      <c r="G199" s="152">
        <v>0</v>
      </c>
      <c r="H199" s="152">
        <v>0</v>
      </c>
      <c r="I199" s="152">
        <v>0</v>
      </c>
      <c r="J199" s="17">
        <v>0</v>
      </c>
      <c r="K199" s="237">
        <f t="shared" si="143"/>
        <v>0</v>
      </c>
      <c r="L199" s="152">
        <v>0</v>
      </c>
      <c r="M199" s="152">
        <v>0</v>
      </c>
      <c r="N199" s="152">
        <v>0</v>
      </c>
      <c r="O199" s="136">
        <v>0</v>
      </c>
      <c r="P199" s="28">
        <f t="shared" si="147"/>
        <v>0</v>
      </c>
      <c r="Q199" s="28">
        <v>0</v>
      </c>
      <c r="R199" s="28">
        <v>0</v>
      </c>
      <c r="S199" s="151">
        <v>0</v>
      </c>
      <c r="T199" s="136">
        <v>0</v>
      </c>
      <c r="U199" s="28">
        <f t="shared" si="148"/>
        <v>0</v>
      </c>
      <c r="V199" s="28">
        <v>0</v>
      </c>
      <c r="W199" s="28">
        <v>0</v>
      </c>
      <c r="X199" s="151">
        <v>0</v>
      </c>
      <c r="Y199" s="136">
        <v>3.61</v>
      </c>
      <c r="Z199" s="152">
        <f t="shared" si="149"/>
        <v>902.5</v>
      </c>
      <c r="AA199" s="152">
        <v>0</v>
      </c>
      <c r="AB199" s="152">
        <v>0</v>
      </c>
      <c r="AC199" s="157">
        <v>902.5</v>
      </c>
      <c r="AD199" s="36"/>
      <c r="AE199" s="37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</row>
    <row r="200" spans="1:43" s="22" customFormat="1" ht="23.45" customHeight="1" outlineLevel="1" x14ac:dyDescent="0.2">
      <c r="A200" s="142" t="s">
        <v>552</v>
      </c>
      <c r="B200" s="127" t="s">
        <v>311</v>
      </c>
      <c r="C200" s="177">
        <f t="shared" si="144"/>
        <v>3.54</v>
      </c>
      <c r="D200" s="28">
        <f t="shared" si="145"/>
        <v>883.8</v>
      </c>
      <c r="E200" s="17">
        <v>0</v>
      </c>
      <c r="F200" s="237">
        <f t="shared" si="146"/>
        <v>0</v>
      </c>
      <c r="G200" s="152">
        <v>0</v>
      </c>
      <c r="H200" s="152">
        <v>0</v>
      </c>
      <c r="I200" s="152">
        <v>0</v>
      </c>
      <c r="J200" s="17">
        <v>0</v>
      </c>
      <c r="K200" s="237">
        <f t="shared" si="143"/>
        <v>0</v>
      </c>
      <c r="L200" s="152">
        <v>0</v>
      </c>
      <c r="M200" s="152">
        <v>0</v>
      </c>
      <c r="N200" s="152">
        <v>0</v>
      </c>
      <c r="O200" s="136">
        <v>0</v>
      </c>
      <c r="P200" s="28">
        <f t="shared" si="147"/>
        <v>0</v>
      </c>
      <c r="Q200" s="28">
        <v>0</v>
      </c>
      <c r="R200" s="28">
        <v>0</v>
      </c>
      <c r="S200" s="151">
        <v>0</v>
      </c>
      <c r="T200" s="136">
        <v>0</v>
      </c>
      <c r="U200" s="28">
        <f t="shared" si="148"/>
        <v>0</v>
      </c>
      <c r="V200" s="28">
        <v>0</v>
      </c>
      <c r="W200" s="28">
        <v>0</v>
      </c>
      <c r="X200" s="151">
        <v>0</v>
      </c>
      <c r="Y200" s="136">
        <f>ROUND(3.535,2)</f>
        <v>3.54</v>
      </c>
      <c r="Z200" s="152">
        <f t="shared" si="149"/>
        <v>883.8</v>
      </c>
      <c r="AA200" s="152">
        <v>0</v>
      </c>
      <c r="AB200" s="152">
        <v>0</v>
      </c>
      <c r="AC200" s="157">
        <f>ROUND(883.75,1)</f>
        <v>883.8</v>
      </c>
      <c r="AD200" s="36"/>
      <c r="AE200" s="37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</row>
    <row r="201" spans="1:43" s="22" customFormat="1" ht="25.15" customHeight="1" outlineLevel="1" x14ac:dyDescent="0.2">
      <c r="A201" s="142" t="s">
        <v>553</v>
      </c>
      <c r="B201" s="127" t="s">
        <v>312</v>
      </c>
      <c r="C201" s="177">
        <f t="shared" si="144"/>
        <v>3.48</v>
      </c>
      <c r="D201" s="28">
        <f t="shared" si="145"/>
        <v>868.8</v>
      </c>
      <c r="E201" s="17">
        <v>0</v>
      </c>
      <c r="F201" s="237">
        <f t="shared" si="146"/>
        <v>0</v>
      </c>
      <c r="G201" s="152">
        <v>0</v>
      </c>
      <c r="H201" s="152">
        <v>0</v>
      </c>
      <c r="I201" s="152">
        <v>0</v>
      </c>
      <c r="J201" s="17">
        <v>0</v>
      </c>
      <c r="K201" s="237">
        <f t="shared" si="143"/>
        <v>0</v>
      </c>
      <c r="L201" s="152">
        <v>0</v>
      </c>
      <c r="M201" s="152">
        <v>0</v>
      </c>
      <c r="N201" s="152">
        <v>0</v>
      </c>
      <c r="O201" s="136">
        <v>0</v>
      </c>
      <c r="P201" s="28">
        <f t="shared" si="147"/>
        <v>0</v>
      </c>
      <c r="Q201" s="28">
        <v>0</v>
      </c>
      <c r="R201" s="28">
        <v>0</v>
      </c>
      <c r="S201" s="151">
        <v>0</v>
      </c>
      <c r="T201" s="136">
        <v>0</v>
      </c>
      <c r="U201" s="28">
        <f t="shared" si="148"/>
        <v>0</v>
      </c>
      <c r="V201" s="28">
        <v>0</v>
      </c>
      <c r="W201" s="28">
        <v>0</v>
      </c>
      <c r="X201" s="151">
        <v>0</v>
      </c>
      <c r="Y201" s="136">
        <f>ROUND(3.475,2)</f>
        <v>3.48</v>
      </c>
      <c r="Z201" s="152">
        <f t="shared" si="149"/>
        <v>868.8</v>
      </c>
      <c r="AA201" s="152">
        <v>0</v>
      </c>
      <c r="AB201" s="152">
        <v>0</v>
      </c>
      <c r="AC201" s="157">
        <f>ROUND(868.75,1)</f>
        <v>868.8</v>
      </c>
      <c r="AD201" s="36"/>
      <c r="AE201" s="37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</row>
    <row r="202" spans="1:43" s="22" customFormat="1" ht="33" customHeight="1" outlineLevel="1" x14ac:dyDescent="0.2">
      <c r="A202" s="142" t="s">
        <v>554</v>
      </c>
      <c r="B202" s="127" t="s">
        <v>313</v>
      </c>
      <c r="C202" s="177">
        <f t="shared" si="144"/>
        <v>2.58</v>
      </c>
      <c r="D202" s="28">
        <f t="shared" si="145"/>
        <v>645</v>
      </c>
      <c r="E202" s="17">
        <v>0</v>
      </c>
      <c r="F202" s="237">
        <f t="shared" si="146"/>
        <v>0</v>
      </c>
      <c r="G202" s="152">
        <v>0</v>
      </c>
      <c r="H202" s="152">
        <v>0</v>
      </c>
      <c r="I202" s="152">
        <v>0</v>
      </c>
      <c r="J202" s="17">
        <v>0</v>
      </c>
      <c r="K202" s="237">
        <f t="shared" si="143"/>
        <v>0</v>
      </c>
      <c r="L202" s="152">
        <v>0</v>
      </c>
      <c r="M202" s="152">
        <v>0</v>
      </c>
      <c r="N202" s="152">
        <v>0</v>
      </c>
      <c r="O202" s="136">
        <v>0</v>
      </c>
      <c r="P202" s="28">
        <f t="shared" si="147"/>
        <v>0</v>
      </c>
      <c r="Q202" s="28">
        <v>0</v>
      </c>
      <c r="R202" s="28">
        <v>0</v>
      </c>
      <c r="S202" s="151">
        <v>0</v>
      </c>
      <c r="T202" s="136">
        <v>0</v>
      </c>
      <c r="U202" s="28">
        <f t="shared" si="148"/>
        <v>0</v>
      </c>
      <c r="V202" s="28">
        <v>0</v>
      </c>
      <c r="W202" s="28">
        <v>0</v>
      </c>
      <c r="X202" s="151">
        <v>0</v>
      </c>
      <c r="Y202" s="136">
        <v>2.58</v>
      </c>
      <c r="Z202" s="152">
        <f t="shared" si="149"/>
        <v>645</v>
      </c>
      <c r="AA202" s="152">
        <v>0</v>
      </c>
      <c r="AB202" s="152">
        <v>0</v>
      </c>
      <c r="AC202" s="157">
        <v>645</v>
      </c>
      <c r="AD202" s="36"/>
      <c r="AE202" s="37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</row>
    <row r="203" spans="1:43" s="22" customFormat="1" ht="22.9" customHeight="1" outlineLevel="1" x14ac:dyDescent="0.2">
      <c r="A203" s="142" t="s">
        <v>555</v>
      </c>
      <c r="B203" s="127" t="s">
        <v>314</v>
      </c>
      <c r="C203" s="177">
        <f t="shared" si="144"/>
        <v>1.7799999999999998</v>
      </c>
      <c r="D203" s="28">
        <f t="shared" si="145"/>
        <v>444.99999999999994</v>
      </c>
      <c r="E203" s="17">
        <v>0</v>
      </c>
      <c r="F203" s="237">
        <f t="shared" si="146"/>
        <v>0</v>
      </c>
      <c r="G203" s="152">
        <v>0</v>
      </c>
      <c r="H203" s="152">
        <v>0</v>
      </c>
      <c r="I203" s="152">
        <v>0</v>
      </c>
      <c r="J203" s="17">
        <v>0</v>
      </c>
      <c r="K203" s="237">
        <f t="shared" si="143"/>
        <v>0</v>
      </c>
      <c r="L203" s="152">
        <v>0</v>
      </c>
      <c r="M203" s="152">
        <v>0</v>
      </c>
      <c r="N203" s="152">
        <v>0</v>
      </c>
      <c r="O203" s="136">
        <v>0</v>
      </c>
      <c r="P203" s="28">
        <f t="shared" si="147"/>
        <v>0</v>
      </c>
      <c r="Q203" s="28">
        <v>0</v>
      </c>
      <c r="R203" s="28">
        <v>0</v>
      </c>
      <c r="S203" s="151">
        <v>0</v>
      </c>
      <c r="T203" s="136">
        <v>0</v>
      </c>
      <c r="U203" s="28">
        <f t="shared" si="148"/>
        <v>0</v>
      </c>
      <c r="V203" s="28">
        <v>0</v>
      </c>
      <c r="W203" s="28">
        <v>0</v>
      </c>
      <c r="X203" s="151">
        <v>0</v>
      </c>
      <c r="Y203" s="136">
        <v>1.7799999999999998</v>
      </c>
      <c r="Z203" s="152">
        <f t="shared" si="149"/>
        <v>444.99999999999994</v>
      </c>
      <c r="AA203" s="152">
        <v>0</v>
      </c>
      <c r="AB203" s="152">
        <v>0</v>
      </c>
      <c r="AC203" s="157">
        <v>444.99999999999994</v>
      </c>
      <c r="AD203" s="36"/>
      <c r="AE203" s="37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</row>
    <row r="204" spans="1:43" s="22" customFormat="1" ht="30" customHeight="1" outlineLevel="1" x14ac:dyDescent="0.2">
      <c r="A204" s="142" t="s">
        <v>556</v>
      </c>
      <c r="B204" s="127" t="s">
        <v>315</v>
      </c>
      <c r="C204" s="177">
        <f t="shared" si="144"/>
        <v>2.06</v>
      </c>
      <c r="D204" s="28">
        <f t="shared" si="145"/>
        <v>515</v>
      </c>
      <c r="E204" s="17">
        <v>0</v>
      </c>
      <c r="F204" s="237">
        <f t="shared" si="146"/>
        <v>0</v>
      </c>
      <c r="G204" s="152">
        <v>0</v>
      </c>
      <c r="H204" s="152">
        <v>0</v>
      </c>
      <c r="I204" s="152">
        <v>0</v>
      </c>
      <c r="J204" s="17">
        <v>0</v>
      </c>
      <c r="K204" s="237">
        <f t="shared" si="143"/>
        <v>0</v>
      </c>
      <c r="L204" s="152">
        <v>0</v>
      </c>
      <c r="M204" s="152">
        <v>0</v>
      </c>
      <c r="N204" s="152">
        <v>0</v>
      </c>
      <c r="O204" s="136">
        <v>0</v>
      </c>
      <c r="P204" s="28">
        <f t="shared" si="147"/>
        <v>0</v>
      </c>
      <c r="Q204" s="28">
        <v>0</v>
      </c>
      <c r="R204" s="28">
        <v>0</v>
      </c>
      <c r="S204" s="151">
        <v>0</v>
      </c>
      <c r="T204" s="136">
        <v>0</v>
      </c>
      <c r="U204" s="28">
        <f t="shared" si="148"/>
        <v>0</v>
      </c>
      <c r="V204" s="28">
        <v>0</v>
      </c>
      <c r="W204" s="28">
        <v>0</v>
      </c>
      <c r="X204" s="151">
        <v>0</v>
      </c>
      <c r="Y204" s="136">
        <v>2.06</v>
      </c>
      <c r="Z204" s="152">
        <f t="shared" si="149"/>
        <v>515</v>
      </c>
      <c r="AA204" s="152">
        <v>0</v>
      </c>
      <c r="AB204" s="152">
        <v>0</v>
      </c>
      <c r="AC204" s="157">
        <v>515</v>
      </c>
      <c r="AD204" s="36"/>
      <c r="AE204" s="37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</row>
    <row r="205" spans="1:43" s="22" customFormat="1" ht="26.45" customHeight="1" outlineLevel="1" x14ac:dyDescent="0.2">
      <c r="A205" s="142" t="s">
        <v>557</v>
      </c>
      <c r="B205" s="127" t="s">
        <v>316</v>
      </c>
      <c r="C205" s="177">
        <f t="shared" si="144"/>
        <v>0.8899999999999999</v>
      </c>
      <c r="D205" s="28">
        <f t="shared" ref="D205:D268" si="150">F205+K205+P205+U205+Z205</f>
        <v>222.49999999999997</v>
      </c>
      <c r="E205" s="17">
        <v>0</v>
      </c>
      <c r="F205" s="237">
        <f t="shared" si="146"/>
        <v>0</v>
      </c>
      <c r="G205" s="152">
        <v>0</v>
      </c>
      <c r="H205" s="152">
        <v>0</v>
      </c>
      <c r="I205" s="152">
        <v>0</v>
      </c>
      <c r="J205" s="17">
        <v>0</v>
      </c>
      <c r="K205" s="237">
        <f t="shared" ref="K205:K268" si="151">SUM(L205:N205)</f>
        <v>0</v>
      </c>
      <c r="L205" s="152">
        <v>0</v>
      </c>
      <c r="M205" s="152">
        <v>0</v>
      </c>
      <c r="N205" s="152">
        <v>0</v>
      </c>
      <c r="O205" s="136">
        <v>0</v>
      </c>
      <c r="P205" s="28">
        <f t="shared" si="147"/>
        <v>0</v>
      </c>
      <c r="Q205" s="28">
        <v>0</v>
      </c>
      <c r="R205" s="28">
        <v>0</v>
      </c>
      <c r="S205" s="151">
        <v>0</v>
      </c>
      <c r="T205" s="136">
        <v>0</v>
      </c>
      <c r="U205" s="28">
        <f t="shared" si="148"/>
        <v>0</v>
      </c>
      <c r="V205" s="28">
        <v>0</v>
      </c>
      <c r="W205" s="28">
        <v>0</v>
      </c>
      <c r="X205" s="151">
        <v>0</v>
      </c>
      <c r="Y205" s="136">
        <v>0.8899999999999999</v>
      </c>
      <c r="Z205" s="152">
        <f t="shared" si="149"/>
        <v>222.49999999999997</v>
      </c>
      <c r="AA205" s="152">
        <v>0</v>
      </c>
      <c r="AB205" s="152">
        <v>0</v>
      </c>
      <c r="AC205" s="157">
        <v>222.49999999999997</v>
      </c>
      <c r="AD205" s="36"/>
      <c r="AE205" s="37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</row>
    <row r="206" spans="1:43" s="22" customFormat="1" ht="26.45" customHeight="1" outlineLevel="1" x14ac:dyDescent="0.2">
      <c r="A206" s="142" t="s">
        <v>558</v>
      </c>
      <c r="B206" s="127" t="s">
        <v>317</v>
      </c>
      <c r="C206" s="177">
        <f t="shared" ref="C206:C269" si="152">E206+J206+O206+T206+Y206</f>
        <v>0.65</v>
      </c>
      <c r="D206" s="28">
        <f t="shared" si="150"/>
        <v>162.5</v>
      </c>
      <c r="E206" s="17">
        <v>0</v>
      </c>
      <c r="F206" s="237">
        <f t="shared" ref="F206:F269" si="153">G206+H206+I206</f>
        <v>0</v>
      </c>
      <c r="G206" s="152">
        <v>0</v>
      </c>
      <c r="H206" s="152">
        <v>0</v>
      </c>
      <c r="I206" s="152">
        <v>0</v>
      </c>
      <c r="J206" s="17">
        <v>0</v>
      </c>
      <c r="K206" s="237">
        <f t="shared" si="151"/>
        <v>0</v>
      </c>
      <c r="L206" s="152">
        <v>0</v>
      </c>
      <c r="M206" s="152">
        <v>0</v>
      </c>
      <c r="N206" s="152">
        <v>0</v>
      </c>
      <c r="O206" s="136">
        <v>0</v>
      </c>
      <c r="P206" s="28">
        <f t="shared" ref="P206:P269" si="154">Q206+R206+S206</f>
        <v>0</v>
      </c>
      <c r="Q206" s="28">
        <v>0</v>
      </c>
      <c r="R206" s="28">
        <v>0</v>
      </c>
      <c r="S206" s="151">
        <v>0</v>
      </c>
      <c r="T206" s="136">
        <v>0</v>
      </c>
      <c r="U206" s="28">
        <f t="shared" ref="U206:U269" si="155">V206+W206+X206</f>
        <v>0</v>
      </c>
      <c r="V206" s="28">
        <v>0</v>
      </c>
      <c r="W206" s="28">
        <v>0</v>
      </c>
      <c r="X206" s="151">
        <v>0</v>
      </c>
      <c r="Y206" s="136">
        <v>0.65</v>
      </c>
      <c r="Z206" s="152">
        <f t="shared" ref="Z206:Z269" si="156">AA206+AB206+AC206</f>
        <v>162.5</v>
      </c>
      <c r="AA206" s="152">
        <v>0</v>
      </c>
      <c r="AB206" s="152">
        <v>0</v>
      </c>
      <c r="AC206" s="157">
        <v>162.5</v>
      </c>
      <c r="AD206" s="36"/>
      <c r="AE206" s="37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</row>
    <row r="207" spans="1:43" s="22" customFormat="1" ht="29.45" customHeight="1" outlineLevel="1" x14ac:dyDescent="0.2">
      <c r="A207" s="142" t="s">
        <v>559</v>
      </c>
      <c r="B207" s="127" t="s">
        <v>318</v>
      </c>
      <c r="C207" s="177">
        <f t="shared" si="152"/>
        <v>0.78</v>
      </c>
      <c r="D207" s="28">
        <f t="shared" si="150"/>
        <v>193.8</v>
      </c>
      <c r="E207" s="17">
        <v>0</v>
      </c>
      <c r="F207" s="237">
        <f t="shared" si="153"/>
        <v>0</v>
      </c>
      <c r="G207" s="152">
        <v>0</v>
      </c>
      <c r="H207" s="152">
        <v>0</v>
      </c>
      <c r="I207" s="152">
        <v>0</v>
      </c>
      <c r="J207" s="17">
        <v>0</v>
      </c>
      <c r="K207" s="237">
        <f t="shared" si="151"/>
        <v>0</v>
      </c>
      <c r="L207" s="152">
        <v>0</v>
      </c>
      <c r="M207" s="152">
        <v>0</v>
      </c>
      <c r="N207" s="152">
        <v>0</v>
      </c>
      <c r="O207" s="136">
        <v>0</v>
      </c>
      <c r="P207" s="28">
        <f t="shared" si="154"/>
        <v>0</v>
      </c>
      <c r="Q207" s="28">
        <v>0</v>
      </c>
      <c r="R207" s="28">
        <v>0</v>
      </c>
      <c r="S207" s="151">
        <v>0</v>
      </c>
      <c r="T207" s="136">
        <v>0</v>
      </c>
      <c r="U207" s="28">
        <f t="shared" si="155"/>
        <v>0</v>
      </c>
      <c r="V207" s="28">
        <v>0</v>
      </c>
      <c r="W207" s="28">
        <v>0</v>
      </c>
      <c r="X207" s="151">
        <v>0</v>
      </c>
      <c r="Y207" s="136">
        <f>ROUND(0.775,2)</f>
        <v>0.78</v>
      </c>
      <c r="Z207" s="152">
        <f t="shared" si="156"/>
        <v>193.8</v>
      </c>
      <c r="AA207" s="152">
        <v>0</v>
      </c>
      <c r="AB207" s="152">
        <v>0</v>
      </c>
      <c r="AC207" s="157">
        <f>ROUND(193.75,1)</f>
        <v>193.8</v>
      </c>
      <c r="AD207" s="36"/>
      <c r="AE207" s="37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</row>
    <row r="208" spans="1:43" s="22" customFormat="1" ht="29.45" customHeight="1" outlineLevel="1" x14ac:dyDescent="0.2">
      <c r="A208" s="142" t="s">
        <v>560</v>
      </c>
      <c r="B208" s="127" t="s">
        <v>319</v>
      </c>
      <c r="C208" s="177">
        <f t="shared" si="152"/>
        <v>0.84000000000000008</v>
      </c>
      <c r="D208" s="28">
        <f t="shared" si="150"/>
        <v>210.00000000000003</v>
      </c>
      <c r="E208" s="17">
        <v>0</v>
      </c>
      <c r="F208" s="237">
        <f t="shared" si="153"/>
        <v>0</v>
      </c>
      <c r="G208" s="152">
        <v>0</v>
      </c>
      <c r="H208" s="152">
        <v>0</v>
      </c>
      <c r="I208" s="152">
        <v>0</v>
      </c>
      <c r="J208" s="17">
        <v>0</v>
      </c>
      <c r="K208" s="237">
        <f t="shared" si="151"/>
        <v>0</v>
      </c>
      <c r="L208" s="152">
        <v>0</v>
      </c>
      <c r="M208" s="152">
        <v>0</v>
      </c>
      <c r="N208" s="152">
        <v>0</v>
      </c>
      <c r="O208" s="136">
        <v>0</v>
      </c>
      <c r="P208" s="28">
        <f t="shared" si="154"/>
        <v>0</v>
      </c>
      <c r="Q208" s="28">
        <v>0</v>
      </c>
      <c r="R208" s="28">
        <v>0</v>
      </c>
      <c r="S208" s="151">
        <v>0</v>
      </c>
      <c r="T208" s="136">
        <v>0</v>
      </c>
      <c r="U208" s="28">
        <f t="shared" si="155"/>
        <v>0</v>
      </c>
      <c r="V208" s="28">
        <v>0</v>
      </c>
      <c r="W208" s="28">
        <v>0</v>
      </c>
      <c r="X208" s="151">
        <v>0</v>
      </c>
      <c r="Y208" s="136">
        <v>0.84000000000000008</v>
      </c>
      <c r="Z208" s="152">
        <f t="shared" si="156"/>
        <v>210.00000000000003</v>
      </c>
      <c r="AA208" s="152">
        <v>0</v>
      </c>
      <c r="AB208" s="152">
        <v>0</v>
      </c>
      <c r="AC208" s="157">
        <v>210.00000000000003</v>
      </c>
      <c r="AD208" s="36"/>
      <c r="AE208" s="37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</row>
    <row r="209" spans="1:43" s="22" customFormat="1" ht="23.45" customHeight="1" outlineLevel="1" x14ac:dyDescent="0.2">
      <c r="A209" s="142" t="s">
        <v>561</v>
      </c>
      <c r="B209" s="127" t="s">
        <v>320</v>
      </c>
      <c r="C209" s="177">
        <f t="shared" si="152"/>
        <v>0.82000000000000006</v>
      </c>
      <c r="D209" s="28">
        <f t="shared" si="150"/>
        <v>205.00000000000003</v>
      </c>
      <c r="E209" s="17">
        <v>0</v>
      </c>
      <c r="F209" s="237">
        <f t="shared" si="153"/>
        <v>0</v>
      </c>
      <c r="G209" s="152">
        <v>0</v>
      </c>
      <c r="H209" s="152">
        <v>0</v>
      </c>
      <c r="I209" s="152">
        <v>0</v>
      </c>
      <c r="J209" s="17">
        <v>0</v>
      </c>
      <c r="K209" s="237">
        <f t="shared" si="151"/>
        <v>0</v>
      </c>
      <c r="L209" s="152">
        <v>0</v>
      </c>
      <c r="M209" s="152">
        <v>0</v>
      </c>
      <c r="N209" s="152">
        <v>0</v>
      </c>
      <c r="O209" s="136">
        <v>0</v>
      </c>
      <c r="P209" s="28">
        <f t="shared" si="154"/>
        <v>0</v>
      </c>
      <c r="Q209" s="28">
        <v>0</v>
      </c>
      <c r="R209" s="28">
        <v>0</v>
      </c>
      <c r="S209" s="151">
        <v>0</v>
      </c>
      <c r="T209" s="136">
        <v>0</v>
      </c>
      <c r="U209" s="28">
        <f t="shared" si="155"/>
        <v>0</v>
      </c>
      <c r="V209" s="28">
        <v>0</v>
      </c>
      <c r="W209" s="28">
        <v>0</v>
      </c>
      <c r="X209" s="151">
        <v>0</v>
      </c>
      <c r="Y209" s="136">
        <v>0.82000000000000006</v>
      </c>
      <c r="Z209" s="152">
        <f t="shared" si="156"/>
        <v>205.00000000000003</v>
      </c>
      <c r="AA209" s="152">
        <v>0</v>
      </c>
      <c r="AB209" s="152">
        <v>0</v>
      </c>
      <c r="AC209" s="157">
        <v>205.00000000000003</v>
      </c>
      <c r="AD209" s="36"/>
      <c r="AE209" s="37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</row>
    <row r="210" spans="1:43" s="22" customFormat="1" ht="24" customHeight="1" outlineLevel="1" x14ac:dyDescent="0.2">
      <c r="A210" s="142" t="s">
        <v>562</v>
      </c>
      <c r="B210" s="127" t="s">
        <v>321</v>
      </c>
      <c r="C210" s="177">
        <f t="shared" si="152"/>
        <v>1.71</v>
      </c>
      <c r="D210" s="28">
        <f t="shared" si="150"/>
        <v>426.3</v>
      </c>
      <c r="E210" s="17">
        <v>0</v>
      </c>
      <c r="F210" s="237">
        <f t="shared" si="153"/>
        <v>0</v>
      </c>
      <c r="G210" s="152">
        <v>0</v>
      </c>
      <c r="H210" s="152">
        <v>0</v>
      </c>
      <c r="I210" s="152">
        <v>0</v>
      </c>
      <c r="J210" s="17">
        <v>0</v>
      </c>
      <c r="K210" s="237">
        <f t="shared" si="151"/>
        <v>0</v>
      </c>
      <c r="L210" s="152">
        <v>0</v>
      </c>
      <c r="M210" s="152">
        <v>0</v>
      </c>
      <c r="N210" s="152">
        <v>0</v>
      </c>
      <c r="O210" s="136">
        <v>0</v>
      </c>
      <c r="P210" s="28">
        <f t="shared" si="154"/>
        <v>0</v>
      </c>
      <c r="Q210" s="28">
        <v>0</v>
      </c>
      <c r="R210" s="28">
        <v>0</v>
      </c>
      <c r="S210" s="151">
        <v>0</v>
      </c>
      <c r="T210" s="136">
        <v>0</v>
      </c>
      <c r="U210" s="28">
        <f t="shared" si="155"/>
        <v>0</v>
      </c>
      <c r="V210" s="28">
        <v>0</v>
      </c>
      <c r="W210" s="28">
        <v>0</v>
      </c>
      <c r="X210" s="151">
        <v>0</v>
      </c>
      <c r="Y210" s="136">
        <f>ROUND(1.705,2)</f>
        <v>1.71</v>
      </c>
      <c r="Z210" s="152">
        <f t="shared" si="156"/>
        <v>426.3</v>
      </c>
      <c r="AA210" s="152">
        <v>0</v>
      </c>
      <c r="AB210" s="152">
        <v>0</v>
      </c>
      <c r="AC210" s="157">
        <f>ROUND(426.25,1)</f>
        <v>426.3</v>
      </c>
      <c r="AD210" s="36"/>
      <c r="AE210" s="37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</row>
    <row r="211" spans="1:43" s="22" customFormat="1" ht="22.15" customHeight="1" outlineLevel="1" x14ac:dyDescent="0.2">
      <c r="A211" s="142" t="s">
        <v>563</v>
      </c>
      <c r="B211" s="127" t="s">
        <v>322</v>
      </c>
      <c r="C211" s="177">
        <f t="shared" si="152"/>
        <v>0.72</v>
      </c>
      <c r="D211" s="28">
        <f t="shared" si="150"/>
        <v>178.8</v>
      </c>
      <c r="E211" s="17">
        <v>0</v>
      </c>
      <c r="F211" s="237">
        <f t="shared" si="153"/>
        <v>0</v>
      </c>
      <c r="G211" s="152">
        <v>0</v>
      </c>
      <c r="H211" s="152">
        <v>0</v>
      </c>
      <c r="I211" s="152">
        <v>0</v>
      </c>
      <c r="J211" s="17">
        <v>0</v>
      </c>
      <c r="K211" s="237">
        <f t="shared" si="151"/>
        <v>0</v>
      </c>
      <c r="L211" s="152">
        <v>0</v>
      </c>
      <c r="M211" s="152">
        <v>0</v>
      </c>
      <c r="N211" s="152">
        <v>0</v>
      </c>
      <c r="O211" s="136">
        <v>0</v>
      </c>
      <c r="P211" s="28">
        <f t="shared" si="154"/>
        <v>0</v>
      </c>
      <c r="Q211" s="28">
        <v>0</v>
      </c>
      <c r="R211" s="28">
        <v>0</v>
      </c>
      <c r="S211" s="151">
        <v>0</v>
      </c>
      <c r="T211" s="136">
        <v>0</v>
      </c>
      <c r="U211" s="28">
        <f t="shared" si="155"/>
        <v>0</v>
      </c>
      <c r="V211" s="28">
        <v>0</v>
      </c>
      <c r="W211" s="28">
        <v>0</v>
      </c>
      <c r="X211" s="151">
        <v>0</v>
      </c>
      <c r="Y211" s="136">
        <f>ROUND(0.715,2)</f>
        <v>0.72</v>
      </c>
      <c r="Z211" s="152">
        <f t="shared" si="156"/>
        <v>178.8</v>
      </c>
      <c r="AA211" s="152">
        <v>0</v>
      </c>
      <c r="AB211" s="152">
        <v>0</v>
      </c>
      <c r="AC211" s="157">
        <f>ROUND(178.75,1)</f>
        <v>178.8</v>
      </c>
      <c r="AD211" s="36"/>
      <c r="AE211" s="37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</row>
    <row r="212" spans="1:43" s="22" customFormat="1" ht="21" customHeight="1" outlineLevel="1" x14ac:dyDescent="0.2">
      <c r="A212" s="142" t="s">
        <v>564</v>
      </c>
      <c r="B212" s="127" t="s">
        <v>323</v>
      </c>
      <c r="C212" s="177">
        <f t="shared" si="152"/>
        <v>3.48</v>
      </c>
      <c r="D212" s="28">
        <f t="shared" si="150"/>
        <v>868.8</v>
      </c>
      <c r="E212" s="17">
        <v>0</v>
      </c>
      <c r="F212" s="237">
        <f t="shared" si="153"/>
        <v>0</v>
      </c>
      <c r="G212" s="152">
        <v>0</v>
      </c>
      <c r="H212" s="152">
        <v>0</v>
      </c>
      <c r="I212" s="152">
        <v>0</v>
      </c>
      <c r="J212" s="17">
        <v>0</v>
      </c>
      <c r="K212" s="237">
        <f t="shared" si="151"/>
        <v>0</v>
      </c>
      <c r="L212" s="152">
        <v>0</v>
      </c>
      <c r="M212" s="152">
        <v>0</v>
      </c>
      <c r="N212" s="152">
        <v>0</v>
      </c>
      <c r="O212" s="136">
        <v>0</v>
      </c>
      <c r="P212" s="28">
        <f t="shared" si="154"/>
        <v>0</v>
      </c>
      <c r="Q212" s="28">
        <v>0</v>
      </c>
      <c r="R212" s="28">
        <v>0</v>
      </c>
      <c r="S212" s="151">
        <v>0</v>
      </c>
      <c r="T212" s="136">
        <v>0</v>
      </c>
      <c r="U212" s="28">
        <f t="shared" si="155"/>
        <v>0</v>
      </c>
      <c r="V212" s="28">
        <v>0</v>
      </c>
      <c r="W212" s="28">
        <v>0</v>
      </c>
      <c r="X212" s="151">
        <v>0</v>
      </c>
      <c r="Y212" s="136">
        <f>ROUND(3.475,2)</f>
        <v>3.48</v>
      </c>
      <c r="Z212" s="152">
        <f t="shared" si="156"/>
        <v>868.8</v>
      </c>
      <c r="AA212" s="152">
        <v>0</v>
      </c>
      <c r="AB212" s="152">
        <v>0</v>
      </c>
      <c r="AC212" s="157">
        <f>ROUND(868.75,1)</f>
        <v>868.8</v>
      </c>
      <c r="AD212" s="36"/>
      <c r="AE212" s="37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</row>
    <row r="213" spans="1:43" s="22" customFormat="1" ht="22.9" customHeight="1" outlineLevel="1" x14ac:dyDescent="0.2">
      <c r="A213" s="142" t="s">
        <v>565</v>
      </c>
      <c r="B213" s="127" t="s">
        <v>324</v>
      </c>
      <c r="C213" s="177">
        <f t="shared" si="152"/>
        <v>1.51</v>
      </c>
      <c r="D213" s="28">
        <f t="shared" si="150"/>
        <v>377.5</v>
      </c>
      <c r="E213" s="17">
        <v>0</v>
      </c>
      <c r="F213" s="237">
        <f t="shared" si="153"/>
        <v>0</v>
      </c>
      <c r="G213" s="152">
        <v>0</v>
      </c>
      <c r="H213" s="152">
        <v>0</v>
      </c>
      <c r="I213" s="152">
        <v>0</v>
      </c>
      <c r="J213" s="17">
        <v>0</v>
      </c>
      <c r="K213" s="237">
        <f t="shared" si="151"/>
        <v>0</v>
      </c>
      <c r="L213" s="152">
        <v>0</v>
      </c>
      <c r="M213" s="152">
        <v>0</v>
      </c>
      <c r="N213" s="152">
        <v>0</v>
      </c>
      <c r="O213" s="136">
        <v>0</v>
      </c>
      <c r="P213" s="28">
        <f t="shared" si="154"/>
        <v>0</v>
      </c>
      <c r="Q213" s="28">
        <v>0</v>
      </c>
      <c r="R213" s="28">
        <v>0</v>
      </c>
      <c r="S213" s="151">
        <v>0</v>
      </c>
      <c r="T213" s="136">
        <v>0</v>
      </c>
      <c r="U213" s="28">
        <f t="shared" si="155"/>
        <v>0</v>
      </c>
      <c r="V213" s="28">
        <v>0</v>
      </c>
      <c r="W213" s="28">
        <v>0</v>
      </c>
      <c r="X213" s="151">
        <v>0</v>
      </c>
      <c r="Y213" s="136">
        <v>1.51</v>
      </c>
      <c r="Z213" s="152">
        <f t="shared" si="156"/>
        <v>377.5</v>
      </c>
      <c r="AA213" s="152">
        <v>0</v>
      </c>
      <c r="AB213" s="152">
        <v>0</v>
      </c>
      <c r="AC213" s="157">
        <v>377.5</v>
      </c>
      <c r="AD213" s="36"/>
      <c r="AE213" s="37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</row>
    <row r="214" spans="1:43" s="22" customFormat="1" ht="22.15" customHeight="1" outlineLevel="1" x14ac:dyDescent="0.2">
      <c r="A214" s="142" t="s">
        <v>566</v>
      </c>
      <c r="B214" s="127" t="s">
        <v>325</v>
      </c>
      <c r="C214" s="177">
        <f t="shared" si="152"/>
        <v>1.69</v>
      </c>
      <c r="D214" s="28">
        <f t="shared" si="150"/>
        <v>421.3</v>
      </c>
      <c r="E214" s="17">
        <v>0</v>
      </c>
      <c r="F214" s="237">
        <f t="shared" si="153"/>
        <v>0</v>
      </c>
      <c r="G214" s="152">
        <v>0</v>
      </c>
      <c r="H214" s="152">
        <v>0</v>
      </c>
      <c r="I214" s="152">
        <v>0</v>
      </c>
      <c r="J214" s="17">
        <v>0</v>
      </c>
      <c r="K214" s="237">
        <f t="shared" si="151"/>
        <v>0</v>
      </c>
      <c r="L214" s="152">
        <v>0</v>
      </c>
      <c r="M214" s="152">
        <v>0</v>
      </c>
      <c r="N214" s="152">
        <v>0</v>
      </c>
      <c r="O214" s="136">
        <v>0</v>
      </c>
      <c r="P214" s="28">
        <f t="shared" si="154"/>
        <v>0</v>
      </c>
      <c r="Q214" s="28">
        <v>0</v>
      </c>
      <c r="R214" s="28">
        <v>0</v>
      </c>
      <c r="S214" s="151">
        <v>0</v>
      </c>
      <c r="T214" s="136">
        <v>0</v>
      </c>
      <c r="U214" s="28">
        <f t="shared" si="155"/>
        <v>0</v>
      </c>
      <c r="V214" s="28">
        <v>0</v>
      </c>
      <c r="W214" s="28">
        <v>0</v>
      </c>
      <c r="X214" s="151">
        <v>0</v>
      </c>
      <c r="Y214" s="136">
        <f>ROUND(1.685,2)</f>
        <v>1.69</v>
      </c>
      <c r="Z214" s="152">
        <f t="shared" si="156"/>
        <v>421.3</v>
      </c>
      <c r="AA214" s="152">
        <v>0</v>
      </c>
      <c r="AB214" s="152">
        <v>0</v>
      </c>
      <c r="AC214" s="157">
        <f>ROUND(421.25,1)</f>
        <v>421.3</v>
      </c>
      <c r="AD214" s="36"/>
      <c r="AE214" s="37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</row>
    <row r="215" spans="1:43" s="22" customFormat="1" ht="23.45" customHeight="1" outlineLevel="1" x14ac:dyDescent="0.2">
      <c r="A215" s="142" t="s">
        <v>567</v>
      </c>
      <c r="B215" s="127" t="s">
        <v>326</v>
      </c>
      <c r="C215" s="177">
        <f t="shared" si="152"/>
        <v>0.85999999999999988</v>
      </c>
      <c r="D215" s="28">
        <f t="shared" si="150"/>
        <v>214.99999999999997</v>
      </c>
      <c r="E215" s="17">
        <v>0</v>
      </c>
      <c r="F215" s="237">
        <f t="shared" si="153"/>
        <v>0</v>
      </c>
      <c r="G215" s="152">
        <v>0</v>
      </c>
      <c r="H215" s="152">
        <v>0</v>
      </c>
      <c r="I215" s="152">
        <v>0</v>
      </c>
      <c r="J215" s="17">
        <v>0</v>
      </c>
      <c r="K215" s="237">
        <f t="shared" si="151"/>
        <v>0</v>
      </c>
      <c r="L215" s="152">
        <v>0</v>
      </c>
      <c r="M215" s="152">
        <v>0</v>
      </c>
      <c r="N215" s="152">
        <v>0</v>
      </c>
      <c r="O215" s="136">
        <v>0</v>
      </c>
      <c r="P215" s="28">
        <f t="shared" si="154"/>
        <v>0</v>
      </c>
      <c r="Q215" s="28">
        <v>0</v>
      </c>
      <c r="R215" s="28">
        <v>0</v>
      </c>
      <c r="S215" s="151">
        <v>0</v>
      </c>
      <c r="T215" s="136">
        <v>0</v>
      </c>
      <c r="U215" s="28">
        <f t="shared" si="155"/>
        <v>0</v>
      </c>
      <c r="V215" s="28">
        <v>0</v>
      </c>
      <c r="W215" s="28">
        <v>0</v>
      </c>
      <c r="X215" s="151">
        <v>0</v>
      </c>
      <c r="Y215" s="136">
        <v>0.85999999999999988</v>
      </c>
      <c r="Z215" s="152">
        <f t="shared" si="156"/>
        <v>214.99999999999997</v>
      </c>
      <c r="AA215" s="152">
        <v>0</v>
      </c>
      <c r="AB215" s="152">
        <v>0</v>
      </c>
      <c r="AC215" s="157">
        <v>214.99999999999997</v>
      </c>
      <c r="AD215" s="36"/>
      <c r="AE215" s="37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</row>
    <row r="216" spans="1:43" s="22" customFormat="1" ht="23.45" customHeight="1" outlineLevel="1" x14ac:dyDescent="0.2">
      <c r="A216" s="142" t="s">
        <v>568</v>
      </c>
      <c r="B216" s="127" t="s">
        <v>327</v>
      </c>
      <c r="C216" s="177">
        <f t="shared" si="152"/>
        <v>2.29</v>
      </c>
      <c r="D216" s="28">
        <f t="shared" si="150"/>
        <v>572.5</v>
      </c>
      <c r="E216" s="17">
        <v>0</v>
      </c>
      <c r="F216" s="237">
        <f t="shared" si="153"/>
        <v>0</v>
      </c>
      <c r="G216" s="152">
        <v>0</v>
      </c>
      <c r="H216" s="152">
        <v>0</v>
      </c>
      <c r="I216" s="152">
        <v>0</v>
      </c>
      <c r="J216" s="17">
        <v>0</v>
      </c>
      <c r="K216" s="237">
        <f t="shared" si="151"/>
        <v>0</v>
      </c>
      <c r="L216" s="152">
        <v>0</v>
      </c>
      <c r="M216" s="152">
        <v>0</v>
      </c>
      <c r="N216" s="152">
        <v>0</v>
      </c>
      <c r="O216" s="136">
        <v>0</v>
      </c>
      <c r="P216" s="28">
        <f t="shared" si="154"/>
        <v>0</v>
      </c>
      <c r="Q216" s="28">
        <v>0</v>
      </c>
      <c r="R216" s="28">
        <v>0</v>
      </c>
      <c r="S216" s="151">
        <v>0</v>
      </c>
      <c r="T216" s="136">
        <v>0</v>
      </c>
      <c r="U216" s="28">
        <f t="shared" si="155"/>
        <v>0</v>
      </c>
      <c r="V216" s="28">
        <v>0</v>
      </c>
      <c r="W216" s="28">
        <v>0</v>
      </c>
      <c r="X216" s="151">
        <v>0</v>
      </c>
      <c r="Y216" s="136">
        <v>2.29</v>
      </c>
      <c r="Z216" s="152">
        <f t="shared" si="156"/>
        <v>572.5</v>
      </c>
      <c r="AA216" s="152">
        <v>0</v>
      </c>
      <c r="AB216" s="152">
        <v>0</v>
      </c>
      <c r="AC216" s="157">
        <v>572.5</v>
      </c>
      <c r="AD216" s="36"/>
      <c r="AE216" s="37"/>
      <c r="AF216" s="24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</row>
    <row r="217" spans="1:43" s="22" customFormat="1" ht="22.15" customHeight="1" outlineLevel="1" x14ac:dyDescent="0.2">
      <c r="A217" s="142" t="s">
        <v>569</v>
      </c>
      <c r="B217" s="127" t="s">
        <v>328</v>
      </c>
      <c r="C217" s="177">
        <f t="shared" si="152"/>
        <v>2.64</v>
      </c>
      <c r="D217" s="28">
        <f t="shared" si="150"/>
        <v>660</v>
      </c>
      <c r="E217" s="17">
        <v>0</v>
      </c>
      <c r="F217" s="237">
        <f t="shared" si="153"/>
        <v>0</v>
      </c>
      <c r="G217" s="152">
        <v>0</v>
      </c>
      <c r="H217" s="152">
        <v>0</v>
      </c>
      <c r="I217" s="152">
        <v>0</v>
      </c>
      <c r="J217" s="17">
        <v>0</v>
      </c>
      <c r="K217" s="237">
        <f t="shared" si="151"/>
        <v>0</v>
      </c>
      <c r="L217" s="152">
        <v>0</v>
      </c>
      <c r="M217" s="152">
        <v>0</v>
      </c>
      <c r="N217" s="152">
        <v>0</v>
      </c>
      <c r="O217" s="136">
        <v>0</v>
      </c>
      <c r="P217" s="28">
        <f t="shared" si="154"/>
        <v>0</v>
      </c>
      <c r="Q217" s="28">
        <v>0</v>
      </c>
      <c r="R217" s="28">
        <v>0</v>
      </c>
      <c r="S217" s="151">
        <v>0</v>
      </c>
      <c r="T217" s="136">
        <v>0</v>
      </c>
      <c r="U217" s="28">
        <f t="shared" si="155"/>
        <v>0</v>
      </c>
      <c r="V217" s="28">
        <v>0</v>
      </c>
      <c r="W217" s="28">
        <v>0</v>
      </c>
      <c r="X217" s="151">
        <v>0</v>
      </c>
      <c r="Y217" s="136">
        <v>2.64</v>
      </c>
      <c r="Z217" s="152">
        <f t="shared" si="156"/>
        <v>660</v>
      </c>
      <c r="AA217" s="152">
        <v>0</v>
      </c>
      <c r="AB217" s="152">
        <v>0</v>
      </c>
      <c r="AC217" s="157">
        <v>660</v>
      </c>
      <c r="AD217" s="36"/>
      <c r="AE217" s="37"/>
      <c r="AF217" s="24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</row>
    <row r="218" spans="1:43" s="22" customFormat="1" ht="25.15" customHeight="1" outlineLevel="1" x14ac:dyDescent="0.2">
      <c r="A218" s="142" t="s">
        <v>570</v>
      </c>
      <c r="B218" s="127" t="s">
        <v>329</v>
      </c>
      <c r="C218" s="177">
        <f t="shared" si="152"/>
        <v>2.3899999999999997</v>
      </c>
      <c r="D218" s="28">
        <f t="shared" si="150"/>
        <v>597.49999999999989</v>
      </c>
      <c r="E218" s="17">
        <v>0</v>
      </c>
      <c r="F218" s="237">
        <f t="shared" si="153"/>
        <v>0</v>
      </c>
      <c r="G218" s="152">
        <v>0</v>
      </c>
      <c r="H218" s="152">
        <v>0</v>
      </c>
      <c r="I218" s="152">
        <v>0</v>
      </c>
      <c r="J218" s="17">
        <v>0</v>
      </c>
      <c r="K218" s="237">
        <f t="shared" si="151"/>
        <v>0</v>
      </c>
      <c r="L218" s="152">
        <v>0</v>
      </c>
      <c r="M218" s="152">
        <v>0</v>
      </c>
      <c r="N218" s="152">
        <v>0</v>
      </c>
      <c r="O218" s="136">
        <v>0</v>
      </c>
      <c r="P218" s="28">
        <f t="shared" si="154"/>
        <v>0</v>
      </c>
      <c r="Q218" s="28">
        <v>0</v>
      </c>
      <c r="R218" s="28">
        <v>0</v>
      </c>
      <c r="S218" s="151">
        <v>0</v>
      </c>
      <c r="T218" s="136">
        <v>0</v>
      </c>
      <c r="U218" s="28">
        <f t="shared" si="155"/>
        <v>0</v>
      </c>
      <c r="V218" s="28">
        <v>0</v>
      </c>
      <c r="W218" s="28">
        <v>0</v>
      </c>
      <c r="X218" s="151">
        <v>0</v>
      </c>
      <c r="Y218" s="136">
        <v>2.3899999999999997</v>
      </c>
      <c r="Z218" s="152">
        <f t="shared" si="156"/>
        <v>597.49999999999989</v>
      </c>
      <c r="AA218" s="152">
        <v>0</v>
      </c>
      <c r="AB218" s="152">
        <v>0</v>
      </c>
      <c r="AC218" s="157">
        <v>597.49999999999989</v>
      </c>
      <c r="AD218" s="36"/>
      <c r="AE218" s="37"/>
      <c r="AF218" s="24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</row>
    <row r="219" spans="1:43" s="22" customFormat="1" ht="25.9" customHeight="1" outlineLevel="1" x14ac:dyDescent="0.2">
      <c r="A219" s="142" t="s">
        <v>571</v>
      </c>
      <c r="B219" s="127" t="s">
        <v>330</v>
      </c>
      <c r="C219" s="177">
        <f t="shared" si="152"/>
        <v>2.1800000000000002</v>
      </c>
      <c r="D219" s="28">
        <f t="shared" si="150"/>
        <v>545</v>
      </c>
      <c r="E219" s="17">
        <v>0</v>
      </c>
      <c r="F219" s="237">
        <f t="shared" si="153"/>
        <v>0</v>
      </c>
      <c r="G219" s="152">
        <v>0</v>
      </c>
      <c r="H219" s="152">
        <v>0</v>
      </c>
      <c r="I219" s="152">
        <v>0</v>
      </c>
      <c r="J219" s="17">
        <v>0</v>
      </c>
      <c r="K219" s="237">
        <f t="shared" si="151"/>
        <v>0</v>
      </c>
      <c r="L219" s="152">
        <v>0</v>
      </c>
      <c r="M219" s="152">
        <v>0</v>
      </c>
      <c r="N219" s="152">
        <v>0</v>
      </c>
      <c r="O219" s="136">
        <v>0</v>
      </c>
      <c r="P219" s="28">
        <f t="shared" si="154"/>
        <v>0</v>
      </c>
      <c r="Q219" s="28">
        <v>0</v>
      </c>
      <c r="R219" s="28">
        <v>0</v>
      </c>
      <c r="S219" s="151">
        <v>0</v>
      </c>
      <c r="T219" s="136">
        <v>0</v>
      </c>
      <c r="U219" s="28">
        <f t="shared" si="155"/>
        <v>0</v>
      </c>
      <c r="V219" s="28">
        <v>0</v>
      </c>
      <c r="W219" s="28">
        <v>0</v>
      </c>
      <c r="X219" s="151">
        <v>0</v>
      </c>
      <c r="Y219" s="136">
        <v>2.1800000000000002</v>
      </c>
      <c r="Z219" s="152">
        <f t="shared" si="156"/>
        <v>545</v>
      </c>
      <c r="AA219" s="152">
        <v>0</v>
      </c>
      <c r="AB219" s="152">
        <v>0</v>
      </c>
      <c r="AC219" s="157">
        <v>545</v>
      </c>
      <c r="AD219" s="36"/>
      <c r="AE219" s="37"/>
      <c r="AF219" s="24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</row>
    <row r="220" spans="1:43" s="22" customFormat="1" ht="28.15" customHeight="1" outlineLevel="1" x14ac:dyDescent="0.2">
      <c r="A220" s="142" t="s">
        <v>572</v>
      </c>
      <c r="B220" s="127" t="s">
        <v>331</v>
      </c>
      <c r="C220" s="177">
        <f t="shared" si="152"/>
        <v>1.94</v>
      </c>
      <c r="D220" s="28">
        <f t="shared" si="150"/>
        <v>485</v>
      </c>
      <c r="E220" s="17">
        <v>0</v>
      </c>
      <c r="F220" s="237">
        <f t="shared" si="153"/>
        <v>0</v>
      </c>
      <c r="G220" s="152">
        <v>0</v>
      </c>
      <c r="H220" s="152">
        <v>0</v>
      </c>
      <c r="I220" s="152">
        <v>0</v>
      </c>
      <c r="J220" s="17">
        <v>0</v>
      </c>
      <c r="K220" s="237">
        <f t="shared" si="151"/>
        <v>0</v>
      </c>
      <c r="L220" s="152">
        <v>0</v>
      </c>
      <c r="M220" s="152">
        <v>0</v>
      </c>
      <c r="N220" s="152">
        <v>0</v>
      </c>
      <c r="O220" s="136">
        <v>0</v>
      </c>
      <c r="P220" s="28">
        <f t="shared" si="154"/>
        <v>0</v>
      </c>
      <c r="Q220" s="28">
        <v>0</v>
      </c>
      <c r="R220" s="28">
        <v>0</v>
      </c>
      <c r="S220" s="151">
        <v>0</v>
      </c>
      <c r="T220" s="136">
        <v>0</v>
      </c>
      <c r="U220" s="28">
        <f t="shared" si="155"/>
        <v>0</v>
      </c>
      <c r="V220" s="28">
        <v>0</v>
      </c>
      <c r="W220" s="28">
        <v>0</v>
      </c>
      <c r="X220" s="151">
        <v>0</v>
      </c>
      <c r="Y220" s="136">
        <v>1.94</v>
      </c>
      <c r="Z220" s="152">
        <f t="shared" si="156"/>
        <v>485</v>
      </c>
      <c r="AA220" s="152">
        <v>0</v>
      </c>
      <c r="AB220" s="152">
        <v>0</v>
      </c>
      <c r="AC220" s="157">
        <v>485</v>
      </c>
      <c r="AD220" s="36"/>
      <c r="AE220" s="37"/>
      <c r="AF220" s="24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</row>
    <row r="221" spans="1:43" s="22" customFormat="1" ht="28.15" customHeight="1" outlineLevel="1" x14ac:dyDescent="0.2">
      <c r="A221" s="142" t="s">
        <v>573</v>
      </c>
      <c r="B221" s="127" t="s">
        <v>332</v>
      </c>
      <c r="C221" s="177">
        <f t="shared" si="152"/>
        <v>1.7999999999999998</v>
      </c>
      <c r="D221" s="28">
        <f t="shared" si="150"/>
        <v>449.99999999999994</v>
      </c>
      <c r="E221" s="17">
        <v>0</v>
      </c>
      <c r="F221" s="237">
        <f t="shared" si="153"/>
        <v>0</v>
      </c>
      <c r="G221" s="152">
        <v>0</v>
      </c>
      <c r="H221" s="152">
        <v>0</v>
      </c>
      <c r="I221" s="152">
        <v>0</v>
      </c>
      <c r="J221" s="17">
        <v>0</v>
      </c>
      <c r="K221" s="237">
        <f t="shared" si="151"/>
        <v>0</v>
      </c>
      <c r="L221" s="152">
        <v>0</v>
      </c>
      <c r="M221" s="152">
        <v>0</v>
      </c>
      <c r="N221" s="152">
        <v>0</v>
      </c>
      <c r="O221" s="136">
        <v>0</v>
      </c>
      <c r="P221" s="28">
        <f t="shared" si="154"/>
        <v>0</v>
      </c>
      <c r="Q221" s="28">
        <v>0</v>
      </c>
      <c r="R221" s="28">
        <v>0</v>
      </c>
      <c r="S221" s="151">
        <v>0</v>
      </c>
      <c r="T221" s="136">
        <v>0</v>
      </c>
      <c r="U221" s="28">
        <f t="shared" si="155"/>
        <v>0</v>
      </c>
      <c r="V221" s="28">
        <v>0</v>
      </c>
      <c r="W221" s="28">
        <v>0</v>
      </c>
      <c r="X221" s="151">
        <v>0</v>
      </c>
      <c r="Y221" s="136">
        <v>1.7999999999999998</v>
      </c>
      <c r="Z221" s="152">
        <f t="shared" si="156"/>
        <v>449.99999999999994</v>
      </c>
      <c r="AA221" s="152">
        <v>0</v>
      </c>
      <c r="AB221" s="152">
        <v>0</v>
      </c>
      <c r="AC221" s="157">
        <v>449.99999999999994</v>
      </c>
      <c r="AD221" s="36"/>
      <c r="AE221" s="37"/>
      <c r="AF221" s="24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</row>
    <row r="222" spans="1:43" s="22" customFormat="1" ht="24" customHeight="1" outlineLevel="1" x14ac:dyDescent="0.2">
      <c r="A222" s="142" t="s">
        <v>574</v>
      </c>
      <c r="B222" s="127" t="s">
        <v>333</v>
      </c>
      <c r="C222" s="177">
        <f t="shared" si="152"/>
        <v>1.36</v>
      </c>
      <c r="D222" s="28">
        <f t="shared" si="150"/>
        <v>340</v>
      </c>
      <c r="E222" s="17">
        <v>0</v>
      </c>
      <c r="F222" s="237">
        <f t="shared" si="153"/>
        <v>0</v>
      </c>
      <c r="G222" s="152">
        <v>0</v>
      </c>
      <c r="H222" s="152">
        <v>0</v>
      </c>
      <c r="I222" s="152">
        <v>0</v>
      </c>
      <c r="J222" s="17">
        <v>0</v>
      </c>
      <c r="K222" s="237">
        <f t="shared" si="151"/>
        <v>0</v>
      </c>
      <c r="L222" s="152">
        <v>0</v>
      </c>
      <c r="M222" s="152">
        <v>0</v>
      </c>
      <c r="N222" s="152">
        <v>0</v>
      </c>
      <c r="O222" s="136">
        <v>0</v>
      </c>
      <c r="P222" s="28">
        <f t="shared" si="154"/>
        <v>0</v>
      </c>
      <c r="Q222" s="28">
        <v>0</v>
      </c>
      <c r="R222" s="28">
        <v>0</v>
      </c>
      <c r="S222" s="151">
        <v>0</v>
      </c>
      <c r="T222" s="136">
        <v>0</v>
      </c>
      <c r="U222" s="28">
        <f t="shared" si="155"/>
        <v>0</v>
      </c>
      <c r="V222" s="28">
        <v>0</v>
      </c>
      <c r="W222" s="28">
        <v>0</v>
      </c>
      <c r="X222" s="151">
        <v>0</v>
      </c>
      <c r="Y222" s="136">
        <v>1.36</v>
      </c>
      <c r="Z222" s="152">
        <f t="shared" si="156"/>
        <v>340</v>
      </c>
      <c r="AA222" s="152">
        <v>0</v>
      </c>
      <c r="AB222" s="152">
        <v>0</v>
      </c>
      <c r="AC222" s="157">
        <v>340</v>
      </c>
      <c r="AD222" s="36"/>
      <c r="AE222" s="37"/>
      <c r="AF222" s="24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</row>
    <row r="223" spans="1:43" s="22" customFormat="1" ht="26.45" customHeight="1" outlineLevel="1" x14ac:dyDescent="0.2">
      <c r="A223" s="142" t="s">
        <v>575</v>
      </c>
      <c r="B223" s="127" t="s">
        <v>334</v>
      </c>
      <c r="C223" s="177">
        <f t="shared" si="152"/>
        <v>1.1499999999999999</v>
      </c>
      <c r="D223" s="28">
        <f t="shared" si="150"/>
        <v>286.3</v>
      </c>
      <c r="E223" s="17">
        <v>0</v>
      </c>
      <c r="F223" s="237">
        <f t="shared" si="153"/>
        <v>0</v>
      </c>
      <c r="G223" s="152">
        <v>0</v>
      </c>
      <c r="H223" s="152">
        <v>0</v>
      </c>
      <c r="I223" s="152">
        <v>0</v>
      </c>
      <c r="J223" s="17">
        <v>0</v>
      </c>
      <c r="K223" s="237">
        <f t="shared" si="151"/>
        <v>0</v>
      </c>
      <c r="L223" s="152">
        <v>0</v>
      </c>
      <c r="M223" s="152">
        <v>0</v>
      </c>
      <c r="N223" s="152">
        <v>0</v>
      </c>
      <c r="O223" s="136">
        <v>0</v>
      </c>
      <c r="P223" s="28">
        <f t="shared" si="154"/>
        <v>0</v>
      </c>
      <c r="Q223" s="28">
        <v>0</v>
      </c>
      <c r="R223" s="28">
        <v>0</v>
      </c>
      <c r="S223" s="151">
        <v>0</v>
      </c>
      <c r="T223" s="136">
        <v>0</v>
      </c>
      <c r="U223" s="28">
        <f t="shared" si="155"/>
        <v>0</v>
      </c>
      <c r="V223" s="28">
        <v>0</v>
      </c>
      <c r="W223" s="28">
        <v>0</v>
      </c>
      <c r="X223" s="151">
        <v>0</v>
      </c>
      <c r="Y223" s="136">
        <f>ROUND(1.145,2)</f>
        <v>1.1499999999999999</v>
      </c>
      <c r="Z223" s="152">
        <f t="shared" si="156"/>
        <v>286.3</v>
      </c>
      <c r="AA223" s="152">
        <v>0</v>
      </c>
      <c r="AB223" s="152">
        <v>0</v>
      </c>
      <c r="AC223" s="157">
        <f>ROUND(286.25,1)</f>
        <v>286.3</v>
      </c>
      <c r="AD223" s="36"/>
      <c r="AE223" s="37"/>
      <c r="AF223" s="24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</row>
    <row r="224" spans="1:43" s="22" customFormat="1" ht="34.15" customHeight="1" outlineLevel="1" x14ac:dyDescent="0.2">
      <c r="A224" s="142" t="s">
        <v>576</v>
      </c>
      <c r="B224" s="127" t="s">
        <v>335</v>
      </c>
      <c r="C224" s="177">
        <f t="shared" si="152"/>
        <v>4.37</v>
      </c>
      <c r="D224" s="28">
        <f t="shared" si="150"/>
        <v>1091.3</v>
      </c>
      <c r="E224" s="17">
        <v>0</v>
      </c>
      <c r="F224" s="237">
        <f t="shared" si="153"/>
        <v>0</v>
      </c>
      <c r="G224" s="152">
        <v>0</v>
      </c>
      <c r="H224" s="152">
        <v>0</v>
      </c>
      <c r="I224" s="152">
        <v>0</v>
      </c>
      <c r="J224" s="17">
        <v>0</v>
      </c>
      <c r="K224" s="237">
        <f t="shared" si="151"/>
        <v>0</v>
      </c>
      <c r="L224" s="152">
        <v>0</v>
      </c>
      <c r="M224" s="152">
        <v>0</v>
      </c>
      <c r="N224" s="152">
        <v>0</v>
      </c>
      <c r="O224" s="136">
        <v>0</v>
      </c>
      <c r="P224" s="28">
        <f t="shared" si="154"/>
        <v>0</v>
      </c>
      <c r="Q224" s="28">
        <v>0</v>
      </c>
      <c r="R224" s="28">
        <v>0</v>
      </c>
      <c r="S224" s="151">
        <v>0</v>
      </c>
      <c r="T224" s="136">
        <v>0</v>
      </c>
      <c r="U224" s="28">
        <f t="shared" si="155"/>
        <v>0</v>
      </c>
      <c r="V224" s="28">
        <v>0</v>
      </c>
      <c r="W224" s="28">
        <v>0</v>
      </c>
      <c r="X224" s="151">
        <v>0</v>
      </c>
      <c r="Y224" s="136">
        <f>ROUND(4.365,2)</f>
        <v>4.37</v>
      </c>
      <c r="Z224" s="152">
        <f t="shared" si="156"/>
        <v>1091.3</v>
      </c>
      <c r="AA224" s="152">
        <v>0</v>
      </c>
      <c r="AB224" s="152">
        <v>0</v>
      </c>
      <c r="AC224" s="157">
        <f>ROUND(1091.25,1)</f>
        <v>1091.3</v>
      </c>
      <c r="AD224" s="36"/>
      <c r="AE224" s="37"/>
      <c r="AF224" s="24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</row>
    <row r="225" spans="1:43" s="22" customFormat="1" ht="28.9" customHeight="1" outlineLevel="1" x14ac:dyDescent="0.2">
      <c r="A225" s="142" t="s">
        <v>577</v>
      </c>
      <c r="B225" s="127" t="s">
        <v>336</v>
      </c>
      <c r="C225" s="177">
        <f t="shared" si="152"/>
        <v>1.29</v>
      </c>
      <c r="D225" s="28">
        <f t="shared" si="150"/>
        <v>322.5</v>
      </c>
      <c r="E225" s="17">
        <v>0</v>
      </c>
      <c r="F225" s="237">
        <f t="shared" si="153"/>
        <v>0</v>
      </c>
      <c r="G225" s="152">
        <v>0</v>
      </c>
      <c r="H225" s="152">
        <v>0</v>
      </c>
      <c r="I225" s="152">
        <v>0</v>
      </c>
      <c r="J225" s="17">
        <v>0</v>
      </c>
      <c r="K225" s="237">
        <f t="shared" si="151"/>
        <v>0</v>
      </c>
      <c r="L225" s="152">
        <v>0</v>
      </c>
      <c r="M225" s="152">
        <v>0</v>
      </c>
      <c r="N225" s="152">
        <v>0</v>
      </c>
      <c r="O225" s="136">
        <v>0</v>
      </c>
      <c r="P225" s="28">
        <f t="shared" si="154"/>
        <v>0</v>
      </c>
      <c r="Q225" s="28">
        <v>0</v>
      </c>
      <c r="R225" s="28">
        <v>0</v>
      </c>
      <c r="S225" s="151">
        <v>0</v>
      </c>
      <c r="T225" s="136">
        <v>0</v>
      </c>
      <c r="U225" s="28">
        <f t="shared" si="155"/>
        <v>0</v>
      </c>
      <c r="V225" s="28">
        <v>0</v>
      </c>
      <c r="W225" s="28">
        <v>0</v>
      </c>
      <c r="X225" s="151">
        <v>0</v>
      </c>
      <c r="Y225" s="136">
        <v>1.29</v>
      </c>
      <c r="Z225" s="152">
        <f t="shared" si="156"/>
        <v>322.5</v>
      </c>
      <c r="AA225" s="152">
        <v>0</v>
      </c>
      <c r="AB225" s="152">
        <v>0</v>
      </c>
      <c r="AC225" s="157">
        <v>322.5</v>
      </c>
      <c r="AD225" s="36"/>
      <c r="AE225" s="37"/>
      <c r="AF225" s="24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</row>
    <row r="226" spans="1:43" s="22" customFormat="1" ht="26.45" customHeight="1" outlineLevel="1" x14ac:dyDescent="0.2">
      <c r="A226" s="142" t="s">
        <v>578</v>
      </c>
      <c r="B226" s="127" t="s">
        <v>337</v>
      </c>
      <c r="C226" s="177">
        <f t="shared" si="152"/>
        <v>0.81</v>
      </c>
      <c r="D226" s="28">
        <f t="shared" si="150"/>
        <v>202.5</v>
      </c>
      <c r="E226" s="17">
        <v>0</v>
      </c>
      <c r="F226" s="237">
        <f t="shared" si="153"/>
        <v>0</v>
      </c>
      <c r="G226" s="152">
        <v>0</v>
      </c>
      <c r="H226" s="152">
        <v>0</v>
      </c>
      <c r="I226" s="152">
        <v>0</v>
      </c>
      <c r="J226" s="17">
        <v>0</v>
      </c>
      <c r="K226" s="237">
        <f t="shared" si="151"/>
        <v>0</v>
      </c>
      <c r="L226" s="152">
        <v>0</v>
      </c>
      <c r="M226" s="152">
        <v>0</v>
      </c>
      <c r="N226" s="152">
        <v>0</v>
      </c>
      <c r="O226" s="136">
        <v>0</v>
      </c>
      <c r="P226" s="28">
        <f t="shared" si="154"/>
        <v>0</v>
      </c>
      <c r="Q226" s="28">
        <v>0</v>
      </c>
      <c r="R226" s="28">
        <v>0</v>
      </c>
      <c r="S226" s="151">
        <v>0</v>
      </c>
      <c r="T226" s="136">
        <v>0</v>
      </c>
      <c r="U226" s="28">
        <f t="shared" si="155"/>
        <v>0</v>
      </c>
      <c r="V226" s="28">
        <v>0</v>
      </c>
      <c r="W226" s="28">
        <v>0</v>
      </c>
      <c r="X226" s="151">
        <v>0</v>
      </c>
      <c r="Y226" s="136">
        <v>0.81</v>
      </c>
      <c r="Z226" s="152">
        <f t="shared" si="156"/>
        <v>202.5</v>
      </c>
      <c r="AA226" s="152">
        <v>0</v>
      </c>
      <c r="AB226" s="152">
        <v>0</v>
      </c>
      <c r="AC226" s="157">
        <v>202.5</v>
      </c>
      <c r="AD226" s="36"/>
      <c r="AE226" s="37"/>
      <c r="AF226" s="24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</row>
    <row r="227" spans="1:43" s="22" customFormat="1" ht="24" customHeight="1" outlineLevel="1" x14ac:dyDescent="0.2">
      <c r="A227" s="142" t="s">
        <v>579</v>
      </c>
      <c r="B227" s="127" t="s">
        <v>338</v>
      </c>
      <c r="C227" s="177">
        <f t="shared" si="152"/>
        <v>0.67</v>
      </c>
      <c r="D227" s="28">
        <f t="shared" si="150"/>
        <v>167.5</v>
      </c>
      <c r="E227" s="17">
        <v>0</v>
      </c>
      <c r="F227" s="237">
        <f t="shared" si="153"/>
        <v>0</v>
      </c>
      <c r="G227" s="152">
        <v>0</v>
      </c>
      <c r="H227" s="152">
        <v>0</v>
      </c>
      <c r="I227" s="152">
        <v>0</v>
      </c>
      <c r="J227" s="17">
        <v>0</v>
      </c>
      <c r="K227" s="237">
        <f t="shared" si="151"/>
        <v>0</v>
      </c>
      <c r="L227" s="152">
        <v>0</v>
      </c>
      <c r="M227" s="152">
        <v>0</v>
      </c>
      <c r="N227" s="152">
        <v>0</v>
      </c>
      <c r="O227" s="136">
        <v>0</v>
      </c>
      <c r="P227" s="28">
        <f t="shared" si="154"/>
        <v>0</v>
      </c>
      <c r="Q227" s="28">
        <v>0</v>
      </c>
      <c r="R227" s="28">
        <v>0</v>
      </c>
      <c r="S227" s="151">
        <v>0</v>
      </c>
      <c r="T227" s="136">
        <v>0</v>
      </c>
      <c r="U227" s="28">
        <f t="shared" si="155"/>
        <v>0</v>
      </c>
      <c r="V227" s="28">
        <v>0</v>
      </c>
      <c r="W227" s="28">
        <v>0</v>
      </c>
      <c r="X227" s="151">
        <v>0</v>
      </c>
      <c r="Y227" s="136">
        <v>0.67</v>
      </c>
      <c r="Z227" s="152">
        <f t="shared" si="156"/>
        <v>167.5</v>
      </c>
      <c r="AA227" s="152">
        <v>0</v>
      </c>
      <c r="AB227" s="152">
        <v>0</v>
      </c>
      <c r="AC227" s="157">
        <v>167.5</v>
      </c>
      <c r="AD227" s="36"/>
      <c r="AE227" s="37"/>
      <c r="AF227" s="24"/>
      <c r="AG227" s="24"/>
      <c r="AH227" s="24"/>
      <c r="AI227" s="24"/>
      <c r="AJ227" s="24"/>
      <c r="AK227" s="24"/>
      <c r="AL227" s="24"/>
      <c r="AM227" s="24"/>
      <c r="AN227" s="24"/>
      <c r="AO227" s="24"/>
      <c r="AP227" s="24"/>
      <c r="AQ227" s="24"/>
    </row>
    <row r="228" spans="1:43" s="22" customFormat="1" ht="24" customHeight="1" outlineLevel="1" x14ac:dyDescent="0.2">
      <c r="A228" s="142" t="s">
        <v>580</v>
      </c>
      <c r="B228" s="127" t="s">
        <v>339</v>
      </c>
      <c r="C228" s="177">
        <f t="shared" si="152"/>
        <v>1.05</v>
      </c>
      <c r="D228" s="28">
        <f t="shared" si="150"/>
        <v>262.5</v>
      </c>
      <c r="E228" s="17">
        <v>0</v>
      </c>
      <c r="F228" s="237">
        <f t="shared" si="153"/>
        <v>0</v>
      </c>
      <c r="G228" s="152">
        <v>0</v>
      </c>
      <c r="H228" s="152">
        <v>0</v>
      </c>
      <c r="I228" s="152">
        <v>0</v>
      </c>
      <c r="J228" s="17">
        <v>0</v>
      </c>
      <c r="K228" s="237">
        <f t="shared" si="151"/>
        <v>0</v>
      </c>
      <c r="L228" s="152">
        <v>0</v>
      </c>
      <c r="M228" s="152">
        <v>0</v>
      </c>
      <c r="N228" s="152">
        <v>0</v>
      </c>
      <c r="O228" s="136">
        <v>0</v>
      </c>
      <c r="P228" s="28">
        <f t="shared" si="154"/>
        <v>0</v>
      </c>
      <c r="Q228" s="28">
        <v>0</v>
      </c>
      <c r="R228" s="28">
        <v>0</v>
      </c>
      <c r="S228" s="151">
        <v>0</v>
      </c>
      <c r="T228" s="136">
        <v>0</v>
      </c>
      <c r="U228" s="28">
        <f t="shared" si="155"/>
        <v>0</v>
      </c>
      <c r="V228" s="28">
        <v>0</v>
      </c>
      <c r="W228" s="28">
        <v>0</v>
      </c>
      <c r="X228" s="151">
        <v>0</v>
      </c>
      <c r="Y228" s="136">
        <v>1.05</v>
      </c>
      <c r="Z228" s="152">
        <f t="shared" si="156"/>
        <v>262.5</v>
      </c>
      <c r="AA228" s="152">
        <v>0</v>
      </c>
      <c r="AB228" s="152">
        <v>0</v>
      </c>
      <c r="AC228" s="157">
        <v>262.5</v>
      </c>
      <c r="AD228" s="36"/>
      <c r="AE228" s="37"/>
      <c r="AF228" s="24"/>
      <c r="AG228" s="24"/>
      <c r="AH228" s="24"/>
      <c r="AI228" s="24"/>
      <c r="AJ228" s="24"/>
      <c r="AK228" s="24"/>
      <c r="AL228" s="24"/>
      <c r="AM228" s="24"/>
      <c r="AN228" s="24"/>
      <c r="AO228" s="24"/>
      <c r="AP228" s="24"/>
      <c r="AQ228" s="24"/>
    </row>
    <row r="229" spans="1:43" s="22" customFormat="1" ht="27" customHeight="1" outlineLevel="1" x14ac:dyDescent="0.2">
      <c r="A229" s="142" t="s">
        <v>581</v>
      </c>
      <c r="B229" s="127" t="s">
        <v>471</v>
      </c>
      <c r="C229" s="177">
        <f t="shared" si="152"/>
        <v>1.52</v>
      </c>
      <c r="D229" s="28">
        <f t="shared" si="150"/>
        <v>378.8</v>
      </c>
      <c r="E229" s="17">
        <v>0</v>
      </c>
      <c r="F229" s="237">
        <f t="shared" si="153"/>
        <v>0</v>
      </c>
      <c r="G229" s="152">
        <v>0</v>
      </c>
      <c r="H229" s="152">
        <v>0</v>
      </c>
      <c r="I229" s="152">
        <v>0</v>
      </c>
      <c r="J229" s="17">
        <v>0</v>
      </c>
      <c r="K229" s="237">
        <f t="shared" si="151"/>
        <v>0</v>
      </c>
      <c r="L229" s="152">
        <v>0</v>
      </c>
      <c r="M229" s="152">
        <v>0</v>
      </c>
      <c r="N229" s="152">
        <v>0</v>
      </c>
      <c r="O229" s="136">
        <v>0</v>
      </c>
      <c r="P229" s="28">
        <f t="shared" si="154"/>
        <v>0</v>
      </c>
      <c r="Q229" s="28">
        <v>0</v>
      </c>
      <c r="R229" s="28">
        <v>0</v>
      </c>
      <c r="S229" s="151">
        <v>0</v>
      </c>
      <c r="T229" s="136">
        <v>0</v>
      </c>
      <c r="U229" s="28">
        <f t="shared" si="155"/>
        <v>0</v>
      </c>
      <c r="V229" s="28">
        <v>0</v>
      </c>
      <c r="W229" s="28">
        <v>0</v>
      </c>
      <c r="X229" s="151">
        <v>0</v>
      </c>
      <c r="Y229" s="136">
        <f>ROUND(1.515,2)</f>
        <v>1.52</v>
      </c>
      <c r="Z229" s="152">
        <f t="shared" si="156"/>
        <v>378.8</v>
      </c>
      <c r="AA229" s="152">
        <v>0</v>
      </c>
      <c r="AB229" s="152">
        <v>0</v>
      </c>
      <c r="AC229" s="157">
        <f>ROUND(378.75,1)</f>
        <v>378.8</v>
      </c>
      <c r="AD229" s="36"/>
      <c r="AE229" s="37"/>
      <c r="AF229" s="24"/>
      <c r="AG229" s="24"/>
      <c r="AH229" s="24"/>
      <c r="AI229" s="24"/>
      <c r="AJ229" s="24"/>
      <c r="AK229" s="24"/>
      <c r="AL229" s="24"/>
      <c r="AM229" s="24"/>
      <c r="AN229" s="24"/>
      <c r="AO229" s="24"/>
      <c r="AP229" s="24"/>
      <c r="AQ229" s="24"/>
    </row>
    <row r="230" spans="1:43" s="22" customFormat="1" ht="29.45" customHeight="1" outlineLevel="1" x14ac:dyDescent="0.2">
      <c r="A230" s="142" t="s">
        <v>582</v>
      </c>
      <c r="B230" s="127" t="s">
        <v>340</v>
      </c>
      <c r="C230" s="177">
        <f t="shared" si="152"/>
        <v>1.55</v>
      </c>
      <c r="D230" s="28">
        <f t="shared" si="150"/>
        <v>387.5</v>
      </c>
      <c r="E230" s="17">
        <v>0</v>
      </c>
      <c r="F230" s="237">
        <f t="shared" si="153"/>
        <v>0</v>
      </c>
      <c r="G230" s="152">
        <v>0</v>
      </c>
      <c r="H230" s="152">
        <v>0</v>
      </c>
      <c r="I230" s="152">
        <v>0</v>
      </c>
      <c r="J230" s="17">
        <v>0</v>
      </c>
      <c r="K230" s="237">
        <f t="shared" si="151"/>
        <v>0</v>
      </c>
      <c r="L230" s="152">
        <v>0</v>
      </c>
      <c r="M230" s="152">
        <v>0</v>
      </c>
      <c r="N230" s="152">
        <v>0</v>
      </c>
      <c r="O230" s="136">
        <v>0</v>
      </c>
      <c r="P230" s="28">
        <f t="shared" si="154"/>
        <v>0</v>
      </c>
      <c r="Q230" s="28">
        <v>0</v>
      </c>
      <c r="R230" s="28">
        <v>0</v>
      </c>
      <c r="S230" s="151">
        <v>0</v>
      </c>
      <c r="T230" s="136">
        <v>0</v>
      </c>
      <c r="U230" s="28">
        <f t="shared" si="155"/>
        <v>0</v>
      </c>
      <c r="V230" s="28">
        <v>0</v>
      </c>
      <c r="W230" s="28">
        <v>0</v>
      </c>
      <c r="X230" s="151">
        <v>0</v>
      </c>
      <c r="Y230" s="136">
        <v>1.55</v>
      </c>
      <c r="Z230" s="152">
        <f t="shared" si="156"/>
        <v>387.5</v>
      </c>
      <c r="AA230" s="152">
        <v>0</v>
      </c>
      <c r="AB230" s="152">
        <v>0</v>
      </c>
      <c r="AC230" s="157">
        <v>387.5</v>
      </c>
      <c r="AD230" s="36"/>
      <c r="AE230" s="37"/>
      <c r="AF230" s="24"/>
      <c r="AG230" s="24"/>
      <c r="AH230" s="24"/>
      <c r="AI230" s="24"/>
      <c r="AJ230" s="24"/>
      <c r="AK230" s="24"/>
      <c r="AL230" s="24"/>
      <c r="AM230" s="24"/>
      <c r="AN230" s="24"/>
      <c r="AO230" s="24"/>
      <c r="AP230" s="24"/>
      <c r="AQ230" s="24"/>
    </row>
    <row r="231" spans="1:43" s="22" customFormat="1" ht="25.15" customHeight="1" outlineLevel="1" x14ac:dyDescent="0.2">
      <c r="A231" s="142" t="s">
        <v>583</v>
      </c>
      <c r="B231" s="127" t="s">
        <v>341</v>
      </c>
      <c r="C231" s="177">
        <f t="shared" si="152"/>
        <v>0.73</v>
      </c>
      <c r="D231" s="28">
        <f t="shared" si="150"/>
        <v>181.3</v>
      </c>
      <c r="E231" s="17">
        <v>0</v>
      </c>
      <c r="F231" s="237">
        <f t="shared" si="153"/>
        <v>0</v>
      </c>
      <c r="G231" s="152">
        <v>0</v>
      </c>
      <c r="H231" s="152">
        <v>0</v>
      </c>
      <c r="I231" s="152">
        <v>0</v>
      </c>
      <c r="J231" s="17">
        <v>0</v>
      </c>
      <c r="K231" s="237">
        <f t="shared" si="151"/>
        <v>0</v>
      </c>
      <c r="L231" s="152">
        <v>0</v>
      </c>
      <c r="M231" s="152">
        <v>0</v>
      </c>
      <c r="N231" s="152">
        <v>0</v>
      </c>
      <c r="O231" s="136">
        <v>0</v>
      </c>
      <c r="P231" s="28">
        <f t="shared" si="154"/>
        <v>0</v>
      </c>
      <c r="Q231" s="28">
        <v>0</v>
      </c>
      <c r="R231" s="28">
        <v>0</v>
      </c>
      <c r="S231" s="151">
        <v>0</v>
      </c>
      <c r="T231" s="136">
        <v>0</v>
      </c>
      <c r="U231" s="28">
        <f t="shared" si="155"/>
        <v>0</v>
      </c>
      <c r="V231" s="28">
        <v>0</v>
      </c>
      <c r="W231" s="28">
        <v>0</v>
      </c>
      <c r="X231" s="151">
        <v>0</v>
      </c>
      <c r="Y231" s="136">
        <f>ROUND(0.725,2)</f>
        <v>0.73</v>
      </c>
      <c r="Z231" s="152">
        <f t="shared" si="156"/>
        <v>181.3</v>
      </c>
      <c r="AA231" s="152">
        <v>0</v>
      </c>
      <c r="AB231" s="152">
        <v>0</v>
      </c>
      <c r="AC231" s="157">
        <f>ROUND(181.25,1)</f>
        <v>181.3</v>
      </c>
      <c r="AD231" s="36"/>
      <c r="AE231" s="37"/>
      <c r="AF231" s="24"/>
      <c r="AG231" s="24"/>
      <c r="AH231" s="24"/>
      <c r="AI231" s="24"/>
      <c r="AJ231" s="24"/>
      <c r="AK231" s="24"/>
      <c r="AL231" s="24"/>
      <c r="AM231" s="24"/>
      <c r="AN231" s="24"/>
      <c r="AO231" s="24"/>
      <c r="AP231" s="24"/>
      <c r="AQ231" s="24"/>
    </row>
    <row r="232" spans="1:43" s="22" customFormat="1" ht="22.15" customHeight="1" outlineLevel="1" x14ac:dyDescent="0.2">
      <c r="A232" s="142" t="s">
        <v>584</v>
      </c>
      <c r="B232" s="127" t="s">
        <v>342</v>
      </c>
      <c r="C232" s="177">
        <f t="shared" si="152"/>
        <v>1.89</v>
      </c>
      <c r="D232" s="28">
        <f t="shared" si="150"/>
        <v>471.3</v>
      </c>
      <c r="E232" s="17">
        <v>0</v>
      </c>
      <c r="F232" s="237">
        <f t="shared" si="153"/>
        <v>0</v>
      </c>
      <c r="G232" s="152">
        <v>0</v>
      </c>
      <c r="H232" s="152">
        <v>0</v>
      </c>
      <c r="I232" s="152">
        <v>0</v>
      </c>
      <c r="J232" s="17">
        <v>0</v>
      </c>
      <c r="K232" s="237">
        <f t="shared" si="151"/>
        <v>0</v>
      </c>
      <c r="L232" s="152">
        <v>0</v>
      </c>
      <c r="M232" s="152">
        <v>0</v>
      </c>
      <c r="N232" s="152">
        <v>0</v>
      </c>
      <c r="O232" s="136">
        <v>0</v>
      </c>
      <c r="P232" s="28">
        <f t="shared" si="154"/>
        <v>0</v>
      </c>
      <c r="Q232" s="28">
        <v>0</v>
      </c>
      <c r="R232" s="28">
        <v>0</v>
      </c>
      <c r="S232" s="151">
        <v>0</v>
      </c>
      <c r="T232" s="136">
        <v>0</v>
      </c>
      <c r="U232" s="28">
        <f t="shared" si="155"/>
        <v>0</v>
      </c>
      <c r="V232" s="28">
        <v>0</v>
      </c>
      <c r="W232" s="28">
        <v>0</v>
      </c>
      <c r="X232" s="151">
        <v>0</v>
      </c>
      <c r="Y232" s="136">
        <f>ROUND(1.885,2)</f>
        <v>1.89</v>
      </c>
      <c r="Z232" s="152">
        <f t="shared" si="156"/>
        <v>471.3</v>
      </c>
      <c r="AA232" s="152">
        <v>0</v>
      </c>
      <c r="AB232" s="152">
        <v>0</v>
      </c>
      <c r="AC232" s="157">
        <f>ROUND(471.25,1)</f>
        <v>471.3</v>
      </c>
      <c r="AD232" s="36"/>
      <c r="AE232" s="37"/>
      <c r="AF232" s="24"/>
      <c r="AG232" s="24"/>
      <c r="AH232" s="24"/>
      <c r="AI232" s="24"/>
      <c r="AJ232" s="24"/>
      <c r="AK232" s="24"/>
      <c r="AL232" s="24"/>
      <c r="AM232" s="24"/>
      <c r="AN232" s="24"/>
      <c r="AO232" s="24"/>
      <c r="AP232" s="24"/>
      <c r="AQ232" s="24"/>
    </row>
    <row r="233" spans="1:43" s="22" customFormat="1" ht="25.9" customHeight="1" outlineLevel="1" x14ac:dyDescent="0.2">
      <c r="A233" s="142" t="s">
        <v>585</v>
      </c>
      <c r="B233" s="127" t="s">
        <v>472</v>
      </c>
      <c r="C233" s="177">
        <f t="shared" si="152"/>
        <v>3</v>
      </c>
      <c r="D233" s="28">
        <f t="shared" si="150"/>
        <v>750</v>
      </c>
      <c r="E233" s="17">
        <v>0</v>
      </c>
      <c r="F233" s="237">
        <f t="shared" si="153"/>
        <v>0</v>
      </c>
      <c r="G233" s="152">
        <v>0</v>
      </c>
      <c r="H233" s="152">
        <v>0</v>
      </c>
      <c r="I233" s="152">
        <v>0</v>
      </c>
      <c r="J233" s="17">
        <v>0</v>
      </c>
      <c r="K233" s="237">
        <f t="shared" si="151"/>
        <v>0</v>
      </c>
      <c r="L233" s="152">
        <v>0</v>
      </c>
      <c r="M233" s="152">
        <v>0</v>
      </c>
      <c r="N233" s="152">
        <v>0</v>
      </c>
      <c r="O233" s="136">
        <v>0</v>
      </c>
      <c r="P233" s="28">
        <f t="shared" si="154"/>
        <v>0</v>
      </c>
      <c r="Q233" s="28">
        <v>0</v>
      </c>
      <c r="R233" s="28">
        <v>0</v>
      </c>
      <c r="S233" s="151">
        <v>0</v>
      </c>
      <c r="T233" s="136">
        <v>0</v>
      </c>
      <c r="U233" s="28">
        <f t="shared" si="155"/>
        <v>0</v>
      </c>
      <c r="V233" s="28">
        <v>0</v>
      </c>
      <c r="W233" s="28">
        <v>0</v>
      </c>
      <c r="X233" s="151">
        <v>0</v>
      </c>
      <c r="Y233" s="136">
        <v>3</v>
      </c>
      <c r="Z233" s="152">
        <f t="shared" si="156"/>
        <v>750</v>
      </c>
      <c r="AA233" s="152">
        <v>0</v>
      </c>
      <c r="AB233" s="152">
        <v>0</v>
      </c>
      <c r="AC233" s="157">
        <v>750</v>
      </c>
      <c r="AD233" s="36"/>
      <c r="AE233" s="37"/>
      <c r="AF233" s="24"/>
      <c r="AG233" s="24"/>
      <c r="AH233" s="24"/>
      <c r="AI233" s="24"/>
      <c r="AJ233" s="24"/>
      <c r="AK233" s="24"/>
      <c r="AL233" s="24"/>
      <c r="AM233" s="24"/>
      <c r="AN233" s="24"/>
      <c r="AO233" s="24"/>
      <c r="AP233" s="24"/>
      <c r="AQ233" s="24"/>
    </row>
    <row r="234" spans="1:43" s="22" customFormat="1" ht="29.45" customHeight="1" outlineLevel="1" x14ac:dyDescent="0.2">
      <c r="A234" s="142" t="s">
        <v>586</v>
      </c>
      <c r="B234" s="127" t="s">
        <v>473</v>
      </c>
      <c r="C234" s="177">
        <f t="shared" si="152"/>
        <v>2.75</v>
      </c>
      <c r="D234" s="28">
        <f t="shared" si="150"/>
        <v>687.5</v>
      </c>
      <c r="E234" s="17">
        <v>0</v>
      </c>
      <c r="F234" s="237">
        <f t="shared" si="153"/>
        <v>0</v>
      </c>
      <c r="G234" s="152">
        <v>0</v>
      </c>
      <c r="H234" s="152">
        <v>0</v>
      </c>
      <c r="I234" s="152">
        <v>0</v>
      </c>
      <c r="J234" s="17">
        <v>0</v>
      </c>
      <c r="K234" s="237">
        <f t="shared" si="151"/>
        <v>0</v>
      </c>
      <c r="L234" s="152">
        <v>0</v>
      </c>
      <c r="M234" s="152">
        <v>0</v>
      </c>
      <c r="N234" s="152">
        <v>0</v>
      </c>
      <c r="O234" s="136">
        <v>0</v>
      </c>
      <c r="P234" s="28">
        <f t="shared" si="154"/>
        <v>0</v>
      </c>
      <c r="Q234" s="28">
        <v>0</v>
      </c>
      <c r="R234" s="28">
        <v>0</v>
      </c>
      <c r="S234" s="151">
        <v>0</v>
      </c>
      <c r="T234" s="136">
        <v>0</v>
      </c>
      <c r="U234" s="28">
        <f t="shared" si="155"/>
        <v>0</v>
      </c>
      <c r="V234" s="28">
        <v>0</v>
      </c>
      <c r="W234" s="28">
        <v>0</v>
      </c>
      <c r="X234" s="151">
        <v>0</v>
      </c>
      <c r="Y234" s="136">
        <v>2.75</v>
      </c>
      <c r="Z234" s="152">
        <f t="shared" si="156"/>
        <v>687.5</v>
      </c>
      <c r="AA234" s="152">
        <v>0</v>
      </c>
      <c r="AB234" s="152">
        <v>0</v>
      </c>
      <c r="AC234" s="157">
        <v>687.5</v>
      </c>
      <c r="AD234" s="36"/>
      <c r="AE234" s="37"/>
      <c r="AF234" s="24"/>
      <c r="AG234" s="24"/>
      <c r="AH234" s="24"/>
      <c r="AI234" s="24"/>
      <c r="AJ234" s="24"/>
      <c r="AK234" s="24"/>
      <c r="AL234" s="24"/>
      <c r="AM234" s="24"/>
      <c r="AN234" s="24"/>
      <c r="AO234" s="24"/>
      <c r="AP234" s="24"/>
      <c r="AQ234" s="24"/>
    </row>
    <row r="235" spans="1:43" s="22" customFormat="1" ht="25.15" customHeight="1" outlineLevel="1" x14ac:dyDescent="0.2">
      <c r="A235" s="142" t="s">
        <v>587</v>
      </c>
      <c r="B235" s="127" t="s">
        <v>474</v>
      </c>
      <c r="C235" s="177">
        <f t="shared" si="152"/>
        <v>1.88</v>
      </c>
      <c r="D235" s="28">
        <f t="shared" si="150"/>
        <v>468.8</v>
      </c>
      <c r="E235" s="17">
        <v>0</v>
      </c>
      <c r="F235" s="237">
        <f t="shared" si="153"/>
        <v>0</v>
      </c>
      <c r="G235" s="152">
        <v>0</v>
      </c>
      <c r="H235" s="152">
        <v>0</v>
      </c>
      <c r="I235" s="152">
        <v>0</v>
      </c>
      <c r="J235" s="17">
        <v>0</v>
      </c>
      <c r="K235" s="237">
        <f t="shared" si="151"/>
        <v>0</v>
      </c>
      <c r="L235" s="152">
        <v>0</v>
      </c>
      <c r="M235" s="152">
        <v>0</v>
      </c>
      <c r="N235" s="152">
        <v>0</v>
      </c>
      <c r="O235" s="136">
        <v>0</v>
      </c>
      <c r="P235" s="28">
        <f t="shared" si="154"/>
        <v>0</v>
      </c>
      <c r="Q235" s="28">
        <v>0</v>
      </c>
      <c r="R235" s="28">
        <v>0</v>
      </c>
      <c r="S235" s="151">
        <v>0</v>
      </c>
      <c r="T235" s="136">
        <v>0</v>
      </c>
      <c r="U235" s="28">
        <f t="shared" si="155"/>
        <v>0</v>
      </c>
      <c r="V235" s="28">
        <v>0</v>
      </c>
      <c r="W235" s="28">
        <v>0</v>
      </c>
      <c r="X235" s="151">
        <v>0</v>
      </c>
      <c r="Y235" s="136">
        <f>ROUND(1.875,2)</f>
        <v>1.88</v>
      </c>
      <c r="Z235" s="152">
        <f t="shared" si="156"/>
        <v>468.8</v>
      </c>
      <c r="AA235" s="152">
        <v>0</v>
      </c>
      <c r="AB235" s="152">
        <v>0</v>
      </c>
      <c r="AC235" s="157">
        <f>ROUND(468.75,1)</f>
        <v>468.8</v>
      </c>
      <c r="AD235" s="36"/>
      <c r="AE235" s="37"/>
      <c r="AF235" s="24"/>
      <c r="AG235" s="24"/>
      <c r="AH235" s="24"/>
      <c r="AI235" s="24"/>
      <c r="AJ235" s="24"/>
      <c r="AK235" s="24"/>
      <c r="AL235" s="24"/>
      <c r="AM235" s="24"/>
      <c r="AN235" s="24"/>
      <c r="AO235" s="24"/>
      <c r="AP235" s="24"/>
      <c r="AQ235" s="24"/>
    </row>
    <row r="236" spans="1:43" s="22" customFormat="1" ht="27" customHeight="1" outlineLevel="1" x14ac:dyDescent="0.2">
      <c r="A236" s="142" t="s">
        <v>588</v>
      </c>
      <c r="B236" s="127" t="s">
        <v>475</v>
      </c>
      <c r="C236" s="177">
        <f t="shared" si="152"/>
        <v>3.08</v>
      </c>
      <c r="D236" s="28">
        <f t="shared" si="150"/>
        <v>768.8</v>
      </c>
      <c r="E236" s="17">
        <v>0</v>
      </c>
      <c r="F236" s="237">
        <f t="shared" si="153"/>
        <v>0</v>
      </c>
      <c r="G236" s="152">
        <v>0</v>
      </c>
      <c r="H236" s="152">
        <v>0</v>
      </c>
      <c r="I236" s="152">
        <v>0</v>
      </c>
      <c r="J236" s="17">
        <v>0</v>
      </c>
      <c r="K236" s="237">
        <f t="shared" si="151"/>
        <v>0</v>
      </c>
      <c r="L236" s="152">
        <v>0</v>
      </c>
      <c r="M236" s="152">
        <v>0</v>
      </c>
      <c r="N236" s="152">
        <v>0</v>
      </c>
      <c r="O236" s="136">
        <v>0</v>
      </c>
      <c r="P236" s="28">
        <f t="shared" si="154"/>
        <v>0</v>
      </c>
      <c r="Q236" s="28">
        <v>0</v>
      </c>
      <c r="R236" s="28">
        <v>0</v>
      </c>
      <c r="S236" s="151">
        <v>0</v>
      </c>
      <c r="T236" s="136">
        <v>0</v>
      </c>
      <c r="U236" s="28">
        <f t="shared" si="155"/>
        <v>0</v>
      </c>
      <c r="V236" s="28">
        <v>0</v>
      </c>
      <c r="W236" s="28">
        <v>0</v>
      </c>
      <c r="X236" s="151">
        <v>0</v>
      </c>
      <c r="Y236" s="136">
        <f>ROUND(3.075,2)</f>
        <v>3.08</v>
      </c>
      <c r="Z236" s="152">
        <f t="shared" si="156"/>
        <v>768.8</v>
      </c>
      <c r="AA236" s="152">
        <v>0</v>
      </c>
      <c r="AB236" s="152">
        <v>0</v>
      </c>
      <c r="AC236" s="157">
        <f>ROUND(768.75,1)</f>
        <v>768.8</v>
      </c>
      <c r="AD236" s="36"/>
      <c r="AE236" s="37"/>
      <c r="AF236" s="24"/>
      <c r="AG236" s="24"/>
      <c r="AH236" s="24"/>
      <c r="AI236" s="24"/>
      <c r="AJ236" s="24"/>
      <c r="AK236" s="24"/>
      <c r="AL236" s="24"/>
      <c r="AM236" s="24"/>
      <c r="AN236" s="24"/>
      <c r="AO236" s="24"/>
      <c r="AP236" s="24"/>
      <c r="AQ236" s="24"/>
    </row>
    <row r="237" spans="1:43" s="22" customFormat="1" ht="25.15" customHeight="1" outlineLevel="1" x14ac:dyDescent="0.2">
      <c r="A237" s="142" t="s">
        <v>589</v>
      </c>
      <c r="B237" s="127" t="s">
        <v>343</v>
      </c>
      <c r="C237" s="177">
        <f t="shared" si="152"/>
        <v>0.57999999999999996</v>
      </c>
      <c r="D237" s="28">
        <f t="shared" si="150"/>
        <v>143.80000000000001</v>
      </c>
      <c r="E237" s="17">
        <v>0</v>
      </c>
      <c r="F237" s="237">
        <f t="shared" si="153"/>
        <v>0</v>
      </c>
      <c r="G237" s="152">
        <v>0</v>
      </c>
      <c r="H237" s="152">
        <v>0</v>
      </c>
      <c r="I237" s="152">
        <v>0</v>
      </c>
      <c r="J237" s="17">
        <v>0</v>
      </c>
      <c r="K237" s="237">
        <f t="shared" si="151"/>
        <v>0</v>
      </c>
      <c r="L237" s="152">
        <v>0</v>
      </c>
      <c r="M237" s="152">
        <v>0</v>
      </c>
      <c r="N237" s="152">
        <v>0</v>
      </c>
      <c r="O237" s="136">
        <v>0</v>
      </c>
      <c r="P237" s="28">
        <f t="shared" si="154"/>
        <v>0</v>
      </c>
      <c r="Q237" s="28">
        <v>0</v>
      </c>
      <c r="R237" s="28">
        <v>0</v>
      </c>
      <c r="S237" s="151">
        <v>0</v>
      </c>
      <c r="T237" s="136">
        <v>0</v>
      </c>
      <c r="U237" s="28">
        <f t="shared" si="155"/>
        <v>0</v>
      </c>
      <c r="V237" s="28">
        <v>0</v>
      </c>
      <c r="W237" s="28">
        <v>0</v>
      </c>
      <c r="X237" s="151">
        <v>0</v>
      </c>
      <c r="Y237" s="136">
        <f>ROUND(0.575,2)</f>
        <v>0.57999999999999996</v>
      </c>
      <c r="Z237" s="152">
        <f t="shared" si="156"/>
        <v>143.80000000000001</v>
      </c>
      <c r="AA237" s="152">
        <v>0</v>
      </c>
      <c r="AB237" s="152">
        <v>0</v>
      </c>
      <c r="AC237" s="157">
        <f>ROUND(143.75,1)</f>
        <v>143.80000000000001</v>
      </c>
      <c r="AD237" s="36"/>
      <c r="AE237" s="37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</row>
    <row r="238" spans="1:43" s="22" customFormat="1" ht="22.9" customHeight="1" outlineLevel="1" x14ac:dyDescent="0.2">
      <c r="A238" s="142" t="s">
        <v>590</v>
      </c>
      <c r="B238" s="127" t="s">
        <v>344</v>
      </c>
      <c r="C238" s="177">
        <f t="shared" si="152"/>
        <v>0.74</v>
      </c>
      <c r="D238" s="28">
        <f t="shared" si="150"/>
        <v>183.8</v>
      </c>
      <c r="E238" s="17">
        <v>0</v>
      </c>
      <c r="F238" s="237">
        <f t="shared" si="153"/>
        <v>0</v>
      </c>
      <c r="G238" s="152">
        <v>0</v>
      </c>
      <c r="H238" s="152">
        <v>0</v>
      </c>
      <c r="I238" s="152">
        <v>0</v>
      </c>
      <c r="J238" s="17">
        <v>0</v>
      </c>
      <c r="K238" s="237">
        <f t="shared" si="151"/>
        <v>0</v>
      </c>
      <c r="L238" s="152">
        <v>0</v>
      </c>
      <c r="M238" s="152">
        <v>0</v>
      </c>
      <c r="N238" s="152">
        <v>0</v>
      </c>
      <c r="O238" s="136">
        <v>0</v>
      </c>
      <c r="P238" s="28">
        <f t="shared" si="154"/>
        <v>0</v>
      </c>
      <c r="Q238" s="28">
        <v>0</v>
      </c>
      <c r="R238" s="28">
        <v>0</v>
      </c>
      <c r="S238" s="151">
        <v>0</v>
      </c>
      <c r="T238" s="136">
        <v>0</v>
      </c>
      <c r="U238" s="28">
        <f t="shared" si="155"/>
        <v>0</v>
      </c>
      <c r="V238" s="28">
        <v>0</v>
      </c>
      <c r="W238" s="28">
        <v>0</v>
      </c>
      <c r="X238" s="151">
        <v>0</v>
      </c>
      <c r="Y238" s="136">
        <f>ROUND(0.735,2)</f>
        <v>0.74</v>
      </c>
      <c r="Z238" s="152">
        <f t="shared" si="156"/>
        <v>183.8</v>
      </c>
      <c r="AA238" s="152">
        <v>0</v>
      </c>
      <c r="AB238" s="152">
        <v>0</v>
      </c>
      <c r="AC238" s="157">
        <f>ROUND(183.75,1)</f>
        <v>183.8</v>
      </c>
      <c r="AD238" s="36"/>
      <c r="AE238" s="37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</row>
    <row r="239" spans="1:43" s="22" customFormat="1" ht="31.15" customHeight="1" outlineLevel="1" x14ac:dyDescent="0.2">
      <c r="A239" s="142" t="s">
        <v>591</v>
      </c>
      <c r="B239" s="127" t="s">
        <v>345</v>
      </c>
      <c r="C239" s="177">
        <f t="shared" si="152"/>
        <v>0.99</v>
      </c>
      <c r="D239" s="28">
        <f t="shared" si="150"/>
        <v>246.3</v>
      </c>
      <c r="E239" s="17">
        <v>0</v>
      </c>
      <c r="F239" s="237">
        <f t="shared" si="153"/>
        <v>0</v>
      </c>
      <c r="G239" s="152">
        <v>0</v>
      </c>
      <c r="H239" s="152">
        <v>0</v>
      </c>
      <c r="I239" s="152">
        <v>0</v>
      </c>
      <c r="J239" s="17">
        <v>0</v>
      </c>
      <c r="K239" s="237">
        <f t="shared" si="151"/>
        <v>0</v>
      </c>
      <c r="L239" s="152">
        <v>0</v>
      </c>
      <c r="M239" s="152">
        <v>0</v>
      </c>
      <c r="N239" s="152">
        <v>0</v>
      </c>
      <c r="O239" s="136">
        <v>0</v>
      </c>
      <c r="P239" s="28">
        <f t="shared" si="154"/>
        <v>0</v>
      </c>
      <c r="Q239" s="28">
        <v>0</v>
      </c>
      <c r="R239" s="28">
        <v>0</v>
      </c>
      <c r="S239" s="151">
        <v>0</v>
      </c>
      <c r="T239" s="136">
        <v>0</v>
      </c>
      <c r="U239" s="28">
        <f t="shared" si="155"/>
        <v>0</v>
      </c>
      <c r="V239" s="28">
        <v>0</v>
      </c>
      <c r="W239" s="28">
        <v>0</v>
      </c>
      <c r="X239" s="151">
        <v>0</v>
      </c>
      <c r="Y239" s="136">
        <f>ROUND(0.985,2)</f>
        <v>0.99</v>
      </c>
      <c r="Z239" s="152">
        <f t="shared" si="156"/>
        <v>246.3</v>
      </c>
      <c r="AA239" s="152">
        <v>0</v>
      </c>
      <c r="AB239" s="152">
        <v>0</v>
      </c>
      <c r="AC239" s="157">
        <f>ROUND(246.25,1)</f>
        <v>246.3</v>
      </c>
      <c r="AD239" s="36"/>
      <c r="AE239" s="37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</row>
    <row r="240" spans="1:43" s="22" customFormat="1" ht="31.15" customHeight="1" outlineLevel="1" x14ac:dyDescent="0.2">
      <c r="A240" s="142" t="s">
        <v>592</v>
      </c>
      <c r="B240" s="127" t="s">
        <v>346</v>
      </c>
      <c r="C240" s="177">
        <f t="shared" si="152"/>
        <v>0.88</v>
      </c>
      <c r="D240" s="28">
        <f t="shared" si="150"/>
        <v>218.8</v>
      </c>
      <c r="E240" s="17">
        <v>0</v>
      </c>
      <c r="F240" s="237">
        <f t="shared" si="153"/>
        <v>0</v>
      </c>
      <c r="G240" s="152">
        <v>0</v>
      </c>
      <c r="H240" s="152">
        <v>0</v>
      </c>
      <c r="I240" s="152">
        <v>0</v>
      </c>
      <c r="J240" s="17">
        <v>0</v>
      </c>
      <c r="K240" s="237">
        <f t="shared" si="151"/>
        <v>0</v>
      </c>
      <c r="L240" s="152">
        <v>0</v>
      </c>
      <c r="M240" s="152">
        <v>0</v>
      </c>
      <c r="N240" s="152">
        <v>0</v>
      </c>
      <c r="O240" s="136">
        <v>0</v>
      </c>
      <c r="P240" s="28">
        <f t="shared" si="154"/>
        <v>0</v>
      </c>
      <c r="Q240" s="28">
        <v>0</v>
      </c>
      <c r="R240" s="28">
        <v>0</v>
      </c>
      <c r="S240" s="151">
        <v>0</v>
      </c>
      <c r="T240" s="136">
        <v>0</v>
      </c>
      <c r="U240" s="28">
        <f t="shared" si="155"/>
        <v>0</v>
      </c>
      <c r="V240" s="28">
        <v>0</v>
      </c>
      <c r="W240" s="28">
        <v>0</v>
      </c>
      <c r="X240" s="151">
        <v>0</v>
      </c>
      <c r="Y240" s="136">
        <f>ROUND(0.875,2)</f>
        <v>0.88</v>
      </c>
      <c r="Z240" s="152">
        <f t="shared" si="156"/>
        <v>218.8</v>
      </c>
      <c r="AA240" s="152">
        <v>0</v>
      </c>
      <c r="AB240" s="152">
        <v>0</v>
      </c>
      <c r="AC240" s="157">
        <f>ROUND(218.75,1)</f>
        <v>218.8</v>
      </c>
      <c r="AD240" s="36"/>
      <c r="AE240" s="37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</row>
    <row r="241" spans="1:43" s="22" customFormat="1" ht="31.9" customHeight="1" outlineLevel="1" x14ac:dyDescent="0.2">
      <c r="A241" s="142" t="s">
        <v>593</v>
      </c>
      <c r="B241" s="127" t="s">
        <v>347</v>
      </c>
      <c r="C241" s="177">
        <f t="shared" si="152"/>
        <v>1.1200000000000001</v>
      </c>
      <c r="D241" s="28">
        <f t="shared" si="150"/>
        <v>280</v>
      </c>
      <c r="E241" s="17">
        <v>0</v>
      </c>
      <c r="F241" s="237">
        <f t="shared" si="153"/>
        <v>0</v>
      </c>
      <c r="G241" s="152">
        <v>0</v>
      </c>
      <c r="H241" s="152">
        <v>0</v>
      </c>
      <c r="I241" s="152">
        <v>0</v>
      </c>
      <c r="J241" s="17">
        <v>0</v>
      </c>
      <c r="K241" s="237">
        <f t="shared" si="151"/>
        <v>0</v>
      </c>
      <c r="L241" s="152">
        <v>0</v>
      </c>
      <c r="M241" s="152">
        <v>0</v>
      </c>
      <c r="N241" s="152">
        <v>0</v>
      </c>
      <c r="O241" s="136">
        <v>0</v>
      </c>
      <c r="P241" s="28">
        <f t="shared" si="154"/>
        <v>0</v>
      </c>
      <c r="Q241" s="28">
        <v>0</v>
      </c>
      <c r="R241" s="28">
        <v>0</v>
      </c>
      <c r="S241" s="151">
        <v>0</v>
      </c>
      <c r="T241" s="136">
        <v>0</v>
      </c>
      <c r="U241" s="28">
        <f t="shared" si="155"/>
        <v>0</v>
      </c>
      <c r="V241" s="28">
        <v>0</v>
      </c>
      <c r="W241" s="28">
        <v>0</v>
      </c>
      <c r="X241" s="151">
        <v>0</v>
      </c>
      <c r="Y241" s="136">
        <v>1.1200000000000001</v>
      </c>
      <c r="Z241" s="152">
        <f t="shared" si="156"/>
        <v>280</v>
      </c>
      <c r="AA241" s="152">
        <v>0</v>
      </c>
      <c r="AB241" s="152">
        <v>0</v>
      </c>
      <c r="AC241" s="157">
        <v>280</v>
      </c>
      <c r="AD241" s="36"/>
      <c r="AE241" s="37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</row>
    <row r="242" spans="1:43" s="22" customFormat="1" ht="33" customHeight="1" outlineLevel="1" x14ac:dyDescent="0.2">
      <c r="A242" s="142" t="s">
        <v>594</v>
      </c>
      <c r="B242" s="127" t="s">
        <v>348</v>
      </c>
      <c r="C242" s="177">
        <f t="shared" si="152"/>
        <v>1.03</v>
      </c>
      <c r="D242" s="28">
        <f t="shared" si="150"/>
        <v>257.5</v>
      </c>
      <c r="E242" s="17">
        <v>0</v>
      </c>
      <c r="F242" s="237">
        <f t="shared" si="153"/>
        <v>0</v>
      </c>
      <c r="G242" s="152">
        <v>0</v>
      </c>
      <c r="H242" s="152">
        <v>0</v>
      </c>
      <c r="I242" s="152">
        <v>0</v>
      </c>
      <c r="J242" s="17">
        <v>0</v>
      </c>
      <c r="K242" s="237">
        <f t="shared" si="151"/>
        <v>0</v>
      </c>
      <c r="L242" s="152">
        <v>0</v>
      </c>
      <c r="M242" s="152">
        <v>0</v>
      </c>
      <c r="N242" s="152">
        <v>0</v>
      </c>
      <c r="O242" s="136">
        <v>0</v>
      </c>
      <c r="P242" s="28">
        <f t="shared" si="154"/>
        <v>0</v>
      </c>
      <c r="Q242" s="28">
        <v>0</v>
      </c>
      <c r="R242" s="28">
        <v>0</v>
      </c>
      <c r="S242" s="151">
        <v>0</v>
      </c>
      <c r="T242" s="136">
        <v>0</v>
      </c>
      <c r="U242" s="28">
        <f t="shared" si="155"/>
        <v>0</v>
      </c>
      <c r="V242" s="28">
        <v>0</v>
      </c>
      <c r="W242" s="28">
        <v>0</v>
      </c>
      <c r="X242" s="151">
        <v>0</v>
      </c>
      <c r="Y242" s="136">
        <v>1.03</v>
      </c>
      <c r="Z242" s="152">
        <f t="shared" si="156"/>
        <v>257.5</v>
      </c>
      <c r="AA242" s="152">
        <v>0</v>
      </c>
      <c r="AB242" s="152">
        <v>0</v>
      </c>
      <c r="AC242" s="157">
        <v>257.5</v>
      </c>
      <c r="AD242" s="36"/>
      <c r="AE242" s="37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</row>
    <row r="243" spans="1:43" s="22" customFormat="1" ht="31.15" customHeight="1" outlineLevel="1" x14ac:dyDescent="0.2">
      <c r="A243" s="142" t="s">
        <v>595</v>
      </c>
      <c r="B243" s="127" t="s">
        <v>349</v>
      </c>
      <c r="C243" s="177">
        <f t="shared" si="152"/>
        <v>1.9100000000000001</v>
      </c>
      <c r="D243" s="28">
        <f t="shared" si="150"/>
        <v>477.50000000000006</v>
      </c>
      <c r="E243" s="17">
        <v>0</v>
      </c>
      <c r="F243" s="237">
        <f t="shared" si="153"/>
        <v>0</v>
      </c>
      <c r="G243" s="152">
        <v>0</v>
      </c>
      <c r="H243" s="152">
        <v>0</v>
      </c>
      <c r="I243" s="152">
        <v>0</v>
      </c>
      <c r="J243" s="17">
        <v>0</v>
      </c>
      <c r="K243" s="237">
        <f t="shared" si="151"/>
        <v>0</v>
      </c>
      <c r="L243" s="152">
        <v>0</v>
      </c>
      <c r="M243" s="152">
        <v>0</v>
      </c>
      <c r="N243" s="152">
        <v>0</v>
      </c>
      <c r="O243" s="136">
        <v>0</v>
      </c>
      <c r="P243" s="28">
        <f t="shared" si="154"/>
        <v>0</v>
      </c>
      <c r="Q243" s="28">
        <v>0</v>
      </c>
      <c r="R243" s="28">
        <v>0</v>
      </c>
      <c r="S243" s="151">
        <v>0</v>
      </c>
      <c r="T243" s="136">
        <v>0</v>
      </c>
      <c r="U243" s="28">
        <f t="shared" si="155"/>
        <v>0</v>
      </c>
      <c r="V243" s="28">
        <v>0</v>
      </c>
      <c r="W243" s="28">
        <v>0</v>
      </c>
      <c r="X243" s="151">
        <v>0</v>
      </c>
      <c r="Y243" s="136">
        <v>1.9100000000000001</v>
      </c>
      <c r="Z243" s="152">
        <f t="shared" si="156"/>
        <v>477.50000000000006</v>
      </c>
      <c r="AA243" s="152">
        <v>0</v>
      </c>
      <c r="AB243" s="152">
        <v>0</v>
      </c>
      <c r="AC243" s="157">
        <v>477.50000000000006</v>
      </c>
      <c r="AD243" s="36"/>
      <c r="AE243" s="37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</row>
    <row r="244" spans="1:43" s="22" customFormat="1" ht="31.15" customHeight="1" outlineLevel="1" x14ac:dyDescent="0.2">
      <c r="A244" s="142" t="s">
        <v>596</v>
      </c>
      <c r="B244" s="127" t="s">
        <v>350</v>
      </c>
      <c r="C244" s="177">
        <f t="shared" si="152"/>
        <v>0.99</v>
      </c>
      <c r="D244" s="28">
        <f t="shared" si="150"/>
        <v>246.3</v>
      </c>
      <c r="E244" s="17">
        <v>0</v>
      </c>
      <c r="F244" s="237">
        <f t="shared" si="153"/>
        <v>0</v>
      </c>
      <c r="G244" s="152">
        <v>0</v>
      </c>
      <c r="H244" s="152">
        <v>0</v>
      </c>
      <c r="I244" s="152">
        <v>0</v>
      </c>
      <c r="J244" s="17">
        <v>0</v>
      </c>
      <c r="K244" s="237">
        <f t="shared" si="151"/>
        <v>0</v>
      </c>
      <c r="L244" s="152">
        <v>0</v>
      </c>
      <c r="M244" s="152">
        <v>0</v>
      </c>
      <c r="N244" s="152">
        <v>0</v>
      </c>
      <c r="O244" s="136">
        <v>0</v>
      </c>
      <c r="P244" s="28">
        <f t="shared" si="154"/>
        <v>0</v>
      </c>
      <c r="Q244" s="28">
        <v>0</v>
      </c>
      <c r="R244" s="28">
        <v>0</v>
      </c>
      <c r="S244" s="151">
        <v>0</v>
      </c>
      <c r="T244" s="136">
        <v>0</v>
      </c>
      <c r="U244" s="28">
        <f t="shared" si="155"/>
        <v>0</v>
      </c>
      <c r="V244" s="28">
        <v>0</v>
      </c>
      <c r="W244" s="28">
        <v>0</v>
      </c>
      <c r="X244" s="151">
        <v>0</v>
      </c>
      <c r="Y244" s="136">
        <f>ROUND(0.985,2)</f>
        <v>0.99</v>
      </c>
      <c r="Z244" s="152">
        <f t="shared" si="156"/>
        <v>246.3</v>
      </c>
      <c r="AA244" s="152">
        <v>0</v>
      </c>
      <c r="AB244" s="152">
        <v>0</v>
      </c>
      <c r="AC244" s="157">
        <f>ROUND(246.25,1)</f>
        <v>246.3</v>
      </c>
      <c r="AD244" s="36"/>
      <c r="AE244" s="37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</row>
    <row r="245" spans="1:43" s="22" customFormat="1" ht="30" customHeight="1" outlineLevel="1" x14ac:dyDescent="0.2">
      <c r="A245" s="142" t="s">
        <v>597</v>
      </c>
      <c r="B245" s="127" t="s">
        <v>351</v>
      </c>
      <c r="C245" s="177">
        <f t="shared" si="152"/>
        <v>0.83</v>
      </c>
      <c r="D245" s="28">
        <f t="shared" si="150"/>
        <v>206.3</v>
      </c>
      <c r="E245" s="17">
        <v>0</v>
      </c>
      <c r="F245" s="237">
        <f t="shared" si="153"/>
        <v>0</v>
      </c>
      <c r="G245" s="152">
        <v>0</v>
      </c>
      <c r="H245" s="152">
        <v>0</v>
      </c>
      <c r="I245" s="152">
        <v>0</v>
      </c>
      <c r="J245" s="17">
        <v>0</v>
      </c>
      <c r="K245" s="237">
        <f t="shared" si="151"/>
        <v>0</v>
      </c>
      <c r="L245" s="152">
        <v>0</v>
      </c>
      <c r="M245" s="152">
        <v>0</v>
      </c>
      <c r="N245" s="152">
        <v>0</v>
      </c>
      <c r="O245" s="136">
        <v>0</v>
      </c>
      <c r="P245" s="28">
        <f t="shared" si="154"/>
        <v>0</v>
      </c>
      <c r="Q245" s="28">
        <v>0</v>
      </c>
      <c r="R245" s="28">
        <v>0</v>
      </c>
      <c r="S245" s="151">
        <v>0</v>
      </c>
      <c r="T245" s="136">
        <v>0</v>
      </c>
      <c r="U245" s="28">
        <f t="shared" si="155"/>
        <v>0</v>
      </c>
      <c r="V245" s="28">
        <v>0</v>
      </c>
      <c r="W245" s="28">
        <v>0</v>
      </c>
      <c r="X245" s="151">
        <v>0</v>
      </c>
      <c r="Y245" s="136">
        <f>ROUND(0.825,2)</f>
        <v>0.83</v>
      </c>
      <c r="Z245" s="152">
        <f t="shared" si="156"/>
        <v>206.3</v>
      </c>
      <c r="AA245" s="152">
        <v>0</v>
      </c>
      <c r="AB245" s="152">
        <v>0</v>
      </c>
      <c r="AC245" s="157">
        <f>ROUND(206.25,1)</f>
        <v>206.3</v>
      </c>
      <c r="AD245" s="36"/>
      <c r="AE245" s="37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</row>
    <row r="246" spans="1:43" s="22" customFormat="1" ht="22.15" customHeight="1" outlineLevel="1" x14ac:dyDescent="0.2">
      <c r="A246" s="142" t="s">
        <v>598</v>
      </c>
      <c r="B246" s="127" t="s">
        <v>352</v>
      </c>
      <c r="C246" s="177">
        <f t="shared" si="152"/>
        <v>0.85000000000000009</v>
      </c>
      <c r="D246" s="28">
        <f t="shared" si="150"/>
        <v>212.50000000000003</v>
      </c>
      <c r="E246" s="17">
        <v>0</v>
      </c>
      <c r="F246" s="237">
        <f t="shared" si="153"/>
        <v>0</v>
      </c>
      <c r="G246" s="152">
        <v>0</v>
      </c>
      <c r="H246" s="152">
        <v>0</v>
      </c>
      <c r="I246" s="152">
        <v>0</v>
      </c>
      <c r="J246" s="17">
        <v>0</v>
      </c>
      <c r="K246" s="237">
        <f t="shared" si="151"/>
        <v>0</v>
      </c>
      <c r="L246" s="152">
        <v>0</v>
      </c>
      <c r="M246" s="152">
        <v>0</v>
      </c>
      <c r="N246" s="152">
        <v>0</v>
      </c>
      <c r="O246" s="136">
        <v>0</v>
      </c>
      <c r="P246" s="28">
        <f t="shared" si="154"/>
        <v>0</v>
      </c>
      <c r="Q246" s="28">
        <v>0</v>
      </c>
      <c r="R246" s="28">
        <v>0</v>
      </c>
      <c r="S246" s="151">
        <v>0</v>
      </c>
      <c r="T246" s="136">
        <v>0</v>
      </c>
      <c r="U246" s="28">
        <f t="shared" si="155"/>
        <v>0</v>
      </c>
      <c r="V246" s="28">
        <v>0</v>
      </c>
      <c r="W246" s="28">
        <v>0</v>
      </c>
      <c r="X246" s="151">
        <v>0</v>
      </c>
      <c r="Y246" s="136">
        <v>0.85000000000000009</v>
      </c>
      <c r="Z246" s="152">
        <f t="shared" si="156"/>
        <v>212.50000000000003</v>
      </c>
      <c r="AA246" s="152">
        <v>0</v>
      </c>
      <c r="AB246" s="152">
        <v>0</v>
      </c>
      <c r="AC246" s="157">
        <v>212.50000000000003</v>
      </c>
      <c r="AD246" s="36"/>
      <c r="AE246" s="37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</row>
    <row r="247" spans="1:43" s="22" customFormat="1" ht="26.45" customHeight="1" outlineLevel="1" x14ac:dyDescent="0.2">
      <c r="A247" s="142" t="s">
        <v>599</v>
      </c>
      <c r="B247" s="127" t="s">
        <v>353</v>
      </c>
      <c r="C247" s="177">
        <f t="shared" si="152"/>
        <v>1.47</v>
      </c>
      <c r="D247" s="28">
        <f t="shared" si="150"/>
        <v>367.5</v>
      </c>
      <c r="E247" s="17">
        <v>0</v>
      </c>
      <c r="F247" s="237">
        <f t="shared" si="153"/>
        <v>0</v>
      </c>
      <c r="G247" s="152">
        <v>0</v>
      </c>
      <c r="H247" s="152">
        <v>0</v>
      </c>
      <c r="I247" s="152">
        <v>0</v>
      </c>
      <c r="J247" s="17">
        <v>0</v>
      </c>
      <c r="K247" s="237">
        <f t="shared" si="151"/>
        <v>0</v>
      </c>
      <c r="L247" s="152">
        <v>0</v>
      </c>
      <c r="M247" s="152">
        <v>0</v>
      </c>
      <c r="N247" s="152">
        <v>0</v>
      </c>
      <c r="O247" s="136">
        <v>0</v>
      </c>
      <c r="P247" s="28">
        <f t="shared" si="154"/>
        <v>0</v>
      </c>
      <c r="Q247" s="28">
        <v>0</v>
      </c>
      <c r="R247" s="28">
        <v>0</v>
      </c>
      <c r="S247" s="151">
        <v>0</v>
      </c>
      <c r="T247" s="136">
        <v>0</v>
      </c>
      <c r="U247" s="28">
        <f t="shared" si="155"/>
        <v>0</v>
      </c>
      <c r="V247" s="28">
        <v>0</v>
      </c>
      <c r="W247" s="28">
        <v>0</v>
      </c>
      <c r="X247" s="151">
        <v>0</v>
      </c>
      <c r="Y247" s="136">
        <v>1.47</v>
      </c>
      <c r="Z247" s="152">
        <f t="shared" si="156"/>
        <v>367.5</v>
      </c>
      <c r="AA247" s="152">
        <v>0</v>
      </c>
      <c r="AB247" s="152">
        <v>0</v>
      </c>
      <c r="AC247" s="157">
        <v>367.5</v>
      </c>
      <c r="AD247" s="36"/>
      <c r="AE247" s="37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</row>
    <row r="248" spans="1:43" s="22" customFormat="1" ht="25.9" customHeight="1" outlineLevel="1" x14ac:dyDescent="0.2">
      <c r="A248" s="142" t="s">
        <v>600</v>
      </c>
      <c r="B248" s="127" t="s">
        <v>354</v>
      </c>
      <c r="C248" s="177">
        <f t="shared" si="152"/>
        <v>1.82</v>
      </c>
      <c r="D248" s="28">
        <f t="shared" si="150"/>
        <v>453.8</v>
      </c>
      <c r="E248" s="17">
        <v>0</v>
      </c>
      <c r="F248" s="237">
        <f t="shared" si="153"/>
        <v>0</v>
      </c>
      <c r="G248" s="152">
        <v>0</v>
      </c>
      <c r="H248" s="152">
        <v>0</v>
      </c>
      <c r="I248" s="152">
        <v>0</v>
      </c>
      <c r="J248" s="17">
        <v>0</v>
      </c>
      <c r="K248" s="237">
        <f t="shared" si="151"/>
        <v>0</v>
      </c>
      <c r="L248" s="152">
        <v>0</v>
      </c>
      <c r="M248" s="152">
        <v>0</v>
      </c>
      <c r="N248" s="152">
        <v>0</v>
      </c>
      <c r="O248" s="136">
        <v>0</v>
      </c>
      <c r="P248" s="28">
        <f t="shared" si="154"/>
        <v>0</v>
      </c>
      <c r="Q248" s="28">
        <v>0</v>
      </c>
      <c r="R248" s="28">
        <v>0</v>
      </c>
      <c r="S248" s="151">
        <v>0</v>
      </c>
      <c r="T248" s="136">
        <v>0</v>
      </c>
      <c r="U248" s="28">
        <f t="shared" si="155"/>
        <v>0</v>
      </c>
      <c r="V248" s="28">
        <v>0</v>
      </c>
      <c r="W248" s="28">
        <v>0</v>
      </c>
      <c r="X248" s="151">
        <v>0</v>
      </c>
      <c r="Y248" s="136">
        <f>ROUND(1.815,2)</f>
        <v>1.82</v>
      </c>
      <c r="Z248" s="152">
        <f t="shared" si="156"/>
        <v>453.8</v>
      </c>
      <c r="AA248" s="152">
        <v>0</v>
      </c>
      <c r="AB248" s="152">
        <v>0</v>
      </c>
      <c r="AC248" s="157">
        <f>ROUND(453.75,1)</f>
        <v>453.8</v>
      </c>
      <c r="AD248" s="36"/>
      <c r="AE248" s="37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</row>
    <row r="249" spans="1:43" s="22" customFormat="1" ht="24" customHeight="1" outlineLevel="1" x14ac:dyDescent="0.2">
      <c r="A249" s="142" t="s">
        <v>601</v>
      </c>
      <c r="B249" s="127" t="s">
        <v>355</v>
      </c>
      <c r="C249" s="177">
        <f t="shared" si="152"/>
        <v>1</v>
      </c>
      <c r="D249" s="28">
        <f t="shared" si="150"/>
        <v>250</v>
      </c>
      <c r="E249" s="17">
        <v>0</v>
      </c>
      <c r="F249" s="237">
        <f t="shared" si="153"/>
        <v>0</v>
      </c>
      <c r="G249" s="152">
        <v>0</v>
      </c>
      <c r="H249" s="152">
        <v>0</v>
      </c>
      <c r="I249" s="152">
        <v>0</v>
      </c>
      <c r="J249" s="17">
        <v>0</v>
      </c>
      <c r="K249" s="237">
        <f t="shared" si="151"/>
        <v>0</v>
      </c>
      <c r="L249" s="152">
        <v>0</v>
      </c>
      <c r="M249" s="152">
        <v>0</v>
      </c>
      <c r="N249" s="152">
        <v>0</v>
      </c>
      <c r="O249" s="136">
        <v>0</v>
      </c>
      <c r="P249" s="28">
        <f t="shared" si="154"/>
        <v>0</v>
      </c>
      <c r="Q249" s="28">
        <v>0</v>
      </c>
      <c r="R249" s="28">
        <v>0</v>
      </c>
      <c r="S249" s="151">
        <v>0</v>
      </c>
      <c r="T249" s="136">
        <v>0</v>
      </c>
      <c r="U249" s="28">
        <f t="shared" si="155"/>
        <v>0</v>
      </c>
      <c r="V249" s="28">
        <v>0</v>
      </c>
      <c r="W249" s="28">
        <v>0</v>
      </c>
      <c r="X249" s="151">
        <v>0</v>
      </c>
      <c r="Y249" s="136">
        <v>1</v>
      </c>
      <c r="Z249" s="152">
        <f t="shared" si="156"/>
        <v>250</v>
      </c>
      <c r="AA249" s="152">
        <v>0</v>
      </c>
      <c r="AB249" s="152">
        <v>0</v>
      </c>
      <c r="AC249" s="157">
        <v>250</v>
      </c>
      <c r="AD249" s="36"/>
      <c r="AE249" s="37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</row>
    <row r="250" spans="1:43" s="22" customFormat="1" ht="25.9" customHeight="1" outlineLevel="1" x14ac:dyDescent="0.2">
      <c r="A250" s="142" t="s">
        <v>602</v>
      </c>
      <c r="B250" s="127" t="s">
        <v>356</v>
      </c>
      <c r="C250" s="177">
        <f t="shared" si="152"/>
        <v>3.1</v>
      </c>
      <c r="D250" s="28">
        <f t="shared" si="150"/>
        <v>773.8</v>
      </c>
      <c r="E250" s="17">
        <v>0</v>
      </c>
      <c r="F250" s="237">
        <f t="shared" si="153"/>
        <v>0</v>
      </c>
      <c r="G250" s="152">
        <v>0</v>
      </c>
      <c r="H250" s="152">
        <v>0</v>
      </c>
      <c r="I250" s="152">
        <v>0</v>
      </c>
      <c r="J250" s="17">
        <v>0</v>
      </c>
      <c r="K250" s="237">
        <f t="shared" si="151"/>
        <v>0</v>
      </c>
      <c r="L250" s="152">
        <v>0</v>
      </c>
      <c r="M250" s="152">
        <v>0</v>
      </c>
      <c r="N250" s="152">
        <v>0</v>
      </c>
      <c r="O250" s="136">
        <v>0</v>
      </c>
      <c r="P250" s="28">
        <f t="shared" si="154"/>
        <v>0</v>
      </c>
      <c r="Q250" s="28">
        <v>0</v>
      </c>
      <c r="R250" s="28">
        <v>0</v>
      </c>
      <c r="S250" s="151">
        <v>0</v>
      </c>
      <c r="T250" s="136">
        <v>0</v>
      </c>
      <c r="U250" s="28">
        <f t="shared" si="155"/>
        <v>0</v>
      </c>
      <c r="V250" s="28">
        <v>0</v>
      </c>
      <c r="W250" s="28">
        <v>0</v>
      </c>
      <c r="X250" s="151">
        <v>0</v>
      </c>
      <c r="Y250" s="136">
        <f>ROUND(3.095,2)</f>
        <v>3.1</v>
      </c>
      <c r="Z250" s="152">
        <f t="shared" si="156"/>
        <v>773.8</v>
      </c>
      <c r="AA250" s="152">
        <v>0</v>
      </c>
      <c r="AB250" s="152">
        <v>0</v>
      </c>
      <c r="AC250" s="157">
        <f>ROUND(773.75,1)</f>
        <v>773.8</v>
      </c>
      <c r="AD250" s="36"/>
      <c r="AE250" s="37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</row>
    <row r="251" spans="1:43" s="22" customFormat="1" ht="28.15" customHeight="1" outlineLevel="1" x14ac:dyDescent="0.2">
      <c r="A251" s="142" t="s">
        <v>603</v>
      </c>
      <c r="B251" s="127" t="s">
        <v>357</v>
      </c>
      <c r="C251" s="177">
        <f t="shared" si="152"/>
        <v>2.16</v>
      </c>
      <c r="D251" s="28">
        <f t="shared" si="150"/>
        <v>540</v>
      </c>
      <c r="E251" s="17">
        <v>0</v>
      </c>
      <c r="F251" s="237">
        <f t="shared" si="153"/>
        <v>0</v>
      </c>
      <c r="G251" s="152">
        <v>0</v>
      </c>
      <c r="H251" s="152">
        <v>0</v>
      </c>
      <c r="I251" s="152">
        <v>0</v>
      </c>
      <c r="J251" s="17">
        <v>0</v>
      </c>
      <c r="K251" s="237">
        <f t="shared" si="151"/>
        <v>0</v>
      </c>
      <c r="L251" s="152">
        <v>0</v>
      </c>
      <c r="M251" s="152">
        <v>0</v>
      </c>
      <c r="N251" s="152">
        <v>0</v>
      </c>
      <c r="O251" s="136">
        <v>0</v>
      </c>
      <c r="P251" s="28">
        <f t="shared" si="154"/>
        <v>0</v>
      </c>
      <c r="Q251" s="28">
        <v>0</v>
      </c>
      <c r="R251" s="28">
        <v>0</v>
      </c>
      <c r="S251" s="151">
        <v>0</v>
      </c>
      <c r="T251" s="136">
        <v>0</v>
      </c>
      <c r="U251" s="28">
        <f t="shared" si="155"/>
        <v>0</v>
      </c>
      <c r="V251" s="28">
        <v>0</v>
      </c>
      <c r="W251" s="28">
        <v>0</v>
      </c>
      <c r="X251" s="151">
        <v>0</v>
      </c>
      <c r="Y251" s="136">
        <v>2.16</v>
      </c>
      <c r="Z251" s="152">
        <f t="shared" si="156"/>
        <v>540</v>
      </c>
      <c r="AA251" s="152">
        <v>0</v>
      </c>
      <c r="AB251" s="152">
        <v>0</v>
      </c>
      <c r="AC251" s="157">
        <v>540</v>
      </c>
      <c r="AD251" s="36"/>
      <c r="AE251" s="37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</row>
    <row r="252" spans="1:43" s="22" customFormat="1" ht="31.9" customHeight="1" outlineLevel="1" x14ac:dyDescent="0.2">
      <c r="A252" s="142" t="s">
        <v>604</v>
      </c>
      <c r="B252" s="127" t="s">
        <v>358</v>
      </c>
      <c r="C252" s="177">
        <f t="shared" si="152"/>
        <v>1.9</v>
      </c>
      <c r="D252" s="28">
        <f t="shared" si="150"/>
        <v>475</v>
      </c>
      <c r="E252" s="17">
        <v>0</v>
      </c>
      <c r="F252" s="237">
        <f t="shared" si="153"/>
        <v>0</v>
      </c>
      <c r="G252" s="152">
        <v>0</v>
      </c>
      <c r="H252" s="152">
        <v>0</v>
      </c>
      <c r="I252" s="152">
        <v>0</v>
      </c>
      <c r="J252" s="17">
        <v>0</v>
      </c>
      <c r="K252" s="237">
        <f t="shared" si="151"/>
        <v>0</v>
      </c>
      <c r="L252" s="152">
        <v>0</v>
      </c>
      <c r="M252" s="152">
        <v>0</v>
      </c>
      <c r="N252" s="152">
        <v>0</v>
      </c>
      <c r="O252" s="136">
        <v>0</v>
      </c>
      <c r="P252" s="28">
        <f t="shared" si="154"/>
        <v>0</v>
      </c>
      <c r="Q252" s="28">
        <v>0</v>
      </c>
      <c r="R252" s="28">
        <v>0</v>
      </c>
      <c r="S252" s="151">
        <v>0</v>
      </c>
      <c r="T252" s="136">
        <v>0</v>
      </c>
      <c r="U252" s="28">
        <f t="shared" si="155"/>
        <v>0</v>
      </c>
      <c r="V252" s="28">
        <v>0</v>
      </c>
      <c r="W252" s="28">
        <v>0</v>
      </c>
      <c r="X252" s="151">
        <v>0</v>
      </c>
      <c r="Y252" s="136">
        <v>1.9</v>
      </c>
      <c r="Z252" s="152">
        <f t="shared" si="156"/>
        <v>475</v>
      </c>
      <c r="AA252" s="152">
        <v>0</v>
      </c>
      <c r="AB252" s="152">
        <v>0</v>
      </c>
      <c r="AC252" s="157">
        <v>475</v>
      </c>
      <c r="AD252" s="36"/>
      <c r="AE252" s="37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</row>
    <row r="253" spans="1:43" s="22" customFormat="1" ht="30" customHeight="1" outlineLevel="1" x14ac:dyDescent="0.2">
      <c r="A253" s="142" t="s">
        <v>605</v>
      </c>
      <c r="B253" s="127" t="s">
        <v>476</v>
      </c>
      <c r="C253" s="177">
        <f t="shared" si="152"/>
        <v>1.35</v>
      </c>
      <c r="D253" s="28">
        <f t="shared" si="150"/>
        <v>337.5</v>
      </c>
      <c r="E253" s="17">
        <v>0</v>
      </c>
      <c r="F253" s="237">
        <f t="shared" si="153"/>
        <v>0</v>
      </c>
      <c r="G253" s="152">
        <v>0</v>
      </c>
      <c r="H253" s="152">
        <v>0</v>
      </c>
      <c r="I253" s="152">
        <v>0</v>
      </c>
      <c r="J253" s="17">
        <v>0</v>
      </c>
      <c r="K253" s="237">
        <f t="shared" si="151"/>
        <v>0</v>
      </c>
      <c r="L253" s="152">
        <v>0</v>
      </c>
      <c r="M253" s="152">
        <v>0</v>
      </c>
      <c r="N253" s="152">
        <v>0</v>
      </c>
      <c r="O253" s="136">
        <v>0</v>
      </c>
      <c r="P253" s="28">
        <f t="shared" si="154"/>
        <v>0</v>
      </c>
      <c r="Q253" s="28">
        <v>0</v>
      </c>
      <c r="R253" s="28">
        <v>0</v>
      </c>
      <c r="S253" s="151">
        <v>0</v>
      </c>
      <c r="T253" s="136">
        <v>0</v>
      </c>
      <c r="U253" s="28">
        <f t="shared" si="155"/>
        <v>0</v>
      </c>
      <c r="V253" s="28">
        <v>0</v>
      </c>
      <c r="W253" s="28">
        <v>0</v>
      </c>
      <c r="X253" s="151">
        <v>0</v>
      </c>
      <c r="Y253" s="136">
        <v>1.35</v>
      </c>
      <c r="Z253" s="152">
        <f t="shared" si="156"/>
        <v>337.5</v>
      </c>
      <c r="AA253" s="152">
        <v>0</v>
      </c>
      <c r="AB253" s="152">
        <v>0</v>
      </c>
      <c r="AC253" s="157">
        <v>337.5</v>
      </c>
      <c r="AD253" s="36"/>
      <c r="AE253" s="37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</row>
    <row r="254" spans="1:43" s="22" customFormat="1" ht="33" customHeight="1" outlineLevel="1" x14ac:dyDescent="0.2">
      <c r="A254" s="142" t="s">
        <v>606</v>
      </c>
      <c r="B254" s="127" t="s">
        <v>359</v>
      </c>
      <c r="C254" s="177">
        <f t="shared" si="152"/>
        <v>1.48</v>
      </c>
      <c r="D254" s="28">
        <f t="shared" si="150"/>
        <v>368.8</v>
      </c>
      <c r="E254" s="17">
        <v>0</v>
      </c>
      <c r="F254" s="237">
        <f t="shared" si="153"/>
        <v>0</v>
      </c>
      <c r="G254" s="152">
        <v>0</v>
      </c>
      <c r="H254" s="152">
        <v>0</v>
      </c>
      <c r="I254" s="152">
        <v>0</v>
      </c>
      <c r="J254" s="17">
        <v>0</v>
      </c>
      <c r="K254" s="237">
        <f t="shared" si="151"/>
        <v>0</v>
      </c>
      <c r="L254" s="152">
        <v>0</v>
      </c>
      <c r="M254" s="152">
        <v>0</v>
      </c>
      <c r="N254" s="152">
        <v>0</v>
      </c>
      <c r="O254" s="136">
        <v>0</v>
      </c>
      <c r="P254" s="28">
        <f t="shared" si="154"/>
        <v>0</v>
      </c>
      <c r="Q254" s="28">
        <v>0</v>
      </c>
      <c r="R254" s="28">
        <v>0</v>
      </c>
      <c r="S254" s="151">
        <v>0</v>
      </c>
      <c r="T254" s="136">
        <v>0</v>
      </c>
      <c r="U254" s="28">
        <f t="shared" si="155"/>
        <v>0</v>
      </c>
      <c r="V254" s="28">
        <v>0</v>
      </c>
      <c r="W254" s="28">
        <v>0</v>
      </c>
      <c r="X254" s="151">
        <v>0</v>
      </c>
      <c r="Y254" s="136">
        <f>ROUND(1.475,2)</f>
        <v>1.48</v>
      </c>
      <c r="Z254" s="152">
        <f t="shared" si="156"/>
        <v>368.8</v>
      </c>
      <c r="AA254" s="152">
        <v>0</v>
      </c>
      <c r="AB254" s="152">
        <v>0</v>
      </c>
      <c r="AC254" s="157">
        <f>ROUND(368.75,1)</f>
        <v>368.8</v>
      </c>
      <c r="AD254" s="36"/>
      <c r="AE254" s="37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</row>
    <row r="255" spans="1:43" s="22" customFormat="1" ht="34.9" customHeight="1" outlineLevel="1" x14ac:dyDescent="0.2">
      <c r="A255" s="142" t="s">
        <v>607</v>
      </c>
      <c r="B255" s="127" t="s">
        <v>477</v>
      </c>
      <c r="C255" s="177">
        <f t="shared" si="152"/>
        <v>0.65</v>
      </c>
      <c r="D255" s="28">
        <f t="shared" si="150"/>
        <v>162.5</v>
      </c>
      <c r="E255" s="17">
        <v>0</v>
      </c>
      <c r="F255" s="237">
        <f t="shared" si="153"/>
        <v>0</v>
      </c>
      <c r="G255" s="152">
        <v>0</v>
      </c>
      <c r="H255" s="152">
        <v>0</v>
      </c>
      <c r="I255" s="152">
        <v>0</v>
      </c>
      <c r="J255" s="17">
        <v>0</v>
      </c>
      <c r="K255" s="237">
        <f t="shared" si="151"/>
        <v>0</v>
      </c>
      <c r="L255" s="152">
        <v>0</v>
      </c>
      <c r="M255" s="152">
        <v>0</v>
      </c>
      <c r="N255" s="152">
        <v>0</v>
      </c>
      <c r="O255" s="136">
        <v>0</v>
      </c>
      <c r="P255" s="28">
        <f t="shared" si="154"/>
        <v>0</v>
      </c>
      <c r="Q255" s="28">
        <v>0</v>
      </c>
      <c r="R255" s="28">
        <v>0</v>
      </c>
      <c r="S255" s="151">
        <v>0</v>
      </c>
      <c r="T255" s="136">
        <v>0</v>
      </c>
      <c r="U255" s="28">
        <f t="shared" si="155"/>
        <v>0</v>
      </c>
      <c r="V255" s="28">
        <v>0</v>
      </c>
      <c r="W255" s="28">
        <v>0</v>
      </c>
      <c r="X255" s="151">
        <v>0</v>
      </c>
      <c r="Y255" s="136">
        <v>0.65</v>
      </c>
      <c r="Z255" s="152">
        <f t="shared" si="156"/>
        <v>162.5</v>
      </c>
      <c r="AA255" s="152">
        <v>0</v>
      </c>
      <c r="AB255" s="152">
        <v>0</v>
      </c>
      <c r="AC255" s="157">
        <v>162.5</v>
      </c>
      <c r="AD255" s="36"/>
      <c r="AE255" s="37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</row>
    <row r="256" spans="1:43" s="22" customFormat="1" ht="25.9" customHeight="1" outlineLevel="1" x14ac:dyDescent="0.2">
      <c r="A256" s="142" t="s">
        <v>608</v>
      </c>
      <c r="B256" s="127" t="s">
        <v>360</v>
      </c>
      <c r="C256" s="177">
        <f t="shared" si="152"/>
        <v>2.59</v>
      </c>
      <c r="D256" s="28">
        <f t="shared" si="150"/>
        <v>647.5</v>
      </c>
      <c r="E256" s="17">
        <v>0</v>
      </c>
      <c r="F256" s="237">
        <f t="shared" si="153"/>
        <v>0</v>
      </c>
      <c r="G256" s="152">
        <v>0</v>
      </c>
      <c r="H256" s="152">
        <v>0</v>
      </c>
      <c r="I256" s="152">
        <v>0</v>
      </c>
      <c r="J256" s="17">
        <v>0</v>
      </c>
      <c r="K256" s="237">
        <f t="shared" si="151"/>
        <v>0</v>
      </c>
      <c r="L256" s="152">
        <v>0</v>
      </c>
      <c r="M256" s="152">
        <v>0</v>
      </c>
      <c r="N256" s="152">
        <v>0</v>
      </c>
      <c r="O256" s="136">
        <v>0</v>
      </c>
      <c r="P256" s="28">
        <f t="shared" si="154"/>
        <v>0</v>
      </c>
      <c r="Q256" s="28">
        <v>0</v>
      </c>
      <c r="R256" s="28">
        <v>0</v>
      </c>
      <c r="S256" s="151">
        <v>0</v>
      </c>
      <c r="T256" s="136">
        <v>0</v>
      </c>
      <c r="U256" s="28">
        <f t="shared" si="155"/>
        <v>0</v>
      </c>
      <c r="V256" s="28">
        <v>0</v>
      </c>
      <c r="W256" s="28">
        <v>0</v>
      </c>
      <c r="X256" s="151">
        <v>0</v>
      </c>
      <c r="Y256" s="136">
        <v>2.59</v>
      </c>
      <c r="Z256" s="152">
        <f t="shared" si="156"/>
        <v>647.5</v>
      </c>
      <c r="AA256" s="152">
        <v>0</v>
      </c>
      <c r="AB256" s="152">
        <v>0</v>
      </c>
      <c r="AC256" s="157">
        <v>647.5</v>
      </c>
      <c r="AD256" s="36"/>
      <c r="AE256" s="37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</row>
    <row r="257" spans="1:43" s="22" customFormat="1" ht="24" customHeight="1" outlineLevel="1" x14ac:dyDescent="0.2">
      <c r="A257" s="142" t="s">
        <v>609</v>
      </c>
      <c r="B257" s="127" t="s">
        <v>361</v>
      </c>
      <c r="C257" s="177">
        <f t="shared" si="152"/>
        <v>1.8</v>
      </c>
      <c r="D257" s="28">
        <f t="shared" si="150"/>
        <v>448.8</v>
      </c>
      <c r="E257" s="17">
        <v>0</v>
      </c>
      <c r="F257" s="237">
        <f t="shared" si="153"/>
        <v>0</v>
      </c>
      <c r="G257" s="152">
        <v>0</v>
      </c>
      <c r="H257" s="152">
        <v>0</v>
      </c>
      <c r="I257" s="152">
        <v>0</v>
      </c>
      <c r="J257" s="17">
        <v>0</v>
      </c>
      <c r="K257" s="237">
        <f t="shared" si="151"/>
        <v>0</v>
      </c>
      <c r="L257" s="152">
        <v>0</v>
      </c>
      <c r="M257" s="152">
        <v>0</v>
      </c>
      <c r="N257" s="152">
        <v>0</v>
      </c>
      <c r="O257" s="136">
        <v>0</v>
      </c>
      <c r="P257" s="28">
        <f t="shared" si="154"/>
        <v>0</v>
      </c>
      <c r="Q257" s="28">
        <v>0</v>
      </c>
      <c r="R257" s="28">
        <v>0</v>
      </c>
      <c r="S257" s="151">
        <v>0</v>
      </c>
      <c r="T257" s="136">
        <v>0</v>
      </c>
      <c r="U257" s="28">
        <f t="shared" si="155"/>
        <v>0</v>
      </c>
      <c r="V257" s="28">
        <v>0</v>
      </c>
      <c r="W257" s="28">
        <v>0</v>
      </c>
      <c r="X257" s="151">
        <v>0</v>
      </c>
      <c r="Y257" s="136">
        <f>ROUND(1.795,2)</f>
        <v>1.8</v>
      </c>
      <c r="Z257" s="152">
        <f t="shared" si="156"/>
        <v>448.8</v>
      </c>
      <c r="AA257" s="152">
        <v>0</v>
      </c>
      <c r="AB257" s="152">
        <v>0</v>
      </c>
      <c r="AC257" s="157">
        <f>ROUND(448.75,1)</f>
        <v>448.8</v>
      </c>
      <c r="AD257" s="36"/>
      <c r="AE257" s="37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</row>
    <row r="258" spans="1:43" s="22" customFormat="1" ht="22.9" customHeight="1" outlineLevel="1" x14ac:dyDescent="0.2">
      <c r="A258" s="142" t="s">
        <v>610</v>
      </c>
      <c r="B258" s="127" t="s">
        <v>478</v>
      </c>
      <c r="C258" s="177">
        <f t="shared" si="152"/>
        <v>0.5</v>
      </c>
      <c r="D258" s="28">
        <f t="shared" si="150"/>
        <v>125</v>
      </c>
      <c r="E258" s="17">
        <v>0</v>
      </c>
      <c r="F258" s="237">
        <f t="shared" si="153"/>
        <v>0</v>
      </c>
      <c r="G258" s="152">
        <v>0</v>
      </c>
      <c r="H258" s="152">
        <v>0</v>
      </c>
      <c r="I258" s="152">
        <v>0</v>
      </c>
      <c r="J258" s="17">
        <v>0</v>
      </c>
      <c r="K258" s="237">
        <f t="shared" si="151"/>
        <v>0</v>
      </c>
      <c r="L258" s="152">
        <v>0</v>
      </c>
      <c r="M258" s="152">
        <v>0</v>
      </c>
      <c r="N258" s="152">
        <v>0</v>
      </c>
      <c r="O258" s="136">
        <v>0</v>
      </c>
      <c r="P258" s="28">
        <f t="shared" si="154"/>
        <v>0</v>
      </c>
      <c r="Q258" s="28">
        <v>0</v>
      </c>
      <c r="R258" s="28">
        <v>0</v>
      </c>
      <c r="S258" s="151">
        <v>0</v>
      </c>
      <c r="T258" s="136">
        <v>0</v>
      </c>
      <c r="U258" s="28">
        <f t="shared" si="155"/>
        <v>0</v>
      </c>
      <c r="V258" s="28">
        <v>0</v>
      </c>
      <c r="W258" s="28">
        <v>0</v>
      </c>
      <c r="X258" s="151">
        <v>0</v>
      </c>
      <c r="Y258" s="136">
        <v>0.5</v>
      </c>
      <c r="Z258" s="152">
        <f t="shared" si="156"/>
        <v>125</v>
      </c>
      <c r="AA258" s="152">
        <v>0</v>
      </c>
      <c r="AB258" s="152">
        <v>0</v>
      </c>
      <c r="AC258" s="157">
        <v>125</v>
      </c>
      <c r="AD258" s="36"/>
      <c r="AE258" s="37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</row>
    <row r="259" spans="1:43" s="22" customFormat="1" ht="32.450000000000003" customHeight="1" outlineLevel="1" x14ac:dyDescent="0.2">
      <c r="A259" s="142" t="s">
        <v>611</v>
      </c>
      <c r="B259" s="127" t="s">
        <v>362</v>
      </c>
      <c r="C259" s="177">
        <f t="shared" si="152"/>
        <v>0.57000000000000006</v>
      </c>
      <c r="D259" s="28">
        <f t="shared" si="150"/>
        <v>142.50000000000003</v>
      </c>
      <c r="E259" s="17">
        <v>0</v>
      </c>
      <c r="F259" s="237">
        <f t="shared" si="153"/>
        <v>0</v>
      </c>
      <c r="G259" s="152">
        <v>0</v>
      </c>
      <c r="H259" s="152">
        <v>0</v>
      </c>
      <c r="I259" s="152">
        <v>0</v>
      </c>
      <c r="J259" s="17">
        <v>0</v>
      </c>
      <c r="K259" s="237">
        <f t="shared" si="151"/>
        <v>0</v>
      </c>
      <c r="L259" s="152">
        <v>0</v>
      </c>
      <c r="M259" s="152">
        <v>0</v>
      </c>
      <c r="N259" s="152">
        <v>0</v>
      </c>
      <c r="O259" s="136">
        <v>0</v>
      </c>
      <c r="P259" s="28">
        <f t="shared" si="154"/>
        <v>0</v>
      </c>
      <c r="Q259" s="28">
        <v>0</v>
      </c>
      <c r="R259" s="28">
        <v>0</v>
      </c>
      <c r="S259" s="151">
        <v>0</v>
      </c>
      <c r="T259" s="136">
        <v>0</v>
      </c>
      <c r="U259" s="28">
        <f t="shared" si="155"/>
        <v>0</v>
      </c>
      <c r="V259" s="28">
        <v>0</v>
      </c>
      <c r="W259" s="28">
        <v>0</v>
      </c>
      <c r="X259" s="151">
        <v>0</v>
      </c>
      <c r="Y259" s="136">
        <v>0.57000000000000006</v>
      </c>
      <c r="Z259" s="152">
        <f t="shared" si="156"/>
        <v>142.50000000000003</v>
      </c>
      <c r="AA259" s="152">
        <v>0</v>
      </c>
      <c r="AB259" s="152">
        <v>0</v>
      </c>
      <c r="AC259" s="157">
        <v>142.50000000000003</v>
      </c>
      <c r="AD259" s="36"/>
      <c r="AE259" s="37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</row>
    <row r="260" spans="1:43" s="22" customFormat="1" ht="28.9" customHeight="1" outlineLevel="1" x14ac:dyDescent="0.2">
      <c r="A260" s="142" t="s">
        <v>612</v>
      </c>
      <c r="B260" s="127" t="s">
        <v>363</v>
      </c>
      <c r="C260" s="177">
        <f t="shared" si="152"/>
        <v>4.74</v>
      </c>
      <c r="D260" s="28">
        <f t="shared" si="150"/>
        <v>1183.8</v>
      </c>
      <c r="E260" s="17">
        <v>0</v>
      </c>
      <c r="F260" s="237">
        <f t="shared" si="153"/>
        <v>0</v>
      </c>
      <c r="G260" s="152">
        <v>0</v>
      </c>
      <c r="H260" s="152">
        <v>0</v>
      </c>
      <c r="I260" s="152">
        <v>0</v>
      </c>
      <c r="J260" s="17">
        <v>0</v>
      </c>
      <c r="K260" s="237">
        <f t="shared" si="151"/>
        <v>0</v>
      </c>
      <c r="L260" s="152">
        <v>0</v>
      </c>
      <c r="M260" s="152">
        <v>0</v>
      </c>
      <c r="N260" s="152">
        <v>0</v>
      </c>
      <c r="O260" s="136">
        <v>0</v>
      </c>
      <c r="P260" s="28">
        <f t="shared" si="154"/>
        <v>0</v>
      </c>
      <c r="Q260" s="28">
        <v>0</v>
      </c>
      <c r="R260" s="28">
        <v>0</v>
      </c>
      <c r="S260" s="151">
        <v>0</v>
      </c>
      <c r="T260" s="136">
        <v>0</v>
      </c>
      <c r="U260" s="28">
        <f t="shared" si="155"/>
        <v>0</v>
      </c>
      <c r="V260" s="28">
        <v>0</v>
      </c>
      <c r="W260" s="28">
        <v>0</v>
      </c>
      <c r="X260" s="151">
        <v>0</v>
      </c>
      <c r="Y260" s="136">
        <f>ROUND(4.735,2)</f>
        <v>4.74</v>
      </c>
      <c r="Z260" s="152">
        <f t="shared" si="156"/>
        <v>1183.8</v>
      </c>
      <c r="AA260" s="152">
        <v>0</v>
      </c>
      <c r="AB260" s="152">
        <v>0</v>
      </c>
      <c r="AC260" s="157">
        <f>ROUND(1183.75,1)</f>
        <v>1183.8</v>
      </c>
      <c r="AD260" s="36"/>
      <c r="AE260" s="37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</row>
    <row r="261" spans="1:43" s="22" customFormat="1" ht="28.9" customHeight="1" outlineLevel="1" x14ac:dyDescent="0.2">
      <c r="A261" s="142" t="s">
        <v>613</v>
      </c>
      <c r="B261" s="127" t="s">
        <v>364</v>
      </c>
      <c r="C261" s="177">
        <f t="shared" si="152"/>
        <v>0.79</v>
      </c>
      <c r="D261" s="28">
        <f t="shared" si="150"/>
        <v>196.3</v>
      </c>
      <c r="E261" s="17">
        <v>0</v>
      </c>
      <c r="F261" s="237">
        <f t="shared" si="153"/>
        <v>0</v>
      </c>
      <c r="G261" s="152">
        <v>0</v>
      </c>
      <c r="H261" s="152">
        <v>0</v>
      </c>
      <c r="I261" s="152">
        <v>0</v>
      </c>
      <c r="J261" s="17">
        <v>0</v>
      </c>
      <c r="K261" s="237">
        <f t="shared" si="151"/>
        <v>0</v>
      </c>
      <c r="L261" s="152">
        <v>0</v>
      </c>
      <c r="M261" s="152">
        <v>0</v>
      </c>
      <c r="N261" s="152">
        <v>0</v>
      </c>
      <c r="O261" s="136">
        <v>0</v>
      </c>
      <c r="P261" s="28">
        <f t="shared" si="154"/>
        <v>0</v>
      </c>
      <c r="Q261" s="28">
        <v>0</v>
      </c>
      <c r="R261" s="28">
        <v>0</v>
      </c>
      <c r="S261" s="151">
        <v>0</v>
      </c>
      <c r="T261" s="136">
        <v>0</v>
      </c>
      <c r="U261" s="28">
        <f t="shared" si="155"/>
        <v>0</v>
      </c>
      <c r="V261" s="28">
        <v>0</v>
      </c>
      <c r="W261" s="28">
        <v>0</v>
      </c>
      <c r="X261" s="151">
        <v>0</v>
      </c>
      <c r="Y261" s="136">
        <f>ROUND(0.785,2)</f>
        <v>0.79</v>
      </c>
      <c r="Z261" s="152">
        <f t="shared" si="156"/>
        <v>196.3</v>
      </c>
      <c r="AA261" s="152">
        <v>0</v>
      </c>
      <c r="AB261" s="152">
        <v>0</v>
      </c>
      <c r="AC261" s="157">
        <f>ROUND(196.25,1)</f>
        <v>196.3</v>
      </c>
      <c r="AD261" s="36"/>
      <c r="AE261" s="37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</row>
    <row r="262" spans="1:43" s="22" customFormat="1" ht="41.45" customHeight="1" outlineLevel="1" x14ac:dyDescent="0.2">
      <c r="A262" s="142" t="s">
        <v>614</v>
      </c>
      <c r="B262" s="127" t="s">
        <v>365</v>
      </c>
      <c r="C262" s="177">
        <f t="shared" si="152"/>
        <v>0.35000000000000003</v>
      </c>
      <c r="D262" s="28">
        <f t="shared" si="150"/>
        <v>87.500000000000014</v>
      </c>
      <c r="E262" s="17">
        <v>0</v>
      </c>
      <c r="F262" s="237">
        <f t="shared" si="153"/>
        <v>0</v>
      </c>
      <c r="G262" s="152">
        <v>0</v>
      </c>
      <c r="H262" s="152">
        <v>0</v>
      </c>
      <c r="I262" s="152">
        <v>0</v>
      </c>
      <c r="J262" s="17">
        <v>0</v>
      </c>
      <c r="K262" s="237">
        <f t="shared" si="151"/>
        <v>0</v>
      </c>
      <c r="L262" s="152">
        <v>0</v>
      </c>
      <c r="M262" s="152">
        <v>0</v>
      </c>
      <c r="N262" s="152">
        <v>0</v>
      </c>
      <c r="O262" s="136">
        <v>0</v>
      </c>
      <c r="P262" s="28">
        <f t="shared" si="154"/>
        <v>0</v>
      </c>
      <c r="Q262" s="28">
        <v>0</v>
      </c>
      <c r="R262" s="28">
        <v>0</v>
      </c>
      <c r="S262" s="151">
        <v>0</v>
      </c>
      <c r="T262" s="136">
        <v>0</v>
      </c>
      <c r="U262" s="28">
        <f t="shared" si="155"/>
        <v>0</v>
      </c>
      <c r="V262" s="28">
        <v>0</v>
      </c>
      <c r="W262" s="28">
        <v>0</v>
      </c>
      <c r="X262" s="151">
        <v>0</v>
      </c>
      <c r="Y262" s="136">
        <v>0.35000000000000003</v>
      </c>
      <c r="Z262" s="152">
        <f t="shared" si="156"/>
        <v>87.500000000000014</v>
      </c>
      <c r="AA262" s="152">
        <v>0</v>
      </c>
      <c r="AB262" s="152">
        <v>0</v>
      </c>
      <c r="AC262" s="157">
        <v>87.500000000000014</v>
      </c>
      <c r="AD262" s="36"/>
      <c r="AE262" s="37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</row>
    <row r="263" spans="1:43" s="22" customFormat="1" ht="21.6" customHeight="1" outlineLevel="1" x14ac:dyDescent="0.2">
      <c r="A263" s="142" t="s">
        <v>615</v>
      </c>
      <c r="B263" s="127" t="s">
        <v>366</v>
      </c>
      <c r="C263" s="177">
        <f t="shared" si="152"/>
        <v>0.35000000000000003</v>
      </c>
      <c r="D263" s="28">
        <f t="shared" si="150"/>
        <v>87.500000000000014</v>
      </c>
      <c r="E263" s="17">
        <v>0</v>
      </c>
      <c r="F263" s="237">
        <f t="shared" si="153"/>
        <v>0</v>
      </c>
      <c r="G263" s="152">
        <v>0</v>
      </c>
      <c r="H263" s="152">
        <v>0</v>
      </c>
      <c r="I263" s="152">
        <v>0</v>
      </c>
      <c r="J263" s="17">
        <v>0</v>
      </c>
      <c r="K263" s="237">
        <f t="shared" si="151"/>
        <v>0</v>
      </c>
      <c r="L263" s="152">
        <v>0</v>
      </c>
      <c r="M263" s="152">
        <v>0</v>
      </c>
      <c r="N263" s="152">
        <v>0</v>
      </c>
      <c r="O263" s="136">
        <v>0</v>
      </c>
      <c r="P263" s="28">
        <f t="shared" si="154"/>
        <v>0</v>
      </c>
      <c r="Q263" s="28">
        <v>0</v>
      </c>
      <c r="R263" s="28">
        <v>0</v>
      </c>
      <c r="S263" s="151">
        <v>0</v>
      </c>
      <c r="T263" s="136">
        <v>0</v>
      </c>
      <c r="U263" s="28">
        <f t="shared" si="155"/>
        <v>0</v>
      </c>
      <c r="V263" s="28">
        <v>0</v>
      </c>
      <c r="W263" s="28">
        <v>0</v>
      </c>
      <c r="X263" s="151">
        <v>0</v>
      </c>
      <c r="Y263" s="136">
        <v>0.35000000000000003</v>
      </c>
      <c r="Z263" s="152">
        <f t="shared" si="156"/>
        <v>87.500000000000014</v>
      </c>
      <c r="AA263" s="152">
        <v>0</v>
      </c>
      <c r="AB263" s="152">
        <v>0</v>
      </c>
      <c r="AC263" s="157">
        <v>87.500000000000014</v>
      </c>
      <c r="AD263" s="36"/>
      <c r="AE263" s="37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</row>
    <row r="264" spans="1:43" s="22" customFormat="1" ht="24" customHeight="1" outlineLevel="1" x14ac:dyDescent="0.2">
      <c r="A264" s="142" t="s">
        <v>616</v>
      </c>
      <c r="B264" s="127" t="s">
        <v>367</v>
      </c>
      <c r="C264" s="177">
        <f t="shared" si="152"/>
        <v>1.7799999999999998</v>
      </c>
      <c r="D264" s="28">
        <f t="shared" si="150"/>
        <v>444.99999999999994</v>
      </c>
      <c r="E264" s="17">
        <v>0</v>
      </c>
      <c r="F264" s="237">
        <f t="shared" si="153"/>
        <v>0</v>
      </c>
      <c r="G264" s="152">
        <v>0</v>
      </c>
      <c r="H264" s="152">
        <v>0</v>
      </c>
      <c r="I264" s="152">
        <v>0</v>
      </c>
      <c r="J264" s="17">
        <v>0</v>
      </c>
      <c r="K264" s="237">
        <f t="shared" si="151"/>
        <v>0</v>
      </c>
      <c r="L264" s="152">
        <v>0</v>
      </c>
      <c r="M264" s="152">
        <v>0</v>
      </c>
      <c r="N264" s="152">
        <v>0</v>
      </c>
      <c r="O264" s="136">
        <v>0</v>
      </c>
      <c r="P264" s="28">
        <f t="shared" si="154"/>
        <v>0</v>
      </c>
      <c r="Q264" s="28">
        <v>0</v>
      </c>
      <c r="R264" s="28">
        <v>0</v>
      </c>
      <c r="S264" s="151">
        <v>0</v>
      </c>
      <c r="T264" s="136">
        <v>0</v>
      </c>
      <c r="U264" s="28">
        <f t="shared" si="155"/>
        <v>0</v>
      </c>
      <c r="V264" s="28">
        <v>0</v>
      </c>
      <c r="W264" s="28">
        <v>0</v>
      </c>
      <c r="X264" s="151">
        <v>0</v>
      </c>
      <c r="Y264" s="136">
        <v>1.7799999999999998</v>
      </c>
      <c r="Z264" s="152">
        <f t="shared" si="156"/>
        <v>444.99999999999994</v>
      </c>
      <c r="AA264" s="152">
        <v>0</v>
      </c>
      <c r="AB264" s="152">
        <v>0</v>
      </c>
      <c r="AC264" s="157">
        <v>444.99999999999994</v>
      </c>
      <c r="AD264" s="36"/>
      <c r="AE264" s="37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</row>
    <row r="265" spans="1:43" s="22" customFormat="1" ht="46.9" customHeight="1" outlineLevel="1" x14ac:dyDescent="0.2">
      <c r="A265" s="142" t="s">
        <v>617</v>
      </c>
      <c r="B265" s="127" t="s">
        <v>368</v>
      </c>
      <c r="C265" s="177">
        <f t="shared" si="152"/>
        <v>0.35000000000000003</v>
      </c>
      <c r="D265" s="28">
        <f t="shared" si="150"/>
        <v>87.500000000000014</v>
      </c>
      <c r="E265" s="17">
        <v>0</v>
      </c>
      <c r="F265" s="237">
        <f t="shared" si="153"/>
        <v>0</v>
      </c>
      <c r="G265" s="152">
        <v>0</v>
      </c>
      <c r="H265" s="152">
        <v>0</v>
      </c>
      <c r="I265" s="152">
        <v>0</v>
      </c>
      <c r="J265" s="17">
        <v>0</v>
      </c>
      <c r="K265" s="237">
        <f t="shared" si="151"/>
        <v>0</v>
      </c>
      <c r="L265" s="152">
        <v>0</v>
      </c>
      <c r="M265" s="152">
        <v>0</v>
      </c>
      <c r="N265" s="152">
        <v>0</v>
      </c>
      <c r="O265" s="136">
        <v>0</v>
      </c>
      <c r="P265" s="28">
        <f t="shared" si="154"/>
        <v>0</v>
      </c>
      <c r="Q265" s="28">
        <v>0</v>
      </c>
      <c r="R265" s="28">
        <v>0</v>
      </c>
      <c r="S265" s="151">
        <v>0</v>
      </c>
      <c r="T265" s="136">
        <v>0</v>
      </c>
      <c r="U265" s="28">
        <f t="shared" si="155"/>
        <v>0</v>
      </c>
      <c r="V265" s="28">
        <v>0</v>
      </c>
      <c r="W265" s="28">
        <v>0</v>
      </c>
      <c r="X265" s="151">
        <v>0</v>
      </c>
      <c r="Y265" s="136">
        <v>0.35000000000000003</v>
      </c>
      <c r="Z265" s="152">
        <f t="shared" si="156"/>
        <v>87.500000000000014</v>
      </c>
      <c r="AA265" s="152">
        <v>0</v>
      </c>
      <c r="AB265" s="152">
        <v>0</v>
      </c>
      <c r="AC265" s="157">
        <v>87.500000000000014</v>
      </c>
      <c r="AD265" s="36"/>
      <c r="AE265" s="37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</row>
    <row r="266" spans="1:43" s="22" customFormat="1" ht="46.9" customHeight="1" outlineLevel="1" x14ac:dyDescent="0.2">
      <c r="A266" s="142" t="s">
        <v>618</v>
      </c>
      <c r="B266" s="127" t="s">
        <v>369</v>
      </c>
      <c r="C266" s="177">
        <f t="shared" si="152"/>
        <v>0.6</v>
      </c>
      <c r="D266" s="28">
        <f t="shared" si="150"/>
        <v>150</v>
      </c>
      <c r="E266" s="17">
        <v>0</v>
      </c>
      <c r="F266" s="237">
        <f t="shared" si="153"/>
        <v>0</v>
      </c>
      <c r="G266" s="152">
        <v>0</v>
      </c>
      <c r="H266" s="152">
        <v>0</v>
      </c>
      <c r="I266" s="152">
        <v>0</v>
      </c>
      <c r="J266" s="17">
        <v>0</v>
      </c>
      <c r="K266" s="237">
        <f t="shared" si="151"/>
        <v>0</v>
      </c>
      <c r="L266" s="152">
        <v>0</v>
      </c>
      <c r="M266" s="152">
        <v>0</v>
      </c>
      <c r="N266" s="152">
        <v>0</v>
      </c>
      <c r="O266" s="136">
        <v>0</v>
      </c>
      <c r="P266" s="28">
        <f t="shared" si="154"/>
        <v>0</v>
      </c>
      <c r="Q266" s="28">
        <v>0</v>
      </c>
      <c r="R266" s="28">
        <v>0</v>
      </c>
      <c r="S266" s="151">
        <v>0</v>
      </c>
      <c r="T266" s="136">
        <v>0</v>
      </c>
      <c r="U266" s="28">
        <f t="shared" si="155"/>
        <v>0</v>
      </c>
      <c r="V266" s="28">
        <v>0</v>
      </c>
      <c r="W266" s="28">
        <v>0</v>
      </c>
      <c r="X266" s="151">
        <v>0</v>
      </c>
      <c r="Y266" s="136">
        <v>0.6</v>
      </c>
      <c r="Z266" s="152">
        <f t="shared" si="156"/>
        <v>150</v>
      </c>
      <c r="AA266" s="152">
        <v>0</v>
      </c>
      <c r="AB266" s="152">
        <v>0</v>
      </c>
      <c r="AC266" s="157">
        <v>150</v>
      </c>
      <c r="AD266" s="36"/>
      <c r="AE266" s="37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</row>
    <row r="267" spans="1:43" s="22" customFormat="1" ht="46.9" customHeight="1" outlineLevel="1" x14ac:dyDescent="0.2">
      <c r="A267" s="142" t="s">
        <v>619</v>
      </c>
      <c r="B267" s="127" t="s">
        <v>370</v>
      </c>
      <c r="C267" s="177">
        <f t="shared" si="152"/>
        <v>1.43</v>
      </c>
      <c r="D267" s="28">
        <f t="shared" si="150"/>
        <v>356.3</v>
      </c>
      <c r="E267" s="17">
        <v>0</v>
      </c>
      <c r="F267" s="237">
        <f t="shared" si="153"/>
        <v>0</v>
      </c>
      <c r="G267" s="152">
        <v>0</v>
      </c>
      <c r="H267" s="152">
        <v>0</v>
      </c>
      <c r="I267" s="152">
        <v>0</v>
      </c>
      <c r="J267" s="17">
        <v>0</v>
      </c>
      <c r="K267" s="237">
        <f t="shared" si="151"/>
        <v>0</v>
      </c>
      <c r="L267" s="152">
        <v>0</v>
      </c>
      <c r="M267" s="152">
        <v>0</v>
      </c>
      <c r="N267" s="152">
        <v>0</v>
      </c>
      <c r="O267" s="136">
        <v>0</v>
      </c>
      <c r="P267" s="28">
        <f t="shared" si="154"/>
        <v>0</v>
      </c>
      <c r="Q267" s="28">
        <v>0</v>
      </c>
      <c r="R267" s="28">
        <v>0</v>
      </c>
      <c r="S267" s="151">
        <v>0</v>
      </c>
      <c r="T267" s="136">
        <v>0</v>
      </c>
      <c r="U267" s="28">
        <f t="shared" si="155"/>
        <v>0</v>
      </c>
      <c r="V267" s="28">
        <v>0</v>
      </c>
      <c r="W267" s="28">
        <v>0</v>
      </c>
      <c r="X267" s="151">
        <v>0</v>
      </c>
      <c r="Y267" s="136">
        <f>ROUND(1.425,2)</f>
        <v>1.43</v>
      </c>
      <c r="Z267" s="152">
        <f t="shared" si="156"/>
        <v>356.3</v>
      </c>
      <c r="AA267" s="152">
        <v>0</v>
      </c>
      <c r="AB267" s="152">
        <v>0</v>
      </c>
      <c r="AC267" s="157">
        <f>ROUND(356.25,1)</f>
        <v>356.3</v>
      </c>
      <c r="AD267" s="36"/>
      <c r="AE267" s="37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</row>
    <row r="268" spans="1:43" s="22" customFormat="1" ht="26.45" customHeight="1" outlineLevel="1" x14ac:dyDescent="0.2">
      <c r="A268" s="142" t="s">
        <v>620</v>
      </c>
      <c r="B268" s="127" t="s">
        <v>371</v>
      </c>
      <c r="C268" s="177">
        <f t="shared" si="152"/>
        <v>0.56000000000000005</v>
      </c>
      <c r="D268" s="28">
        <f t="shared" si="150"/>
        <v>138.80000000000001</v>
      </c>
      <c r="E268" s="17">
        <v>0</v>
      </c>
      <c r="F268" s="237">
        <f t="shared" si="153"/>
        <v>0</v>
      </c>
      <c r="G268" s="152">
        <v>0</v>
      </c>
      <c r="H268" s="152">
        <v>0</v>
      </c>
      <c r="I268" s="152">
        <v>0</v>
      </c>
      <c r="J268" s="17">
        <v>0</v>
      </c>
      <c r="K268" s="237">
        <f t="shared" si="151"/>
        <v>0</v>
      </c>
      <c r="L268" s="152">
        <v>0</v>
      </c>
      <c r="M268" s="152">
        <v>0</v>
      </c>
      <c r="N268" s="152">
        <v>0</v>
      </c>
      <c r="O268" s="136">
        <v>0</v>
      </c>
      <c r="P268" s="28">
        <f t="shared" si="154"/>
        <v>0</v>
      </c>
      <c r="Q268" s="28">
        <v>0</v>
      </c>
      <c r="R268" s="28">
        <v>0</v>
      </c>
      <c r="S268" s="151">
        <v>0</v>
      </c>
      <c r="T268" s="136">
        <v>0</v>
      </c>
      <c r="U268" s="28">
        <f t="shared" si="155"/>
        <v>0</v>
      </c>
      <c r="V268" s="28">
        <v>0</v>
      </c>
      <c r="W268" s="28">
        <v>0</v>
      </c>
      <c r="X268" s="151">
        <v>0</v>
      </c>
      <c r="Y268" s="136">
        <f>ROUND(0.555,2)</f>
        <v>0.56000000000000005</v>
      </c>
      <c r="Z268" s="152">
        <f t="shared" si="156"/>
        <v>138.80000000000001</v>
      </c>
      <c r="AA268" s="152">
        <v>0</v>
      </c>
      <c r="AB268" s="152">
        <v>0</v>
      </c>
      <c r="AC268" s="157">
        <f>ROUND(138.75,1)</f>
        <v>138.80000000000001</v>
      </c>
      <c r="AD268" s="36"/>
      <c r="AE268" s="37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</row>
    <row r="269" spans="1:43" s="22" customFormat="1" ht="24" customHeight="1" outlineLevel="1" x14ac:dyDescent="0.2">
      <c r="A269" s="142" t="s">
        <v>621</v>
      </c>
      <c r="B269" s="127" t="s">
        <v>488</v>
      </c>
      <c r="C269" s="177">
        <f t="shared" si="152"/>
        <v>1.5</v>
      </c>
      <c r="D269" s="28">
        <f t="shared" ref="D269:D332" si="157">F269+K269+P269+U269+Z269</f>
        <v>375</v>
      </c>
      <c r="E269" s="17">
        <v>0</v>
      </c>
      <c r="F269" s="237">
        <f t="shared" si="153"/>
        <v>0</v>
      </c>
      <c r="G269" s="152">
        <v>0</v>
      </c>
      <c r="H269" s="152">
        <v>0</v>
      </c>
      <c r="I269" s="152">
        <v>0</v>
      </c>
      <c r="J269" s="17">
        <v>0</v>
      </c>
      <c r="K269" s="237">
        <f t="shared" ref="K269:K332" si="158">SUM(L269:N269)</f>
        <v>0</v>
      </c>
      <c r="L269" s="152">
        <v>0</v>
      </c>
      <c r="M269" s="152">
        <v>0</v>
      </c>
      <c r="N269" s="152">
        <v>0</v>
      </c>
      <c r="O269" s="136">
        <v>0</v>
      </c>
      <c r="P269" s="28">
        <f t="shared" si="154"/>
        <v>0</v>
      </c>
      <c r="Q269" s="28">
        <v>0</v>
      </c>
      <c r="R269" s="28">
        <v>0</v>
      </c>
      <c r="S269" s="151">
        <v>0</v>
      </c>
      <c r="T269" s="136">
        <v>0</v>
      </c>
      <c r="U269" s="28">
        <f t="shared" si="155"/>
        <v>0</v>
      </c>
      <c r="V269" s="28">
        <v>0</v>
      </c>
      <c r="W269" s="28">
        <v>0</v>
      </c>
      <c r="X269" s="151">
        <v>0</v>
      </c>
      <c r="Y269" s="136">
        <v>1.5</v>
      </c>
      <c r="Z269" s="152">
        <f t="shared" si="156"/>
        <v>375</v>
      </c>
      <c r="AA269" s="152">
        <v>0</v>
      </c>
      <c r="AB269" s="152">
        <v>0</v>
      </c>
      <c r="AC269" s="157">
        <v>375</v>
      </c>
      <c r="AD269" s="36"/>
      <c r="AE269" s="37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</row>
    <row r="270" spans="1:43" s="22" customFormat="1" ht="23.45" customHeight="1" outlineLevel="1" x14ac:dyDescent="0.2">
      <c r="A270" s="142" t="s">
        <v>622</v>
      </c>
      <c r="B270" s="127" t="s">
        <v>372</v>
      </c>
      <c r="C270" s="177">
        <f t="shared" ref="C270:C297" si="159">E270+J270+O270+T270+Y270</f>
        <v>0.81</v>
      </c>
      <c r="D270" s="28">
        <f t="shared" si="157"/>
        <v>202.5</v>
      </c>
      <c r="E270" s="17">
        <v>0</v>
      </c>
      <c r="F270" s="237">
        <f t="shared" ref="F270:F333" si="160">G270+H270+I270</f>
        <v>0</v>
      </c>
      <c r="G270" s="152">
        <v>0</v>
      </c>
      <c r="H270" s="152">
        <v>0</v>
      </c>
      <c r="I270" s="152">
        <v>0</v>
      </c>
      <c r="J270" s="17">
        <v>0</v>
      </c>
      <c r="K270" s="237">
        <f t="shared" si="158"/>
        <v>0</v>
      </c>
      <c r="L270" s="152">
        <v>0</v>
      </c>
      <c r="M270" s="152">
        <v>0</v>
      </c>
      <c r="N270" s="152">
        <v>0</v>
      </c>
      <c r="O270" s="136">
        <v>0</v>
      </c>
      <c r="P270" s="28">
        <f t="shared" ref="P270:P333" si="161">Q270+R270+S270</f>
        <v>0</v>
      </c>
      <c r="Q270" s="28">
        <v>0</v>
      </c>
      <c r="R270" s="28">
        <v>0</v>
      </c>
      <c r="S270" s="151">
        <v>0</v>
      </c>
      <c r="T270" s="136">
        <v>0</v>
      </c>
      <c r="U270" s="28">
        <f t="shared" ref="U270:U333" si="162">V270+W270+X270</f>
        <v>0</v>
      </c>
      <c r="V270" s="28">
        <v>0</v>
      </c>
      <c r="W270" s="28">
        <v>0</v>
      </c>
      <c r="X270" s="151">
        <v>0</v>
      </c>
      <c r="Y270" s="136">
        <v>0.81</v>
      </c>
      <c r="Z270" s="152">
        <f t="shared" ref="Z270:Z333" si="163">AA270+AB270+AC270</f>
        <v>202.5</v>
      </c>
      <c r="AA270" s="152">
        <v>0</v>
      </c>
      <c r="AB270" s="152">
        <v>0</v>
      </c>
      <c r="AC270" s="157">
        <v>202.5</v>
      </c>
      <c r="AD270" s="36"/>
      <c r="AE270" s="37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</row>
    <row r="271" spans="1:43" s="22" customFormat="1" ht="27" customHeight="1" outlineLevel="1" x14ac:dyDescent="0.2">
      <c r="A271" s="143"/>
      <c r="B271" s="128" t="s">
        <v>492</v>
      </c>
      <c r="C271" s="133">
        <f>SUM(C272:C273)</f>
        <v>12.05</v>
      </c>
      <c r="D271" s="148">
        <f>SUM(D272:D273)</f>
        <v>3615</v>
      </c>
      <c r="E271" s="133">
        <f t="shared" ref="E271:O271" si="164">SUM(E272:E273)</f>
        <v>0</v>
      </c>
      <c r="F271" s="148">
        <f t="shared" si="164"/>
        <v>0</v>
      </c>
      <c r="G271" s="148">
        <f t="shared" si="164"/>
        <v>0</v>
      </c>
      <c r="H271" s="148">
        <f t="shared" si="164"/>
        <v>0</v>
      </c>
      <c r="I271" s="148">
        <f t="shared" si="164"/>
        <v>0</v>
      </c>
      <c r="J271" s="153">
        <f t="shared" si="164"/>
        <v>0</v>
      </c>
      <c r="K271" s="148">
        <f t="shared" si="158"/>
        <v>0</v>
      </c>
      <c r="L271" s="148">
        <f t="shared" si="164"/>
        <v>0</v>
      </c>
      <c r="M271" s="148">
        <f t="shared" si="164"/>
        <v>0</v>
      </c>
      <c r="N271" s="148">
        <f t="shared" si="164"/>
        <v>0</v>
      </c>
      <c r="O271" s="137">
        <f t="shared" si="164"/>
        <v>12.05</v>
      </c>
      <c r="P271" s="28">
        <f t="shared" si="161"/>
        <v>3615</v>
      </c>
      <c r="Q271" s="154">
        <f>SUM(Q272:Q273)</f>
        <v>0</v>
      </c>
      <c r="R271" s="154">
        <f t="shared" ref="R271" si="165">SUM(R272:R273)</f>
        <v>0</v>
      </c>
      <c r="S271" s="154">
        <f t="shared" ref="S271" si="166">SUM(S272:S273)</f>
        <v>3615</v>
      </c>
      <c r="T271" s="137">
        <f t="shared" ref="T271" si="167">SUM(T272:T273)</f>
        <v>0</v>
      </c>
      <c r="U271" s="28">
        <f t="shared" si="162"/>
        <v>0</v>
      </c>
      <c r="V271" s="154">
        <f t="shared" ref="V271" si="168">SUM(V272:V273)</f>
        <v>0</v>
      </c>
      <c r="W271" s="154">
        <f t="shared" ref="W271" si="169">SUM(W272:W273)</f>
        <v>0</v>
      </c>
      <c r="X271" s="154">
        <f t="shared" ref="X271" si="170">SUM(X272:X273)</f>
        <v>0</v>
      </c>
      <c r="Y271" s="137">
        <f t="shared" ref="Y271" si="171">SUM(Y272:Y273)</f>
        <v>0</v>
      </c>
      <c r="Z271" s="152">
        <f t="shared" ref="Z271" si="172">SUM(Z272:Z273)</f>
        <v>0</v>
      </c>
      <c r="AA271" s="156">
        <f t="shared" ref="AA271" si="173">SUM(AA272:AA273)</f>
        <v>0</v>
      </c>
      <c r="AB271" s="156">
        <f t="shared" ref="AB271" si="174">SUM(AB272:AB273)</f>
        <v>0</v>
      </c>
      <c r="AC271" s="148">
        <f t="shared" ref="AC271" si="175">SUM(AC272:AC273)</f>
        <v>0</v>
      </c>
      <c r="AD271" s="36"/>
      <c r="AE271" s="37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</row>
    <row r="272" spans="1:43" s="22" customFormat="1" ht="25.15" customHeight="1" outlineLevel="1" x14ac:dyDescent="0.2">
      <c r="A272" s="142" t="s">
        <v>623</v>
      </c>
      <c r="B272" s="127" t="s">
        <v>469</v>
      </c>
      <c r="C272" s="177">
        <f t="shared" si="159"/>
        <v>7</v>
      </c>
      <c r="D272" s="152">
        <f>F272+K272+P272+U272+Z272</f>
        <v>2100</v>
      </c>
      <c r="E272" s="17">
        <v>0</v>
      </c>
      <c r="F272" s="237">
        <f t="shared" si="160"/>
        <v>0</v>
      </c>
      <c r="G272" s="152">
        <v>0</v>
      </c>
      <c r="H272" s="152">
        <v>0</v>
      </c>
      <c r="I272" s="152">
        <v>0</v>
      </c>
      <c r="J272" s="17">
        <v>0</v>
      </c>
      <c r="K272" s="237">
        <f t="shared" si="158"/>
        <v>0</v>
      </c>
      <c r="L272" s="152">
        <v>0</v>
      </c>
      <c r="M272" s="152">
        <v>0</v>
      </c>
      <c r="N272" s="152">
        <v>0</v>
      </c>
      <c r="O272" s="136">
        <v>7</v>
      </c>
      <c r="P272" s="28">
        <f t="shared" si="161"/>
        <v>2100</v>
      </c>
      <c r="Q272" s="28">
        <v>0</v>
      </c>
      <c r="R272" s="28">
        <v>0</v>
      </c>
      <c r="S272" s="151">
        <v>2100</v>
      </c>
      <c r="T272" s="136">
        <v>0</v>
      </c>
      <c r="U272" s="28">
        <f t="shared" si="162"/>
        <v>0</v>
      </c>
      <c r="V272" s="28">
        <v>0</v>
      </c>
      <c r="W272" s="28">
        <v>0</v>
      </c>
      <c r="X272" s="151">
        <v>0</v>
      </c>
      <c r="Y272" s="136">
        <v>0</v>
      </c>
      <c r="Z272" s="152">
        <f t="shared" si="163"/>
        <v>0</v>
      </c>
      <c r="AA272" s="152">
        <v>0</v>
      </c>
      <c r="AB272" s="152">
        <v>0</v>
      </c>
      <c r="AC272" s="157">
        <v>0</v>
      </c>
      <c r="AD272" s="36"/>
      <c r="AE272" s="37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</row>
    <row r="273" spans="1:43" s="22" customFormat="1" ht="34.9" customHeight="1" outlineLevel="1" x14ac:dyDescent="0.2">
      <c r="A273" s="142" t="s">
        <v>624</v>
      </c>
      <c r="B273" s="127" t="s">
        <v>479</v>
      </c>
      <c r="C273" s="177">
        <f t="shared" si="159"/>
        <v>5.05</v>
      </c>
      <c r="D273" s="152">
        <f t="shared" si="157"/>
        <v>1515</v>
      </c>
      <c r="E273" s="17">
        <v>0</v>
      </c>
      <c r="F273" s="237">
        <f t="shared" si="160"/>
        <v>0</v>
      </c>
      <c r="G273" s="152">
        <v>0</v>
      </c>
      <c r="H273" s="152">
        <v>0</v>
      </c>
      <c r="I273" s="152">
        <v>0</v>
      </c>
      <c r="J273" s="17">
        <v>0</v>
      </c>
      <c r="K273" s="237">
        <f t="shared" si="158"/>
        <v>0</v>
      </c>
      <c r="L273" s="152">
        <v>0</v>
      </c>
      <c r="M273" s="152">
        <v>0</v>
      </c>
      <c r="N273" s="152">
        <v>0</v>
      </c>
      <c r="O273" s="136">
        <v>5.05</v>
      </c>
      <c r="P273" s="28">
        <f t="shared" si="161"/>
        <v>1515</v>
      </c>
      <c r="Q273" s="28">
        <v>0</v>
      </c>
      <c r="R273" s="28">
        <v>0</v>
      </c>
      <c r="S273" s="151">
        <v>1515</v>
      </c>
      <c r="T273" s="136">
        <v>0</v>
      </c>
      <c r="U273" s="28">
        <f t="shared" si="162"/>
        <v>0</v>
      </c>
      <c r="V273" s="28">
        <v>0</v>
      </c>
      <c r="W273" s="28">
        <v>0</v>
      </c>
      <c r="X273" s="151">
        <v>0</v>
      </c>
      <c r="Y273" s="136">
        <v>0</v>
      </c>
      <c r="Z273" s="152">
        <f t="shared" si="163"/>
        <v>0</v>
      </c>
      <c r="AA273" s="152">
        <v>0</v>
      </c>
      <c r="AB273" s="152">
        <v>0</v>
      </c>
      <c r="AC273" s="157">
        <v>0</v>
      </c>
      <c r="AD273" s="36"/>
      <c r="AE273" s="37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</row>
    <row r="274" spans="1:43" s="22" customFormat="1" ht="32.450000000000003" customHeight="1" outlineLevel="1" x14ac:dyDescent="0.2">
      <c r="A274" s="143"/>
      <c r="B274" s="128" t="s">
        <v>470</v>
      </c>
      <c r="C274" s="133">
        <f>SUM(C275:C297)</f>
        <v>62.450000000000017</v>
      </c>
      <c r="D274" s="133">
        <f t="shared" ref="D274:AB274" si="176">SUM(D275:D297)</f>
        <v>15612.5</v>
      </c>
      <c r="E274" s="133">
        <f t="shared" si="176"/>
        <v>0</v>
      </c>
      <c r="F274" s="148">
        <f t="shared" si="176"/>
        <v>0</v>
      </c>
      <c r="G274" s="148">
        <f t="shared" si="176"/>
        <v>0</v>
      </c>
      <c r="H274" s="148">
        <f t="shared" si="176"/>
        <v>0</v>
      </c>
      <c r="I274" s="148">
        <f t="shared" si="176"/>
        <v>0</v>
      </c>
      <c r="J274" s="153">
        <f t="shared" si="176"/>
        <v>0</v>
      </c>
      <c r="K274" s="148">
        <f t="shared" si="158"/>
        <v>0</v>
      </c>
      <c r="L274" s="148">
        <f t="shared" si="176"/>
        <v>0</v>
      </c>
      <c r="M274" s="148">
        <f t="shared" si="176"/>
        <v>0</v>
      </c>
      <c r="N274" s="148">
        <f t="shared" si="176"/>
        <v>0</v>
      </c>
      <c r="O274" s="137">
        <f t="shared" si="176"/>
        <v>62.450000000000017</v>
      </c>
      <c r="P274" s="28">
        <f t="shared" si="161"/>
        <v>15612.5</v>
      </c>
      <c r="Q274" s="154">
        <f t="shared" si="176"/>
        <v>0</v>
      </c>
      <c r="R274" s="154">
        <f t="shared" si="176"/>
        <v>0</v>
      </c>
      <c r="S274" s="154">
        <f t="shared" si="176"/>
        <v>15612.5</v>
      </c>
      <c r="T274" s="137">
        <f t="shared" si="176"/>
        <v>0</v>
      </c>
      <c r="U274" s="28">
        <f t="shared" si="162"/>
        <v>0</v>
      </c>
      <c r="V274" s="154">
        <f t="shared" si="176"/>
        <v>0</v>
      </c>
      <c r="W274" s="154">
        <f t="shared" si="176"/>
        <v>0</v>
      </c>
      <c r="X274" s="154">
        <f t="shared" si="176"/>
        <v>0</v>
      </c>
      <c r="Y274" s="137">
        <f t="shared" si="176"/>
        <v>0</v>
      </c>
      <c r="Z274" s="152">
        <f t="shared" si="176"/>
        <v>0</v>
      </c>
      <c r="AA274" s="156">
        <f t="shared" si="176"/>
        <v>0</v>
      </c>
      <c r="AB274" s="156">
        <f t="shared" si="176"/>
        <v>0</v>
      </c>
      <c r="AC274" s="148">
        <f t="shared" ref="AC274" si="177">SUM(AC275:AC297)</f>
        <v>0</v>
      </c>
      <c r="AD274" s="36"/>
      <c r="AE274" s="37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</row>
    <row r="275" spans="1:43" s="22" customFormat="1" ht="25.9" customHeight="1" outlineLevel="1" x14ac:dyDescent="0.2">
      <c r="A275" s="142" t="s">
        <v>625</v>
      </c>
      <c r="B275" s="127" t="s">
        <v>373</v>
      </c>
      <c r="C275" s="177">
        <f t="shared" si="159"/>
        <v>5.15</v>
      </c>
      <c r="D275" s="28">
        <f t="shared" si="157"/>
        <v>1287.5</v>
      </c>
      <c r="E275" s="17">
        <v>0</v>
      </c>
      <c r="F275" s="237">
        <f t="shared" si="160"/>
        <v>0</v>
      </c>
      <c r="G275" s="152">
        <v>0</v>
      </c>
      <c r="H275" s="152">
        <v>0</v>
      </c>
      <c r="I275" s="152">
        <v>0</v>
      </c>
      <c r="J275" s="17">
        <v>0</v>
      </c>
      <c r="K275" s="237">
        <f t="shared" si="158"/>
        <v>0</v>
      </c>
      <c r="L275" s="152">
        <v>0</v>
      </c>
      <c r="M275" s="152">
        <v>0</v>
      </c>
      <c r="N275" s="152">
        <v>0</v>
      </c>
      <c r="O275" s="136">
        <v>5.15</v>
      </c>
      <c r="P275" s="28">
        <f t="shared" si="161"/>
        <v>1287.5</v>
      </c>
      <c r="Q275" s="28">
        <v>0</v>
      </c>
      <c r="R275" s="28">
        <v>0</v>
      </c>
      <c r="S275" s="151">
        <v>1287.5</v>
      </c>
      <c r="T275" s="136">
        <v>0</v>
      </c>
      <c r="U275" s="28">
        <f t="shared" si="162"/>
        <v>0</v>
      </c>
      <c r="V275" s="28">
        <v>0</v>
      </c>
      <c r="W275" s="28">
        <v>0</v>
      </c>
      <c r="X275" s="151">
        <v>0</v>
      </c>
      <c r="Y275" s="136">
        <v>0</v>
      </c>
      <c r="Z275" s="152">
        <f t="shared" si="163"/>
        <v>0</v>
      </c>
      <c r="AA275" s="152">
        <v>0</v>
      </c>
      <c r="AB275" s="152">
        <v>0</v>
      </c>
      <c r="AC275" s="157">
        <v>0</v>
      </c>
      <c r="AD275" s="36"/>
      <c r="AE275" s="37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</row>
    <row r="276" spans="1:43" s="22" customFormat="1" ht="44.45" customHeight="1" outlineLevel="1" x14ac:dyDescent="0.2">
      <c r="A276" s="142" t="s">
        <v>626</v>
      </c>
      <c r="B276" s="127" t="s">
        <v>374</v>
      </c>
      <c r="C276" s="177">
        <f t="shared" si="159"/>
        <v>4</v>
      </c>
      <c r="D276" s="28">
        <f t="shared" si="157"/>
        <v>1000</v>
      </c>
      <c r="E276" s="17">
        <v>0</v>
      </c>
      <c r="F276" s="237">
        <f t="shared" si="160"/>
        <v>0</v>
      </c>
      <c r="G276" s="152">
        <v>0</v>
      </c>
      <c r="H276" s="152">
        <v>0</v>
      </c>
      <c r="I276" s="152">
        <v>0</v>
      </c>
      <c r="J276" s="17">
        <v>0</v>
      </c>
      <c r="K276" s="237">
        <f t="shared" si="158"/>
        <v>0</v>
      </c>
      <c r="L276" s="152">
        <v>0</v>
      </c>
      <c r="M276" s="152">
        <v>0</v>
      </c>
      <c r="N276" s="152">
        <v>0</v>
      </c>
      <c r="O276" s="136">
        <v>4</v>
      </c>
      <c r="P276" s="28">
        <f t="shared" si="161"/>
        <v>1000</v>
      </c>
      <c r="Q276" s="28">
        <v>0</v>
      </c>
      <c r="R276" s="28">
        <v>0</v>
      </c>
      <c r="S276" s="151">
        <v>1000</v>
      </c>
      <c r="T276" s="136">
        <v>0</v>
      </c>
      <c r="U276" s="28">
        <f t="shared" si="162"/>
        <v>0</v>
      </c>
      <c r="V276" s="28">
        <v>0</v>
      </c>
      <c r="W276" s="28">
        <v>0</v>
      </c>
      <c r="X276" s="151">
        <v>0</v>
      </c>
      <c r="Y276" s="136">
        <v>0</v>
      </c>
      <c r="Z276" s="152">
        <f t="shared" si="163"/>
        <v>0</v>
      </c>
      <c r="AA276" s="152">
        <v>0</v>
      </c>
      <c r="AB276" s="152">
        <v>0</v>
      </c>
      <c r="AC276" s="157">
        <v>0</v>
      </c>
      <c r="AD276" s="36"/>
      <c r="AE276" s="37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</row>
    <row r="277" spans="1:43" s="22" customFormat="1" ht="31.9" customHeight="1" outlineLevel="1" x14ac:dyDescent="0.2">
      <c r="A277" s="142" t="s">
        <v>627</v>
      </c>
      <c r="B277" s="127" t="s">
        <v>375</v>
      </c>
      <c r="C277" s="177">
        <f t="shared" si="159"/>
        <v>4.1499999999999995</v>
      </c>
      <c r="D277" s="28">
        <f t="shared" si="157"/>
        <v>1037.4999999999998</v>
      </c>
      <c r="E277" s="17">
        <v>0</v>
      </c>
      <c r="F277" s="237">
        <f t="shared" si="160"/>
        <v>0</v>
      </c>
      <c r="G277" s="152">
        <v>0</v>
      </c>
      <c r="H277" s="152">
        <v>0</v>
      </c>
      <c r="I277" s="152">
        <v>0</v>
      </c>
      <c r="J277" s="17">
        <v>0</v>
      </c>
      <c r="K277" s="237">
        <f t="shared" si="158"/>
        <v>0</v>
      </c>
      <c r="L277" s="152">
        <v>0</v>
      </c>
      <c r="M277" s="152">
        <v>0</v>
      </c>
      <c r="N277" s="152">
        <v>0</v>
      </c>
      <c r="O277" s="136">
        <v>4.1499999999999995</v>
      </c>
      <c r="P277" s="28">
        <f t="shared" si="161"/>
        <v>1037.4999999999998</v>
      </c>
      <c r="Q277" s="28">
        <v>0</v>
      </c>
      <c r="R277" s="28">
        <v>0</v>
      </c>
      <c r="S277" s="151">
        <v>1037.4999999999998</v>
      </c>
      <c r="T277" s="136">
        <v>0</v>
      </c>
      <c r="U277" s="28">
        <f t="shared" si="162"/>
        <v>0</v>
      </c>
      <c r="V277" s="28">
        <v>0</v>
      </c>
      <c r="W277" s="28">
        <v>0</v>
      </c>
      <c r="X277" s="151">
        <v>0</v>
      </c>
      <c r="Y277" s="136">
        <v>0</v>
      </c>
      <c r="Z277" s="152">
        <f t="shared" si="163"/>
        <v>0</v>
      </c>
      <c r="AA277" s="152">
        <v>0</v>
      </c>
      <c r="AB277" s="152">
        <v>0</v>
      </c>
      <c r="AC277" s="157">
        <v>0</v>
      </c>
      <c r="AD277" s="36"/>
      <c r="AE277" s="37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</row>
    <row r="278" spans="1:43" s="22" customFormat="1" ht="24" customHeight="1" outlineLevel="1" x14ac:dyDescent="0.2">
      <c r="A278" s="142" t="s">
        <v>628</v>
      </c>
      <c r="B278" s="127" t="s">
        <v>376</v>
      </c>
      <c r="C278" s="177">
        <f t="shared" si="159"/>
        <v>3.8</v>
      </c>
      <c r="D278" s="28">
        <f t="shared" si="157"/>
        <v>950</v>
      </c>
      <c r="E278" s="17">
        <v>0</v>
      </c>
      <c r="F278" s="237">
        <f t="shared" si="160"/>
        <v>0</v>
      </c>
      <c r="G278" s="152">
        <v>0</v>
      </c>
      <c r="H278" s="152">
        <v>0</v>
      </c>
      <c r="I278" s="152">
        <v>0</v>
      </c>
      <c r="J278" s="17">
        <v>0</v>
      </c>
      <c r="K278" s="237">
        <f t="shared" si="158"/>
        <v>0</v>
      </c>
      <c r="L278" s="152">
        <v>0</v>
      </c>
      <c r="M278" s="152">
        <v>0</v>
      </c>
      <c r="N278" s="152">
        <v>0</v>
      </c>
      <c r="O278" s="136">
        <v>3.8</v>
      </c>
      <c r="P278" s="28">
        <f t="shared" si="161"/>
        <v>950</v>
      </c>
      <c r="Q278" s="28">
        <v>0</v>
      </c>
      <c r="R278" s="28">
        <v>0</v>
      </c>
      <c r="S278" s="151">
        <v>950</v>
      </c>
      <c r="T278" s="136">
        <v>0</v>
      </c>
      <c r="U278" s="28">
        <f t="shared" si="162"/>
        <v>0</v>
      </c>
      <c r="V278" s="28">
        <v>0</v>
      </c>
      <c r="W278" s="28">
        <v>0</v>
      </c>
      <c r="X278" s="151">
        <v>0</v>
      </c>
      <c r="Y278" s="136">
        <v>0</v>
      </c>
      <c r="Z278" s="152">
        <f t="shared" si="163"/>
        <v>0</v>
      </c>
      <c r="AA278" s="152">
        <v>0</v>
      </c>
      <c r="AB278" s="152">
        <v>0</v>
      </c>
      <c r="AC278" s="157">
        <v>0</v>
      </c>
      <c r="AD278" s="36"/>
      <c r="AE278" s="37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</row>
    <row r="279" spans="1:43" s="22" customFormat="1" ht="26.45" customHeight="1" outlineLevel="1" x14ac:dyDescent="0.2">
      <c r="A279" s="142" t="s">
        <v>629</v>
      </c>
      <c r="B279" s="127" t="s">
        <v>377</v>
      </c>
      <c r="C279" s="177">
        <f t="shared" si="159"/>
        <v>2.0499999999999998</v>
      </c>
      <c r="D279" s="28">
        <f t="shared" si="157"/>
        <v>512.5</v>
      </c>
      <c r="E279" s="17">
        <v>0</v>
      </c>
      <c r="F279" s="237">
        <f t="shared" si="160"/>
        <v>0</v>
      </c>
      <c r="G279" s="152">
        <v>0</v>
      </c>
      <c r="H279" s="152">
        <v>0</v>
      </c>
      <c r="I279" s="152">
        <v>0</v>
      </c>
      <c r="J279" s="17">
        <v>0</v>
      </c>
      <c r="K279" s="237">
        <f t="shared" si="158"/>
        <v>0</v>
      </c>
      <c r="L279" s="152">
        <v>0</v>
      </c>
      <c r="M279" s="152">
        <v>0</v>
      </c>
      <c r="N279" s="152">
        <v>0</v>
      </c>
      <c r="O279" s="136">
        <v>2.0499999999999998</v>
      </c>
      <c r="P279" s="28">
        <f t="shared" si="161"/>
        <v>512.5</v>
      </c>
      <c r="Q279" s="28">
        <v>0</v>
      </c>
      <c r="R279" s="28">
        <v>0</v>
      </c>
      <c r="S279" s="151">
        <v>512.5</v>
      </c>
      <c r="T279" s="136">
        <v>0</v>
      </c>
      <c r="U279" s="28">
        <f t="shared" si="162"/>
        <v>0</v>
      </c>
      <c r="V279" s="28">
        <v>0</v>
      </c>
      <c r="W279" s="28">
        <v>0</v>
      </c>
      <c r="X279" s="151">
        <v>0</v>
      </c>
      <c r="Y279" s="136">
        <v>0</v>
      </c>
      <c r="Z279" s="152">
        <f t="shared" si="163"/>
        <v>0</v>
      </c>
      <c r="AA279" s="152">
        <v>0</v>
      </c>
      <c r="AB279" s="152">
        <v>0</v>
      </c>
      <c r="AC279" s="157">
        <v>0</v>
      </c>
      <c r="AD279" s="36"/>
      <c r="AE279" s="37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</row>
    <row r="280" spans="1:43" s="22" customFormat="1" ht="27" customHeight="1" outlineLevel="1" x14ac:dyDescent="0.2">
      <c r="A280" s="142" t="s">
        <v>630</v>
      </c>
      <c r="B280" s="127" t="s">
        <v>919</v>
      </c>
      <c r="C280" s="177">
        <f t="shared" si="159"/>
        <v>2.9499999999999997</v>
      </c>
      <c r="D280" s="28">
        <f t="shared" si="157"/>
        <v>737.49999999999989</v>
      </c>
      <c r="E280" s="17">
        <v>0</v>
      </c>
      <c r="F280" s="237">
        <f t="shared" si="160"/>
        <v>0</v>
      </c>
      <c r="G280" s="152">
        <v>0</v>
      </c>
      <c r="H280" s="152">
        <v>0</v>
      </c>
      <c r="I280" s="152">
        <v>0</v>
      </c>
      <c r="J280" s="17">
        <v>0</v>
      </c>
      <c r="K280" s="237">
        <f t="shared" si="158"/>
        <v>0</v>
      </c>
      <c r="L280" s="152">
        <v>0</v>
      </c>
      <c r="M280" s="152">
        <v>0</v>
      </c>
      <c r="N280" s="152">
        <v>0</v>
      </c>
      <c r="O280" s="136">
        <v>2.9499999999999997</v>
      </c>
      <c r="P280" s="28">
        <f t="shared" si="161"/>
        <v>737.49999999999989</v>
      </c>
      <c r="Q280" s="28">
        <v>0</v>
      </c>
      <c r="R280" s="28">
        <v>0</v>
      </c>
      <c r="S280" s="151">
        <v>737.49999999999989</v>
      </c>
      <c r="T280" s="136">
        <v>0</v>
      </c>
      <c r="U280" s="28">
        <f t="shared" si="162"/>
        <v>0</v>
      </c>
      <c r="V280" s="28">
        <v>0</v>
      </c>
      <c r="W280" s="28">
        <v>0</v>
      </c>
      <c r="X280" s="151">
        <v>0</v>
      </c>
      <c r="Y280" s="136">
        <v>0</v>
      </c>
      <c r="Z280" s="152">
        <f t="shared" si="163"/>
        <v>0</v>
      </c>
      <c r="AA280" s="152">
        <v>0</v>
      </c>
      <c r="AB280" s="152">
        <v>0</v>
      </c>
      <c r="AC280" s="157">
        <v>0</v>
      </c>
      <c r="AD280" s="36"/>
      <c r="AE280" s="37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</row>
    <row r="281" spans="1:43" s="22" customFormat="1" ht="24" customHeight="1" outlineLevel="1" x14ac:dyDescent="0.2">
      <c r="A281" s="142" t="s">
        <v>631</v>
      </c>
      <c r="B281" s="127" t="s">
        <v>920</v>
      </c>
      <c r="C281" s="177">
        <f t="shared" si="159"/>
        <v>5.6499999999999995</v>
      </c>
      <c r="D281" s="28">
        <f t="shared" si="157"/>
        <v>1412.4999999999998</v>
      </c>
      <c r="E281" s="17">
        <v>0</v>
      </c>
      <c r="F281" s="237">
        <f t="shared" si="160"/>
        <v>0</v>
      </c>
      <c r="G281" s="152">
        <v>0</v>
      </c>
      <c r="H281" s="152">
        <v>0</v>
      </c>
      <c r="I281" s="152">
        <v>0</v>
      </c>
      <c r="J281" s="17">
        <v>0</v>
      </c>
      <c r="K281" s="237">
        <f t="shared" si="158"/>
        <v>0</v>
      </c>
      <c r="L281" s="152">
        <v>0</v>
      </c>
      <c r="M281" s="152">
        <v>0</v>
      </c>
      <c r="N281" s="152">
        <v>0</v>
      </c>
      <c r="O281" s="136">
        <v>5.6499999999999995</v>
      </c>
      <c r="P281" s="28">
        <f t="shared" si="161"/>
        <v>1412.4999999999998</v>
      </c>
      <c r="Q281" s="28">
        <v>0</v>
      </c>
      <c r="R281" s="28">
        <v>0</v>
      </c>
      <c r="S281" s="151">
        <v>1412.4999999999998</v>
      </c>
      <c r="T281" s="136">
        <v>0</v>
      </c>
      <c r="U281" s="28">
        <f t="shared" si="162"/>
        <v>0</v>
      </c>
      <c r="V281" s="28">
        <v>0</v>
      </c>
      <c r="W281" s="28">
        <v>0</v>
      </c>
      <c r="X281" s="151">
        <v>0</v>
      </c>
      <c r="Y281" s="136">
        <v>0</v>
      </c>
      <c r="Z281" s="152">
        <f t="shared" si="163"/>
        <v>0</v>
      </c>
      <c r="AA281" s="152">
        <v>0</v>
      </c>
      <c r="AB281" s="152">
        <v>0</v>
      </c>
      <c r="AC281" s="157">
        <v>0</v>
      </c>
      <c r="AD281" s="36"/>
      <c r="AE281" s="37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</row>
    <row r="282" spans="1:43" s="22" customFormat="1" ht="28.15" customHeight="1" outlineLevel="1" x14ac:dyDescent="0.2">
      <c r="A282" s="142" t="s">
        <v>632</v>
      </c>
      <c r="B282" s="127" t="s">
        <v>921</v>
      </c>
      <c r="C282" s="177">
        <f t="shared" si="159"/>
        <v>3.35</v>
      </c>
      <c r="D282" s="28">
        <f t="shared" si="157"/>
        <v>837.5</v>
      </c>
      <c r="E282" s="17">
        <v>0</v>
      </c>
      <c r="F282" s="237">
        <f t="shared" si="160"/>
        <v>0</v>
      </c>
      <c r="G282" s="152">
        <v>0</v>
      </c>
      <c r="H282" s="152">
        <v>0</v>
      </c>
      <c r="I282" s="152">
        <v>0</v>
      </c>
      <c r="J282" s="17">
        <v>0</v>
      </c>
      <c r="K282" s="237">
        <f t="shared" si="158"/>
        <v>0</v>
      </c>
      <c r="L282" s="152">
        <v>0</v>
      </c>
      <c r="M282" s="152">
        <v>0</v>
      </c>
      <c r="N282" s="152">
        <v>0</v>
      </c>
      <c r="O282" s="136">
        <v>3.35</v>
      </c>
      <c r="P282" s="28">
        <f t="shared" si="161"/>
        <v>837.5</v>
      </c>
      <c r="Q282" s="28">
        <v>0</v>
      </c>
      <c r="R282" s="28">
        <v>0</v>
      </c>
      <c r="S282" s="151">
        <v>837.5</v>
      </c>
      <c r="T282" s="136">
        <v>0</v>
      </c>
      <c r="U282" s="28">
        <f t="shared" si="162"/>
        <v>0</v>
      </c>
      <c r="V282" s="28">
        <v>0</v>
      </c>
      <c r="W282" s="28">
        <v>0</v>
      </c>
      <c r="X282" s="151">
        <v>0</v>
      </c>
      <c r="Y282" s="136">
        <v>0</v>
      </c>
      <c r="Z282" s="152">
        <f t="shared" si="163"/>
        <v>0</v>
      </c>
      <c r="AA282" s="152">
        <v>0</v>
      </c>
      <c r="AB282" s="152">
        <v>0</v>
      </c>
      <c r="AC282" s="157">
        <v>0</v>
      </c>
      <c r="AD282" s="36"/>
      <c r="AE282" s="37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</row>
    <row r="283" spans="1:43" s="22" customFormat="1" ht="23.45" customHeight="1" outlineLevel="1" x14ac:dyDescent="0.2">
      <c r="A283" s="142" t="s">
        <v>633</v>
      </c>
      <c r="B283" s="127" t="s">
        <v>378</v>
      </c>
      <c r="C283" s="177">
        <f t="shared" si="159"/>
        <v>2.9499999999999997</v>
      </c>
      <c r="D283" s="28">
        <f t="shared" si="157"/>
        <v>737.49999999999989</v>
      </c>
      <c r="E283" s="17">
        <v>0</v>
      </c>
      <c r="F283" s="237">
        <f t="shared" si="160"/>
        <v>0</v>
      </c>
      <c r="G283" s="152">
        <v>0</v>
      </c>
      <c r="H283" s="152">
        <v>0</v>
      </c>
      <c r="I283" s="152">
        <v>0</v>
      </c>
      <c r="J283" s="17">
        <v>0</v>
      </c>
      <c r="K283" s="237">
        <f t="shared" si="158"/>
        <v>0</v>
      </c>
      <c r="L283" s="152">
        <v>0</v>
      </c>
      <c r="M283" s="152">
        <v>0</v>
      </c>
      <c r="N283" s="152">
        <v>0</v>
      </c>
      <c r="O283" s="136">
        <v>2.9499999999999997</v>
      </c>
      <c r="P283" s="28">
        <f t="shared" si="161"/>
        <v>737.49999999999989</v>
      </c>
      <c r="Q283" s="28">
        <v>0</v>
      </c>
      <c r="R283" s="28">
        <v>0</v>
      </c>
      <c r="S283" s="151">
        <v>737.49999999999989</v>
      </c>
      <c r="T283" s="136">
        <v>0</v>
      </c>
      <c r="U283" s="28">
        <f t="shared" si="162"/>
        <v>0</v>
      </c>
      <c r="V283" s="28">
        <v>0</v>
      </c>
      <c r="W283" s="28">
        <v>0</v>
      </c>
      <c r="X283" s="151">
        <v>0</v>
      </c>
      <c r="Y283" s="136">
        <v>0</v>
      </c>
      <c r="Z283" s="152">
        <f t="shared" si="163"/>
        <v>0</v>
      </c>
      <c r="AA283" s="152">
        <v>0</v>
      </c>
      <c r="AB283" s="152">
        <v>0</v>
      </c>
      <c r="AC283" s="157">
        <v>0</v>
      </c>
      <c r="AD283" s="36"/>
      <c r="AE283" s="37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</row>
    <row r="284" spans="1:43" s="22" customFormat="1" ht="24" customHeight="1" outlineLevel="1" x14ac:dyDescent="0.2">
      <c r="A284" s="142" t="s">
        <v>634</v>
      </c>
      <c r="B284" s="127" t="s">
        <v>379</v>
      </c>
      <c r="C284" s="177">
        <f t="shared" si="159"/>
        <v>1.6</v>
      </c>
      <c r="D284" s="28">
        <f t="shared" si="157"/>
        <v>400</v>
      </c>
      <c r="E284" s="17">
        <v>0</v>
      </c>
      <c r="F284" s="237">
        <f t="shared" si="160"/>
        <v>0</v>
      </c>
      <c r="G284" s="152">
        <v>0</v>
      </c>
      <c r="H284" s="152">
        <v>0</v>
      </c>
      <c r="I284" s="152">
        <v>0</v>
      </c>
      <c r="J284" s="17">
        <v>0</v>
      </c>
      <c r="K284" s="237">
        <f t="shared" si="158"/>
        <v>0</v>
      </c>
      <c r="L284" s="152">
        <v>0</v>
      </c>
      <c r="M284" s="152">
        <v>0</v>
      </c>
      <c r="N284" s="152">
        <v>0</v>
      </c>
      <c r="O284" s="136">
        <v>1.6</v>
      </c>
      <c r="P284" s="28">
        <f t="shared" si="161"/>
        <v>400</v>
      </c>
      <c r="Q284" s="28">
        <v>0</v>
      </c>
      <c r="R284" s="28">
        <v>0</v>
      </c>
      <c r="S284" s="151">
        <v>400</v>
      </c>
      <c r="T284" s="136">
        <v>0</v>
      </c>
      <c r="U284" s="28">
        <f t="shared" si="162"/>
        <v>0</v>
      </c>
      <c r="V284" s="28">
        <v>0</v>
      </c>
      <c r="W284" s="28">
        <v>0</v>
      </c>
      <c r="X284" s="151">
        <v>0</v>
      </c>
      <c r="Y284" s="136">
        <v>0</v>
      </c>
      <c r="Z284" s="152">
        <f t="shared" si="163"/>
        <v>0</v>
      </c>
      <c r="AA284" s="152">
        <v>0</v>
      </c>
      <c r="AB284" s="152">
        <v>0</v>
      </c>
      <c r="AC284" s="157">
        <v>0</v>
      </c>
      <c r="AD284" s="36"/>
      <c r="AE284" s="37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</row>
    <row r="285" spans="1:43" s="22" customFormat="1" ht="22.9" customHeight="1" outlineLevel="1" x14ac:dyDescent="0.2">
      <c r="A285" s="142" t="s">
        <v>635</v>
      </c>
      <c r="B285" s="127" t="s">
        <v>380</v>
      </c>
      <c r="C285" s="177">
        <f t="shared" si="159"/>
        <v>1.6</v>
      </c>
      <c r="D285" s="28">
        <f t="shared" si="157"/>
        <v>400</v>
      </c>
      <c r="E285" s="17">
        <v>0</v>
      </c>
      <c r="F285" s="237">
        <f t="shared" si="160"/>
        <v>0</v>
      </c>
      <c r="G285" s="152">
        <v>0</v>
      </c>
      <c r="H285" s="152">
        <v>0</v>
      </c>
      <c r="I285" s="152">
        <v>0</v>
      </c>
      <c r="J285" s="17">
        <v>0</v>
      </c>
      <c r="K285" s="237">
        <f t="shared" si="158"/>
        <v>0</v>
      </c>
      <c r="L285" s="152">
        <v>0</v>
      </c>
      <c r="M285" s="152">
        <v>0</v>
      </c>
      <c r="N285" s="152">
        <v>0</v>
      </c>
      <c r="O285" s="136">
        <v>1.6</v>
      </c>
      <c r="P285" s="28">
        <f t="shared" si="161"/>
        <v>400</v>
      </c>
      <c r="Q285" s="28">
        <v>0</v>
      </c>
      <c r="R285" s="28">
        <v>0</v>
      </c>
      <c r="S285" s="151">
        <v>400</v>
      </c>
      <c r="T285" s="136">
        <v>0</v>
      </c>
      <c r="U285" s="28">
        <f t="shared" si="162"/>
        <v>0</v>
      </c>
      <c r="V285" s="28">
        <v>0</v>
      </c>
      <c r="W285" s="28">
        <v>0</v>
      </c>
      <c r="X285" s="151">
        <v>0</v>
      </c>
      <c r="Y285" s="136">
        <v>0</v>
      </c>
      <c r="Z285" s="152">
        <f t="shared" si="163"/>
        <v>0</v>
      </c>
      <c r="AA285" s="152">
        <v>0</v>
      </c>
      <c r="AB285" s="152">
        <v>0</v>
      </c>
      <c r="AC285" s="157">
        <v>0</v>
      </c>
      <c r="AD285" s="36"/>
      <c r="AE285" s="37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</row>
    <row r="286" spans="1:43" s="22" customFormat="1" ht="22.9" customHeight="1" outlineLevel="1" x14ac:dyDescent="0.2">
      <c r="A286" s="142" t="s">
        <v>636</v>
      </c>
      <c r="B286" s="127" t="s">
        <v>922</v>
      </c>
      <c r="C286" s="177">
        <f t="shared" si="159"/>
        <v>1.6</v>
      </c>
      <c r="D286" s="28">
        <f t="shared" si="157"/>
        <v>400</v>
      </c>
      <c r="E286" s="17">
        <v>0</v>
      </c>
      <c r="F286" s="237">
        <f t="shared" si="160"/>
        <v>0</v>
      </c>
      <c r="G286" s="152">
        <v>0</v>
      </c>
      <c r="H286" s="152">
        <v>0</v>
      </c>
      <c r="I286" s="152">
        <v>0</v>
      </c>
      <c r="J286" s="17">
        <v>0</v>
      </c>
      <c r="K286" s="237">
        <f t="shared" si="158"/>
        <v>0</v>
      </c>
      <c r="L286" s="152">
        <v>0</v>
      </c>
      <c r="M286" s="152">
        <v>0</v>
      </c>
      <c r="N286" s="152">
        <v>0</v>
      </c>
      <c r="O286" s="136">
        <v>1.6</v>
      </c>
      <c r="P286" s="28">
        <f t="shared" si="161"/>
        <v>400</v>
      </c>
      <c r="Q286" s="28">
        <v>0</v>
      </c>
      <c r="R286" s="28">
        <v>0</v>
      </c>
      <c r="S286" s="151">
        <v>400</v>
      </c>
      <c r="T286" s="136">
        <v>0</v>
      </c>
      <c r="U286" s="28">
        <f t="shared" si="162"/>
        <v>0</v>
      </c>
      <c r="V286" s="28">
        <v>0</v>
      </c>
      <c r="W286" s="28">
        <v>0</v>
      </c>
      <c r="X286" s="151">
        <v>0</v>
      </c>
      <c r="Y286" s="136">
        <v>0</v>
      </c>
      <c r="Z286" s="152">
        <f t="shared" si="163"/>
        <v>0</v>
      </c>
      <c r="AA286" s="152">
        <v>0</v>
      </c>
      <c r="AB286" s="152">
        <v>0</v>
      </c>
      <c r="AC286" s="157">
        <v>0</v>
      </c>
      <c r="AD286" s="36"/>
      <c r="AE286" s="37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</row>
    <row r="287" spans="1:43" s="22" customFormat="1" ht="22.15" customHeight="1" outlineLevel="1" x14ac:dyDescent="0.2">
      <c r="A287" s="142" t="s">
        <v>637</v>
      </c>
      <c r="B287" s="127" t="s">
        <v>381</v>
      </c>
      <c r="C287" s="177">
        <f t="shared" si="159"/>
        <v>1.75</v>
      </c>
      <c r="D287" s="28">
        <f t="shared" si="157"/>
        <v>437.5</v>
      </c>
      <c r="E287" s="17">
        <v>0</v>
      </c>
      <c r="F287" s="237">
        <f t="shared" si="160"/>
        <v>0</v>
      </c>
      <c r="G287" s="152">
        <v>0</v>
      </c>
      <c r="H287" s="152">
        <v>0</v>
      </c>
      <c r="I287" s="152">
        <v>0</v>
      </c>
      <c r="J287" s="17">
        <v>0</v>
      </c>
      <c r="K287" s="237">
        <f t="shared" si="158"/>
        <v>0</v>
      </c>
      <c r="L287" s="152">
        <v>0</v>
      </c>
      <c r="M287" s="152">
        <v>0</v>
      </c>
      <c r="N287" s="152">
        <v>0</v>
      </c>
      <c r="O287" s="136">
        <v>1.75</v>
      </c>
      <c r="P287" s="28">
        <f t="shared" si="161"/>
        <v>437.5</v>
      </c>
      <c r="Q287" s="28">
        <v>0</v>
      </c>
      <c r="R287" s="28">
        <v>0</v>
      </c>
      <c r="S287" s="151">
        <v>437.5</v>
      </c>
      <c r="T287" s="136">
        <v>0</v>
      </c>
      <c r="U287" s="28">
        <f t="shared" si="162"/>
        <v>0</v>
      </c>
      <c r="V287" s="28">
        <v>0</v>
      </c>
      <c r="W287" s="28">
        <v>0</v>
      </c>
      <c r="X287" s="151">
        <v>0</v>
      </c>
      <c r="Y287" s="136">
        <v>0</v>
      </c>
      <c r="Z287" s="152">
        <f t="shared" si="163"/>
        <v>0</v>
      </c>
      <c r="AA287" s="152">
        <v>0</v>
      </c>
      <c r="AB287" s="152">
        <v>0</v>
      </c>
      <c r="AC287" s="157">
        <v>0</v>
      </c>
      <c r="AD287" s="36"/>
      <c r="AE287" s="37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</row>
    <row r="288" spans="1:43" s="22" customFormat="1" ht="22.15" customHeight="1" outlineLevel="1" x14ac:dyDescent="0.2">
      <c r="A288" s="142" t="s">
        <v>638</v>
      </c>
      <c r="B288" s="127" t="s">
        <v>382</v>
      </c>
      <c r="C288" s="177">
        <f t="shared" si="159"/>
        <v>2.9499999999999997</v>
      </c>
      <c r="D288" s="28">
        <f t="shared" si="157"/>
        <v>737.49999999999989</v>
      </c>
      <c r="E288" s="17">
        <v>0</v>
      </c>
      <c r="F288" s="237">
        <f t="shared" si="160"/>
        <v>0</v>
      </c>
      <c r="G288" s="152">
        <v>0</v>
      </c>
      <c r="H288" s="152">
        <v>0</v>
      </c>
      <c r="I288" s="152">
        <v>0</v>
      </c>
      <c r="J288" s="17">
        <v>0</v>
      </c>
      <c r="K288" s="237">
        <f t="shared" si="158"/>
        <v>0</v>
      </c>
      <c r="L288" s="152">
        <v>0</v>
      </c>
      <c r="M288" s="152">
        <v>0</v>
      </c>
      <c r="N288" s="152">
        <v>0</v>
      </c>
      <c r="O288" s="136">
        <v>2.9499999999999997</v>
      </c>
      <c r="P288" s="28">
        <f t="shared" si="161"/>
        <v>737.49999999999989</v>
      </c>
      <c r="Q288" s="28">
        <v>0</v>
      </c>
      <c r="R288" s="28">
        <v>0</v>
      </c>
      <c r="S288" s="151">
        <v>737.49999999999989</v>
      </c>
      <c r="T288" s="136">
        <v>0</v>
      </c>
      <c r="U288" s="28">
        <f t="shared" si="162"/>
        <v>0</v>
      </c>
      <c r="V288" s="28">
        <v>0</v>
      </c>
      <c r="W288" s="28">
        <v>0</v>
      </c>
      <c r="X288" s="151">
        <v>0</v>
      </c>
      <c r="Y288" s="136">
        <v>0</v>
      </c>
      <c r="Z288" s="152">
        <f t="shared" si="163"/>
        <v>0</v>
      </c>
      <c r="AA288" s="152">
        <v>0</v>
      </c>
      <c r="AB288" s="152">
        <v>0</v>
      </c>
      <c r="AC288" s="157">
        <v>0</v>
      </c>
      <c r="AD288" s="36"/>
      <c r="AE288" s="37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</row>
    <row r="289" spans="1:43" s="22" customFormat="1" ht="22.15" customHeight="1" outlineLevel="1" x14ac:dyDescent="0.2">
      <c r="A289" s="142" t="s">
        <v>639</v>
      </c>
      <c r="B289" s="127" t="s">
        <v>383</v>
      </c>
      <c r="C289" s="177">
        <f t="shared" si="159"/>
        <v>1.05</v>
      </c>
      <c r="D289" s="28">
        <f t="shared" si="157"/>
        <v>262.5</v>
      </c>
      <c r="E289" s="17">
        <v>0</v>
      </c>
      <c r="F289" s="237">
        <f t="shared" si="160"/>
        <v>0</v>
      </c>
      <c r="G289" s="152">
        <v>0</v>
      </c>
      <c r="H289" s="152">
        <v>0</v>
      </c>
      <c r="I289" s="152">
        <v>0</v>
      </c>
      <c r="J289" s="17">
        <v>0</v>
      </c>
      <c r="K289" s="237">
        <f t="shared" si="158"/>
        <v>0</v>
      </c>
      <c r="L289" s="152">
        <v>0</v>
      </c>
      <c r="M289" s="152">
        <v>0</v>
      </c>
      <c r="N289" s="152">
        <v>0</v>
      </c>
      <c r="O289" s="136">
        <v>1.05</v>
      </c>
      <c r="P289" s="28">
        <f t="shared" si="161"/>
        <v>262.5</v>
      </c>
      <c r="Q289" s="28">
        <v>0</v>
      </c>
      <c r="R289" s="28">
        <v>0</v>
      </c>
      <c r="S289" s="151">
        <v>262.5</v>
      </c>
      <c r="T289" s="136">
        <v>0</v>
      </c>
      <c r="U289" s="28">
        <f t="shared" si="162"/>
        <v>0</v>
      </c>
      <c r="V289" s="28">
        <v>0</v>
      </c>
      <c r="W289" s="28">
        <v>0</v>
      </c>
      <c r="X289" s="151">
        <v>0</v>
      </c>
      <c r="Y289" s="136">
        <v>0</v>
      </c>
      <c r="Z289" s="152">
        <f t="shared" si="163"/>
        <v>0</v>
      </c>
      <c r="AA289" s="152">
        <v>0</v>
      </c>
      <c r="AB289" s="152">
        <v>0</v>
      </c>
      <c r="AC289" s="157">
        <v>0</v>
      </c>
      <c r="AD289" s="36"/>
      <c r="AE289" s="37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</row>
    <row r="290" spans="1:43" s="22" customFormat="1" ht="22.15" customHeight="1" outlineLevel="1" x14ac:dyDescent="0.2">
      <c r="A290" s="142" t="s">
        <v>640</v>
      </c>
      <c r="B290" s="127" t="s">
        <v>384</v>
      </c>
      <c r="C290" s="177">
        <f t="shared" si="159"/>
        <v>1.1000000000000001</v>
      </c>
      <c r="D290" s="28">
        <f t="shared" si="157"/>
        <v>275</v>
      </c>
      <c r="E290" s="17">
        <v>0</v>
      </c>
      <c r="F290" s="237">
        <f t="shared" si="160"/>
        <v>0</v>
      </c>
      <c r="G290" s="152">
        <v>0</v>
      </c>
      <c r="H290" s="152">
        <v>0</v>
      </c>
      <c r="I290" s="152">
        <v>0</v>
      </c>
      <c r="J290" s="17">
        <v>0</v>
      </c>
      <c r="K290" s="237">
        <f t="shared" si="158"/>
        <v>0</v>
      </c>
      <c r="L290" s="152">
        <v>0</v>
      </c>
      <c r="M290" s="152">
        <v>0</v>
      </c>
      <c r="N290" s="152">
        <v>0</v>
      </c>
      <c r="O290" s="136">
        <v>1.1000000000000001</v>
      </c>
      <c r="P290" s="28">
        <f t="shared" si="161"/>
        <v>275</v>
      </c>
      <c r="Q290" s="28">
        <v>0</v>
      </c>
      <c r="R290" s="28">
        <v>0</v>
      </c>
      <c r="S290" s="151">
        <v>275</v>
      </c>
      <c r="T290" s="136">
        <v>0</v>
      </c>
      <c r="U290" s="28">
        <f t="shared" si="162"/>
        <v>0</v>
      </c>
      <c r="V290" s="28">
        <v>0</v>
      </c>
      <c r="W290" s="28">
        <v>0</v>
      </c>
      <c r="X290" s="151">
        <v>0</v>
      </c>
      <c r="Y290" s="136">
        <v>0</v>
      </c>
      <c r="Z290" s="152">
        <f t="shared" si="163"/>
        <v>0</v>
      </c>
      <c r="AA290" s="152">
        <v>0</v>
      </c>
      <c r="AB290" s="152">
        <v>0</v>
      </c>
      <c r="AC290" s="157">
        <v>0</v>
      </c>
      <c r="AD290" s="36"/>
      <c r="AE290" s="37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</row>
    <row r="291" spans="1:43" s="22" customFormat="1" ht="22.9" customHeight="1" outlineLevel="1" x14ac:dyDescent="0.2">
      <c r="A291" s="142" t="s">
        <v>641</v>
      </c>
      <c r="B291" s="127" t="s">
        <v>385</v>
      </c>
      <c r="C291" s="177">
        <f t="shared" si="159"/>
        <v>1.1000000000000001</v>
      </c>
      <c r="D291" s="28">
        <f t="shared" si="157"/>
        <v>275</v>
      </c>
      <c r="E291" s="17">
        <v>0</v>
      </c>
      <c r="F291" s="237">
        <f t="shared" si="160"/>
        <v>0</v>
      </c>
      <c r="G291" s="152">
        <v>0</v>
      </c>
      <c r="H291" s="152">
        <v>0</v>
      </c>
      <c r="I291" s="152">
        <v>0</v>
      </c>
      <c r="J291" s="17">
        <v>0</v>
      </c>
      <c r="K291" s="237">
        <f t="shared" si="158"/>
        <v>0</v>
      </c>
      <c r="L291" s="152">
        <v>0</v>
      </c>
      <c r="M291" s="152">
        <v>0</v>
      </c>
      <c r="N291" s="152">
        <v>0</v>
      </c>
      <c r="O291" s="136">
        <v>1.1000000000000001</v>
      </c>
      <c r="P291" s="28">
        <f t="shared" si="161"/>
        <v>275</v>
      </c>
      <c r="Q291" s="28">
        <v>0</v>
      </c>
      <c r="R291" s="28">
        <v>0</v>
      </c>
      <c r="S291" s="151">
        <v>275</v>
      </c>
      <c r="T291" s="136">
        <v>0</v>
      </c>
      <c r="U291" s="28">
        <f t="shared" si="162"/>
        <v>0</v>
      </c>
      <c r="V291" s="28">
        <v>0</v>
      </c>
      <c r="W291" s="28">
        <v>0</v>
      </c>
      <c r="X291" s="151">
        <v>0</v>
      </c>
      <c r="Y291" s="136">
        <v>0</v>
      </c>
      <c r="Z291" s="152">
        <f t="shared" si="163"/>
        <v>0</v>
      </c>
      <c r="AA291" s="152">
        <v>0</v>
      </c>
      <c r="AB291" s="152">
        <v>0</v>
      </c>
      <c r="AC291" s="157">
        <v>0</v>
      </c>
      <c r="AD291" s="36"/>
      <c r="AE291" s="37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</row>
    <row r="292" spans="1:43" s="22" customFormat="1" ht="24.6" customHeight="1" outlineLevel="1" x14ac:dyDescent="0.2">
      <c r="A292" s="142" t="s">
        <v>642</v>
      </c>
      <c r="B292" s="127" t="s">
        <v>386</v>
      </c>
      <c r="C292" s="177">
        <f t="shared" si="159"/>
        <v>2.9499999999999997</v>
      </c>
      <c r="D292" s="28">
        <f t="shared" si="157"/>
        <v>737.49999999999989</v>
      </c>
      <c r="E292" s="17">
        <v>0</v>
      </c>
      <c r="F292" s="237">
        <f t="shared" si="160"/>
        <v>0</v>
      </c>
      <c r="G292" s="152">
        <v>0</v>
      </c>
      <c r="H292" s="152">
        <v>0</v>
      </c>
      <c r="I292" s="152">
        <v>0</v>
      </c>
      <c r="J292" s="17">
        <v>0</v>
      </c>
      <c r="K292" s="237">
        <f t="shared" si="158"/>
        <v>0</v>
      </c>
      <c r="L292" s="152">
        <v>0</v>
      </c>
      <c r="M292" s="152">
        <v>0</v>
      </c>
      <c r="N292" s="152">
        <v>0</v>
      </c>
      <c r="O292" s="136">
        <v>2.9499999999999997</v>
      </c>
      <c r="P292" s="28">
        <f t="shared" si="161"/>
        <v>737.49999999999989</v>
      </c>
      <c r="Q292" s="28">
        <v>0</v>
      </c>
      <c r="R292" s="28">
        <v>0</v>
      </c>
      <c r="S292" s="151">
        <v>737.49999999999989</v>
      </c>
      <c r="T292" s="136">
        <v>0</v>
      </c>
      <c r="U292" s="28">
        <f t="shared" si="162"/>
        <v>0</v>
      </c>
      <c r="V292" s="28">
        <v>0</v>
      </c>
      <c r="W292" s="28">
        <v>0</v>
      </c>
      <c r="X292" s="151">
        <v>0</v>
      </c>
      <c r="Y292" s="136">
        <v>0</v>
      </c>
      <c r="Z292" s="152">
        <f t="shared" si="163"/>
        <v>0</v>
      </c>
      <c r="AA292" s="152">
        <v>0</v>
      </c>
      <c r="AB292" s="152">
        <v>0</v>
      </c>
      <c r="AC292" s="157">
        <v>0</v>
      </c>
      <c r="AD292" s="36"/>
      <c r="AE292" s="37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</row>
    <row r="293" spans="1:43" s="22" customFormat="1" ht="23.45" customHeight="1" outlineLevel="1" x14ac:dyDescent="0.2">
      <c r="A293" s="142" t="s">
        <v>643</v>
      </c>
      <c r="B293" s="127" t="s">
        <v>387</v>
      </c>
      <c r="C293" s="177">
        <f t="shared" si="159"/>
        <v>2.9499999999999997</v>
      </c>
      <c r="D293" s="28">
        <f t="shared" si="157"/>
        <v>737.49999999999989</v>
      </c>
      <c r="E293" s="17">
        <v>0</v>
      </c>
      <c r="F293" s="237">
        <f t="shared" si="160"/>
        <v>0</v>
      </c>
      <c r="G293" s="152">
        <v>0</v>
      </c>
      <c r="H293" s="152">
        <v>0</v>
      </c>
      <c r="I293" s="152">
        <v>0</v>
      </c>
      <c r="J293" s="17">
        <v>0</v>
      </c>
      <c r="K293" s="237">
        <f t="shared" si="158"/>
        <v>0</v>
      </c>
      <c r="L293" s="152">
        <v>0</v>
      </c>
      <c r="M293" s="152">
        <v>0</v>
      </c>
      <c r="N293" s="152">
        <v>0</v>
      </c>
      <c r="O293" s="136">
        <v>2.9499999999999997</v>
      </c>
      <c r="P293" s="28">
        <f t="shared" si="161"/>
        <v>737.49999999999989</v>
      </c>
      <c r="Q293" s="28">
        <v>0</v>
      </c>
      <c r="R293" s="28">
        <v>0</v>
      </c>
      <c r="S293" s="151">
        <v>737.49999999999989</v>
      </c>
      <c r="T293" s="136">
        <v>0</v>
      </c>
      <c r="U293" s="28">
        <f t="shared" si="162"/>
        <v>0</v>
      </c>
      <c r="V293" s="28">
        <v>0</v>
      </c>
      <c r="W293" s="28">
        <v>0</v>
      </c>
      <c r="X293" s="151">
        <v>0</v>
      </c>
      <c r="Y293" s="136">
        <v>0</v>
      </c>
      <c r="Z293" s="152">
        <f t="shared" si="163"/>
        <v>0</v>
      </c>
      <c r="AA293" s="152">
        <v>0</v>
      </c>
      <c r="AB293" s="152">
        <v>0</v>
      </c>
      <c r="AC293" s="157">
        <v>0</v>
      </c>
      <c r="AD293" s="36"/>
      <c r="AE293" s="37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</row>
    <row r="294" spans="1:43" s="22" customFormat="1" ht="22.15" customHeight="1" outlineLevel="1" x14ac:dyDescent="0.2">
      <c r="A294" s="142" t="s">
        <v>644</v>
      </c>
      <c r="B294" s="127" t="s">
        <v>923</v>
      </c>
      <c r="C294" s="177">
        <f t="shared" si="159"/>
        <v>3.35</v>
      </c>
      <c r="D294" s="28">
        <f t="shared" si="157"/>
        <v>837.5</v>
      </c>
      <c r="E294" s="17">
        <v>0</v>
      </c>
      <c r="F294" s="237">
        <f t="shared" si="160"/>
        <v>0</v>
      </c>
      <c r="G294" s="152">
        <v>0</v>
      </c>
      <c r="H294" s="152">
        <v>0</v>
      </c>
      <c r="I294" s="152">
        <v>0</v>
      </c>
      <c r="J294" s="17">
        <v>0</v>
      </c>
      <c r="K294" s="237">
        <f t="shared" si="158"/>
        <v>0</v>
      </c>
      <c r="L294" s="152">
        <v>0</v>
      </c>
      <c r="M294" s="152">
        <v>0</v>
      </c>
      <c r="N294" s="152">
        <v>0</v>
      </c>
      <c r="O294" s="136">
        <v>3.35</v>
      </c>
      <c r="P294" s="28">
        <f t="shared" si="161"/>
        <v>837.5</v>
      </c>
      <c r="Q294" s="28">
        <v>0</v>
      </c>
      <c r="R294" s="28">
        <v>0</v>
      </c>
      <c r="S294" s="151">
        <v>837.5</v>
      </c>
      <c r="T294" s="136">
        <v>0</v>
      </c>
      <c r="U294" s="28">
        <f t="shared" si="162"/>
        <v>0</v>
      </c>
      <c r="V294" s="28">
        <v>0</v>
      </c>
      <c r="W294" s="28">
        <v>0</v>
      </c>
      <c r="X294" s="151">
        <v>0</v>
      </c>
      <c r="Y294" s="136">
        <v>0</v>
      </c>
      <c r="Z294" s="152">
        <f t="shared" si="163"/>
        <v>0</v>
      </c>
      <c r="AA294" s="152">
        <v>0</v>
      </c>
      <c r="AB294" s="152">
        <v>0</v>
      </c>
      <c r="AC294" s="157">
        <v>0</v>
      </c>
      <c r="AD294" s="36"/>
      <c r="AE294" s="37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</row>
    <row r="295" spans="1:43" s="22" customFormat="1" ht="22.15" customHeight="1" outlineLevel="1" x14ac:dyDescent="0.2">
      <c r="A295" s="142" t="s">
        <v>645</v>
      </c>
      <c r="B295" s="127" t="s">
        <v>388</v>
      </c>
      <c r="C295" s="177">
        <f t="shared" si="159"/>
        <v>3.9000000000000004</v>
      </c>
      <c r="D295" s="28">
        <f t="shared" si="157"/>
        <v>975.00000000000011</v>
      </c>
      <c r="E295" s="17">
        <v>0</v>
      </c>
      <c r="F295" s="237">
        <f t="shared" si="160"/>
        <v>0</v>
      </c>
      <c r="G295" s="152">
        <v>0</v>
      </c>
      <c r="H295" s="152">
        <v>0</v>
      </c>
      <c r="I295" s="152">
        <v>0</v>
      </c>
      <c r="J295" s="17">
        <v>0</v>
      </c>
      <c r="K295" s="237">
        <f t="shared" si="158"/>
        <v>0</v>
      </c>
      <c r="L295" s="152">
        <v>0</v>
      </c>
      <c r="M295" s="152">
        <v>0</v>
      </c>
      <c r="N295" s="152">
        <v>0</v>
      </c>
      <c r="O295" s="136">
        <v>3.9000000000000004</v>
      </c>
      <c r="P295" s="28">
        <f t="shared" si="161"/>
        <v>975.00000000000011</v>
      </c>
      <c r="Q295" s="28">
        <v>0</v>
      </c>
      <c r="R295" s="28">
        <v>0</v>
      </c>
      <c r="S295" s="151">
        <v>975.00000000000011</v>
      </c>
      <c r="T295" s="136">
        <v>0</v>
      </c>
      <c r="U295" s="28">
        <f t="shared" si="162"/>
        <v>0</v>
      </c>
      <c r="V295" s="28">
        <v>0</v>
      </c>
      <c r="W295" s="28">
        <v>0</v>
      </c>
      <c r="X295" s="151">
        <v>0</v>
      </c>
      <c r="Y295" s="136">
        <v>0</v>
      </c>
      <c r="Z295" s="152">
        <f t="shared" si="163"/>
        <v>0</v>
      </c>
      <c r="AA295" s="152">
        <v>0</v>
      </c>
      <c r="AB295" s="152">
        <v>0</v>
      </c>
      <c r="AC295" s="157">
        <v>0</v>
      </c>
      <c r="AD295" s="36"/>
      <c r="AE295" s="37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</row>
    <row r="296" spans="1:43" s="22" customFormat="1" ht="46.9" customHeight="1" outlineLevel="1" x14ac:dyDescent="0.2">
      <c r="A296" s="142" t="s">
        <v>646</v>
      </c>
      <c r="B296" s="127" t="s">
        <v>489</v>
      </c>
      <c r="C296" s="177">
        <f t="shared" si="159"/>
        <v>1.25</v>
      </c>
      <c r="D296" s="28">
        <f t="shared" si="157"/>
        <v>312.5</v>
      </c>
      <c r="E296" s="17">
        <v>0</v>
      </c>
      <c r="F296" s="237">
        <f t="shared" si="160"/>
        <v>0</v>
      </c>
      <c r="G296" s="152">
        <v>0</v>
      </c>
      <c r="H296" s="152">
        <v>0</v>
      </c>
      <c r="I296" s="152">
        <v>0</v>
      </c>
      <c r="J296" s="17">
        <v>0</v>
      </c>
      <c r="K296" s="237">
        <f t="shared" si="158"/>
        <v>0</v>
      </c>
      <c r="L296" s="152">
        <v>0</v>
      </c>
      <c r="M296" s="152">
        <v>0</v>
      </c>
      <c r="N296" s="152">
        <v>0</v>
      </c>
      <c r="O296" s="136">
        <v>1.25</v>
      </c>
      <c r="P296" s="28">
        <f t="shared" si="161"/>
        <v>312.5</v>
      </c>
      <c r="Q296" s="28">
        <v>0</v>
      </c>
      <c r="R296" s="28">
        <v>0</v>
      </c>
      <c r="S296" s="151">
        <v>312.5</v>
      </c>
      <c r="T296" s="136">
        <v>0</v>
      </c>
      <c r="U296" s="28">
        <f t="shared" si="162"/>
        <v>0</v>
      </c>
      <c r="V296" s="28">
        <v>0</v>
      </c>
      <c r="W296" s="28">
        <v>0</v>
      </c>
      <c r="X296" s="151">
        <v>0</v>
      </c>
      <c r="Y296" s="136">
        <v>0</v>
      </c>
      <c r="Z296" s="152">
        <f t="shared" si="163"/>
        <v>0</v>
      </c>
      <c r="AA296" s="152">
        <v>0</v>
      </c>
      <c r="AB296" s="152">
        <v>0</v>
      </c>
      <c r="AC296" s="157">
        <v>0</v>
      </c>
      <c r="AD296" s="36"/>
      <c r="AE296" s="37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</row>
    <row r="297" spans="1:43" s="22" customFormat="1" ht="46.9" customHeight="1" outlineLevel="1" x14ac:dyDescent="0.2">
      <c r="A297" s="142" t="s">
        <v>647</v>
      </c>
      <c r="B297" s="127" t="s">
        <v>490</v>
      </c>
      <c r="C297" s="177">
        <f t="shared" si="159"/>
        <v>1.25</v>
      </c>
      <c r="D297" s="28">
        <f t="shared" si="157"/>
        <v>312.5</v>
      </c>
      <c r="E297" s="17">
        <v>0</v>
      </c>
      <c r="F297" s="237">
        <f t="shared" si="160"/>
        <v>0</v>
      </c>
      <c r="G297" s="152">
        <v>0</v>
      </c>
      <c r="H297" s="152">
        <v>0</v>
      </c>
      <c r="I297" s="152">
        <v>0</v>
      </c>
      <c r="J297" s="17">
        <v>0</v>
      </c>
      <c r="K297" s="237">
        <f t="shared" si="158"/>
        <v>0</v>
      </c>
      <c r="L297" s="152">
        <v>0</v>
      </c>
      <c r="M297" s="152">
        <v>0</v>
      </c>
      <c r="N297" s="152">
        <v>0</v>
      </c>
      <c r="O297" s="136">
        <v>1.25</v>
      </c>
      <c r="P297" s="28">
        <f t="shared" si="161"/>
        <v>312.5</v>
      </c>
      <c r="Q297" s="28">
        <v>0</v>
      </c>
      <c r="R297" s="28">
        <v>0</v>
      </c>
      <c r="S297" s="151">
        <v>312.5</v>
      </c>
      <c r="T297" s="136">
        <v>0</v>
      </c>
      <c r="U297" s="28">
        <f t="shared" si="162"/>
        <v>0</v>
      </c>
      <c r="V297" s="28">
        <v>0</v>
      </c>
      <c r="W297" s="28">
        <v>0</v>
      </c>
      <c r="X297" s="151">
        <v>0</v>
      </c>
      <c r="Y297" s="136">
        <v>0</v>
      </c>
      <c r="Z297" s="152">
        <f t="shared" si="163"/>
        <v>0</v>
      </c>
      <c r="AA297" s="152">
        <v>0</v>
      </c>
      <c r="AB297" s="152">
        <v>0</v>
      </c>
      <c r="AC297" s="157">
        <v>0</v>
      </c>
      <c r="AD297" s="36"/>
      <c r="AE297" s="37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</row>
    <row r="298" spans="1:43" s="146" customFormat="1" ht="25.9" customHeight="1" x14ac:dyDescent="0.2">
      <c r="A298" s="143"/>
      <c r="B298" s="128" t="s">
        <v>487</v>
      </c>
      <c r="C298" s="133">
        <f>SUM(C141,C274,C271)</f>
        <v>325.22000000000008</v>
      </c>
      <c r="D298" s="137">
        <f>SUM(D141,D274,D271)</f>
        <v>81842.699999999983</v>
      </c>
      <c r="E298" s="133">
        <f t="shared" ref="E298:AC298" si="178">SUM(E141,E274,E271)</f>
        <v>0</v>
      </c>
      <c r="F298" s="148">
        <f t="shared" si="178"/>
        <v>0</v>
      </c>
      <c r="G298" s="148">
        <f t="shared" si="178"/>
        <v>0</v>
      </c>
      <c r="H298" s="148">
        <f t="shared" si="178"/>
        <v>0</v>
      </c>
      <c r="I298" s="148">
        <f t="shared" si="178"/>
        <v>0</v>
      </c>
      <c r="J298" s="153">
        <f t="shared" si="178"/>
        <v>0</v>
      </c>
      <c r="K298" s="148">
        <f t="shared" si="158"/>
        <v>0</v>
      </c>
      <c r="L298" s="148">
        <f t="shared" si="178"/>
        <v>0</v>
      </c>
      <c r="M298" s="148">
        <f t="shared" si="178"/>
        <v>0</v>
      </c>
      <c r="N298" s="148">
        <f t="shared" si="178"/>
        <v>0</v>
      </c>
      <c r="O298" s="137">
        <f t="shared" si="178"/>
        <v>74.500000000000014</v>
      </c>
      <c r="P298" s="154">
        <f t="shared" si="161"/>
        <v>19227.5</v>
      </c>
      <c r="Q298" s="154">
        <f t="shared" si="178"/>
        <v>0</v>
      </c>
      <c r="R298" s="154">
        <f t="shared" si="178"/>
        <v>0</v>
      </c>
      <c r="S298" s="154">
        <f t="shared" si="178"/>
        <v>19227.5</v>
      </c>
      <c r="T298" s="137">
        <f>SUM(T141,T274,T271)</f>
        <v>115.18</v>
      </c>
      <c r="U298" s="154">
        <f t="shared" si="162"/>
        <v>28767.399999999987</v>
      </c>
      <c r="V298" s="154">
        <f t="shared" si="178"/>
        <v>0</v>
      </c>
      <c r="W298" s="154">
        <f t="shared" si="178"/>
        <v>0</v>
      </c>
      <c r="X298" s="154">
        <f t="shared" si="178"/>
        <v>28767.399999999987</v>
      </c>
      <c r="Y298" s="137">
        <f>SUM(Y141,Y274,Y271)</f>
        <v>135.53999999999996</v>
      </c>
      <c r="Z298" s="148">
        <f t="shared" si="178"/>
        <v>33847.799999999988</v>
      </c>
      <c r="AA298" s="156">
        <f t="shared" si="178"/>
        <v>0</v>
      </c>
      <c r="AB298" s="156">
        <f t="shared" si="178"/>
        <v>0</v>
      </c>
      <c r="AC298" s="148">
        <f t="shared" si="178"/>
        <v>33847.799999999988</v>
      </c>
      <c r="AD298" s="144"/>
      <c r="AE298" s="145"/>
    </row>
    <row r="299" spans="1:43" s="22" customFormat="1" ht="24" customHeight="1" x14ac:dyDescent="0.2">
      <c r="A299" s="147" t="s">
        <v>494</v>
      </c>
      <c r="B299" s="129" t="s">
        <v>389</v>
      </c>
      <c r="C299" s="134"/>
      <c r="D299" s="28"/>
      <c r="E299" s="17"/>
      <c r="F299" s="237"/>
      <c r="G299" s="141"/>
      <c r="H299" s="141"/>
      <c r="I299" s="141"/>
      <c r="J299" s="139"/>
      <c r="K299" s="237">
        <f t="shared" si="158"/>
        <v>0</v>
      </c>
      <c r="L299" s="141"/>
      <c r="M299" s="141"/>
      <c r="N299" s="141"/>
      <c r="O299" s="138"/>
      <c r="P299" s="17"/>
      <c r="Q299" s="140"/>
      <c r="R299" s="140"/>
      <c r="S299" s="134"/>
      <c r="T299" s="134"/>
      <c r="U299" s="28"/>
      <c r="V299" s="140"/>
      <c r="W299" s="140"/>
      <c r="X299" s="155"/>
      <c r="Y299" s="134"/>
      <c r="Z299" s="152"/>
      <c r="AA299" s="152"/>
      <c r="AB299" s="152"/>
      <c r="AC299" s="158"/>
      <c r="AD299" s="36"/>
      <c r="AE299" s="37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</row>
    <row r="300" spans="1:43" s="22" customFormat="1" ht="34.15" customHeight="1" outlineLevel="1" x14ac:dyDescent="0.2">
      <c r="A300" s="143"/>
      <c r="B300" s="130" t="s">
        <v>484</v>
      </c>
      <c r="C300" s="135">
        <f>SUM(C301:C305)</f>
        <v>14.030000000000001</v>
      </c>
      <c r="D300" s="135">
        <f t="shared" ref="D300:AC300" si="179">SUM(D301:D305)</f>
        <v>4347.8</v>
      </c>
      <c r="E300" s="135">
        <f t="shared" si="179"/>
        <v>0</v>
      </c>
      <c r="F300" s="149">
        <f t="shared" si="179"/>
        <v>0</v>
      </c>
      <c r="G300" s="149">
        <f t="shared" si="179"/>
        <v>0</v>
      </c>
      <c r="H300" s="149">
        <f t="shared" si="179"/>
        <v>0</v>
      </c>
      <c r="I300" s="149">
        <f t="shared" si="179"/>
        <v>0</v>
      </c>
      <c r="J300" s="135">
        <f t="shared" si="179"/>
        <v>0</v>
      </c>
      <c r="K300" s="149">
        <f t="shared" si="158"/>
        <v>0</v>
      </c>
      <c r="L300" s="149">
        <f t="shared" si="179"/>
        <v>0</v>
      </c>
      <c r="M300" s="149">
        <f t="shared" si="179"/>
        <v>0</v>
      </c>
      <c r="N300" s="149">
        <f t="shared" si="179"/>
        <v>0</v>
      </c>
      <c r="O300" s="135">
        <f t="shared" si="179"/>
        <v>0</v>
      </c>
      <c r="P300" s="28">
        <f t="shared" si="161"/>
        <v>0</v>
      </c>
      <c r="Q300" s="150">
        <f t="shared" si="179"/>
        <v>0</v>
      </c>
      <c r="R300" s="150">
        <f t="shared" si="179"/>
        <v>0</v>
      </c>
      <c r="S300" s="150">
        <f t="shared" si="179"/>
        <v>0</v>
      </c>
      <c r="T300" s="132">
        <f t="shared" si="179"/>
        <v>14.030000000000001</v>
      </c>
      <c r="U300" s="28">
        <f t="shared" si="162"/>
        <v>4347.8</v>
      </c>
      <c r="V300" s="150">
        <f t="shared" si="179"/>
        <v>0</v>
      </c>
      <c r="W300" s="150">
        <f t="shared" si="179"/>
        <v>0</v>
      </c>
      <c r="X300" s="150">
        <f t="shared" si="179"/>
        <v>4347.8</v>
      </c>
      <c r="Y300" s="132">
        <f t="shared" si="179"/>
        <v>0</v>
      </c>
      <c r="Z300" s="152">
        <f t="shared" si="179"/>
        <v>0</v>
      </c>
      <c r="AA300" s="157">
        <f t="shared" si="179"/>
        <v>0</v>
      </c>
      <c r="AB300" s="157">
        <f t="shared" si="179"/>
        <v>0</v>
      </c>
      <c r="AC300" s="149">
        <f t="shared" si="179"/>
        <v>0</v>
      </c>
      <c r="AD300" s="36"/>
      <c r="AE300" s="37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</row>
    <row r="301" spans="1:43" s="22" customFormat="1" ht="27" customHeight="1" outlineLevel="1" x14ac:dyDescent="0.2">
      <c r="A301" s="142" t="s">
        <v>648</v>
      </c>
      <c r="B301" s="71" t="s">
        <v>391</v>
      </c>
      <c r="C301" s="177">
        <f t="shared" ref="C301:C366" si="180">E301+J301+O301+T301+Y301</f>
        <v>4.2300000000000004</v>
      </c>
      <c r="D301" s="28">
        <f t="shared" si="157"/>
        <v>1309.8</v>
      </c>
      <c r="E301" s="17">
        <v>0</v>
      </c>
      <c r="F301" s="237">
        <f t="shared" si="160"/>
        <v>0</v>
      </c>
      <c r="G301" s="152">
        <v>0</v>
      </c>
      <c r="H301" s="152">
        <v>0</v>
      </c>
      <c r="I301" s="152">
        <v>0</v>
      </c>
      <c r="J301" s="17">
        <v>0</v>
      </c>
      <c r="K301" s="237">
        <f t="shared" si="158"/>
        <v>0</v>
      </c>
      <c r="L301" s="152">
        <v>0</v>
      </c>
      <c r="M301" s="152">
        <v>0</v>
      </c>
      <c r="N301" s="152">
        <v>0</v>
      </c>
      <c r="O301" s="136">
        <v>0</v>
      </c>
      <c r="P301" s="28">
        <f t="shared" si="161"/>
        <v>0</v>
      </c>
      <c r="Q301" s="28">
        <v>0</v>
      </c>
      <c r="R301" s="28">
        <v>0</v>
      </c>
      <c r="S301" s="151">
        <v>0</v>
      </c>
      <c r="T301" s="136">
        <f>ROUND(4.225,2)</f>
        <v>4.2300000000000004</v>
      </c>
      <c r="U301" s="28">
        <f t="shared" si="162"/>
        <v>1309.8</v>
      </c>
      <c r="V301" s="28">
        <v>0</v>
      </c>
      <c r="W301" s="28">
        <v>0</v>
      </c>
      <c r="X301" s="151">
        <f>ROUND(1309.75,1)</f>
        <v>1309.8</v>
      </c>
      <c r="Y301" s="136">
        <v>0</v>
      </c>
      <c r="Z301" s="152">
        <f t="shared" si="163"/>
        <v>0</v>
      </c>
      <c r="AA301" s="152">
        <v>0</v>
      </c>
      <c r="AB301" s="152">
        <v>0</v>
      </c>
      <c r="AC301" s="157">
        <v>0</v>
      </c>
      <c r="AD301" s="36"/>
      <c r="AE301" s="37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</row>
    <row r="302" spans="1:43" s="22" customFormat="1" ht="37.9" customHeight="1" outlineLevel="1" x14ac:dyDescent="0.2">
      <c r="A302" s="142" t="s">
        <v>649</v>
      </c>
      <c r="B302" s="71" t="s">
        <v>392</v>
      </c>
      <c r="C302" s="177">
        <f t="shared" si="180"/>
        <v>1</v>
      </c>
      <c r="D302" s="28">
        <f t="shared" si="157"/>
        <v>310</v>
      </c>
      <c r="E302" s="17">
        <v>0</v>
      </c>
      <c r="F302" s="237">
        <f t="shared" si="160"/>
        <v>0</v>
      </c>
      <c r="G302" s="152">
        <v>0</v>
      </c>
      <c r="H302" s="152">
        <v>0</v>
      </c>
      <c r="I302" s="152">
        <v>0</v>
      </c>
      <c r="J302" s="17">
        <v>0</v>
      </c>
      <c r="K302" s="237">
        <f t="shared" si="158"/>
        <v>0</v>
      </c>
      <c r="L302" s="152">
        <v>0</v>
      </c>
      <c r="M302" s="152">
        <v>0</v>
      </c>
      <c r="N302" s="152">
        <v>0</v>
      </c>
      <c r="O302" s="136">
        <v>0</v>
      </c>
      <c r="P302" s="28">
        <f t="shared" si="161"/>
        <v>0</v>
      </c>
      <c r="Q302" s="28">
        <v>0</v>
      </c>
      <c r="R302" s="28">
        <v>0</v>
      </c>
      <c r="S302" s="151">
        <v>0</v>
      </c>
      <c r="T302" s="136">
        <v>1</v>
      </c>
      <c r="U302" s="28">
        <f t="shared" si="162"/>
        <v>310</v>
      </c>
      <c r="V302" s="28">
        <v>0</v>
      </c>
      <c r="W302" s="28">
        <v>0</v>
      </c>
      <c r="X302" s="151">
        <v>310</v>
      </c>
      <c r="Y302" s="136">
        <v>0</v>
      </c>
      <c r="Z302" s="152">
        <f t="shared" si="163"/>
        <v>0</v>
      </c>
      <c r="AA302" s="152">
        <v>0</v>
      </c>
      <c r="AB302" s="152">
        <v>0</v>
      </c>
      <c r="AC302" s="157">
        <v>0</v>
      </c>
      <c r="AD302" s="36"/>
      <c r="AE302" s="37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</row>
    <row r="303" spans="1:43" s="22" customFormat="1" ht="46.9" customHeight="1" outlineLevel="1" x14ac:dyDescent="0.2">
      <c r="A303" s="142" t="s">
        <v>650</v>
      </c>
      <c r="B303" s="71" t="s">
        <v>455</v>
      </c>
      <c r="C303" s="177">
        <f t="shared" si="180"/>
        <v>1</v>
      </c>
      <c r="D303" s="28">
        <f t="shared" si="157"/>
        <v>310</v>
      </c>
      <c r="E303" s="17">
        <v>0</v>
      </c>
      <c r="F303" s="237">
        <f t="shared" si="160"/>
        <v>0</v>
      </c>
      <c r="G303" s="152">
        <v>0</v>
      </c>
      <c r="H303" s="152">
        <v>0</v>
      </c>
      <c r="I303" s="152">
        <v>0</v>
      </c>
      <c r="J303" s="17">
        <v>0</v>
      </c>
      <c r="K303" s="237">
        <f t="shared" si="158"/>
        <v>0</v>
      </c>
      <c r="L303" s="152">
        <v>0</v>
      </c>
      <c r="M303" s="152">
        <v>0</v>
      </c>
      <c r="N303" s="152">
        <v>0</v>
      </c>
      <c r="O303" s="136">
        <v>0</v>
      </c>
      <c r="P303" s="28">
        <f t="shared" si="161"/>
        <v>0</v>
      </c>
      <c r="Q303" s="28">
        <v>0</v>
      </c>
      <c r="R303" s="28">
        <v>0</v>
      </c>
      <c r="S303" s="151">
        <v>0</v>
      </c>
      <c r="T303" s="136">
        <v>1</v>
      </c>
      <c r="U303" s="28">
        <f t="shared" si="162"/>
        <v>310</v>
      </c>
      <c r="V303" s="28">
        <v>0</v>
      </c>
      <c r="W303" s="28">
        <v>0</v>
      </c>
      <c r="X303" s="151">
        <v>310</v>
      </c>
      <c r="Y303" s="136">
        <v>0</v>
      </c>
      <c r="Z303" s="152">
        <f t="shared" si="163"/>
        <v>0</v>
      </c>
      <c r="AA303" s="152">
        <v>0</v>
      </c>
      <c r="AB303" s="152">
        <v>0</v>
      </c>
      <c r="AC303" s="157">
        <v>0</v>
      </c>
      <c r="AD303" s="36"/>
      <c r="AE303" s="37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</row>
    <row r="304" spans="1:43" s="22" customFormat="1" ht="28.15" customHeight="1" outlineLevel="1" x14ac:dyDescent="0.2">
      <c r="A304" s="142" t="s">
        <v>651</v>
      </c>
      <c r="B304" s="71" t="s">
        <v>456</v>
      </c>
      <c r="C304" s="177">
        <f t="shared" si="180"/>
        <v>3.3000000000000003</v>
      </c>
      <c r="D304" s="28">
        <f t="shared" si="157"/>
        <v>1023.0000000000001</v>
      </c>
      <c r="E304" s="17">
        <v>0</v>
      </c>
      <c r="F304" s="237">
        <f t="shared" si="160"/>
        <v>0</v>
      </c>
      <c r="G304" s="152">
        <v>0</v>
      </c>
      <c r="H304" s="152">
        <v>0</v>
      </c>
      <c r="I304" s="152">
        <v>0</v>
      </c>
      <c r="J304" s="17">
        <v>0</v>
      </c>
      <c r="K304" s="237">
        <f t="shared" si="158"/>
        <v>0</v>
      </c>
      <c r="L304" s="152">
        <v>0</v>
      </c>
      <c r="M304" s="152">
        <v>0</v>
      </c>
      <c r="N304" s="152">
        <v>0</v>
      </c>
      <c r="O304" s="136">
        <v>0</v>
      </c>
      <c r="P304" s="28">
        <f t="shared" si="161"/>
        <v>0</v>
      </c>
      <c r="Q304" s="28">
        <v>0</v>
      </c>
      <c r="R304" s="28">
        <v>0</v>
      </c>
      <c r="S304" s="151">
        <v>0</v>
      </c>
      <c r="T304" s="136">
        <v>3.3000000000000003</v>
      </c>
      <c r="U304" s="28">
        <f t="shared" si="162"/>
        <v>1023.0000000000001</v>
      </c>
      <c r="V304" s="28">
        <v>0</v>
      </c>
      <c r="W304" s="28">
        <v>0</v>
      </c>
      <c r="X304" s="151">
        <v>1023.0000000000001</v>
      </c>
      <c r="Y304" s="136">
        <v>0</v>
      </c>
      <c r="Z304" s="152">
        <f t="shared" si="163"/>
        <v>0</v>
      </c>
      <c r="AA304" s="152">
        <v>0</v>
      </c>
      <c r="AB304" s="152">
        <v>0</v>
      </c>
      <c r="AC304" s="157">
        <v>0</v>
      </c>
      <c r="AD304" s="36"/>
      <c r="AE304" s="37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</row>
    <row r="305" spans="1:43" s="22" customFormat="1" ht="28.15" customHeight="1" outlineLevel="1" x14ac:dyDescent="0.2">
      <c r="A305" s="142" t="s">
        <v>652</v>
      </c>
      <c r="B305" s="71" t="s">
        <v>486</v>
      </c>
      <c r="C305" s="177">
        <f t="shared" si="180"/>
        <v>4.5</v>
      </c>
      <c r="D305" s="28">
        <f t="shared" si="157"/>
        <v>1395</v>
      </c>
      <c r="E305" s="17">
        <v>0</v>
      </c>
      <c r="F305" s="237">
        <f t="shared" si="160"/>
        <v>0</v>
      </c>
      <c r="G305" s="152">
        <v>0</v>
      </c>
      <c r="H305" s="152">
        <v>0</v>
      </c>
      <c r="I305" s="152">
        <v>0</v>
      </c>
      <c r="J305" s="17">
        <v>0</v>
      </c>
      <c r="K305" s="237">
        <f t="shared" si="158"/>
        <v>0</v>
      </c>
      <c r="L305" s="152">
        <v>0</v>
      </c>
      <c r="M305" s="152">
        <v>0</v>
      </c>
      <c r="N305" s="152">
        <v>0</v>
      </c>
      <c r="O305" s="136">
        <v>0</v>
      </c>
      <c r="P305" s="28">
        <f t="shared" si="161"/>
        <v>0</v>
      </c>
      <c r="Q305" s="28">
        <v>0</v>
      </c>
      <c r="R305" s="28">
        <v>0</v>
      </c>
      <c r="S305" s="151">
        <v>0</v>
      </c>
      <c r="T305" s="136">
        <v>4.5</v>
      </c>
      <c r="U305" s="28">
        <f t="shared" si="162"/>
        <v>1395</v>
      </c>
      <c r="V305" s="28">
        <v>0</v>
      </c>
      <c r="W305" s="28">
        <v>0</v>
      </c>
      <c r="X305" s="151">
        <v>1395</v>
      </c>
      <c r="Y305" s="136">
        <v>0</v>
      </c>
      <c r="Z305" s="152">
        <f t="shared" si="163"/>
        <v>0</v>
      </c>
      <c r="AA305" s="152">
        <v>0</v>
      </c>
      <c r="AB305" s="152">
        <v>0</v>
      </c>
      <c r="AC305" s="157">
        <v>0</v>
      </c>
      <c r="AD305" s="36"/>
      <c r="AE305" s="37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</row>
    <row r="306" spans="1:43" s="22" customFormat="1" ht="28.9" customHeight="1" outlineLevel="1" x14ac:dyDescent="0.2">
      <c r="A306" s="142"/>
      <c r="B306" s="130" t="s">
        <v>483</v>
      </c>
      <c r="C306" s="135">
        <f>SUM(C307:C312)</f>
        <v>22.95</v>
      </c>
      <c r="D306" s="135">
        <f t="shared" ref="D306:AC306" si="181">SUM(D307:D312)</f>
        <v>7344</v>
      </c>
      <c r="E306" s="135">
        <f t="shared" si="181"/>
        <v>0</v>
      </c>
      <c r="F306" s="149">
        <f t="shared" si="181"/>
        <v>0</v>
      </c>
      <c r="G306" s="149">
        <f t="shared" si="181"/>
        <v>0</v>
      </c>
      <c r="H306" s="149">
        <f t="shared" si="181"/>
        <v>0</v>
      </c>
      <c r="I306" s="149">
        <f t="shared" si="181"/>
        <v>0</v>
      </c>
      <c r="J306" s="135">
        <f t="shared" si="181"/>
        <v>0</v>
      </c>
      <c r="K306" s="149">
        <f t="shared" si="158"/>
        <v>0</v>
      </c>
      <c r="L306" s="149">
        <f t="shared" si="181"/>
        <v>0</v>
      </c>
      <c r="M306" s="149">
        <f t="shared" si="181"/>
        <v>0</v>
      </c>
      <c r="N306" s="149">
        <f t="shared" si="181"/>
        <v>0</v>
      </c>
      <c r="O306" s="135">
        <f t="shared" si="181"/>
        <v>22.95</v>
      </c>
      <c r="P306" s="28">
        <f t="shared" si="161"/>
        <v>7344</v>
      </c>
      <c r="Q306" s="150">
        <f>SUM(Q307:Q312)</f>
        <v>0</v>
      </c>
      <c r="R306" s="150">
        <f>SUM(R307:R312)</f>
        <v>0</v>
      </c>
      <c r="S306" s="150">
        <f t="shared" si="181"/>
        <v>7344</v>
      </c>
      <c r="T306" s="132">
        <f t="shared" si="181"/>
        <v>0</v>
      </c>
      <c r="U306" s="28">
        <f t="shared" si="162"/>
        <v>0</v>
      </c>
      <c r="V306" s="150">
        <f t="shared" si="181"/>
        <v>0</v>
      </c>
      <c r="W306" s="150">
        <f t="shared" si="181"/>
        <v>0</v>
      </c>
      <c r="X306" s="150">
        <f t="shared" si="181"/>
        <v>0</v>
      </c>
      <c r="Y306" s="132">
        <f t="shared" si="181"/>
        <v>0</v>
      </c>
      <c r="Z306" s="152">
        <f t="shared" si="181"/>
        <v>0</v>
      </c>
      <c r="AA306" s="157">
        <f t="shared" si="181"/>
        <v>0</v>
      </c>
      <c r="AB306" s="157">
        <f t="shared" si="181"/>
        <v>0</v>
      </c>
      <c r="AC306" s="149">
        <f t="shared" si="181"/>
        <v>0</v>
      </c>
      <c r="AD306" s="36"/>
      <c r="AE306" s="37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</row>
    <row r="307" spans="1:43" s="22" customFormat="1" ht="27" customHeight="1" outlineLevel="1" x14ac:dyDescent="0.2">
      <c r="A307" s="142" t="s">
        <v>653</v>
      </c>
      <c r="B307" s="71" t="s">
        <v>482</v>
      </c>
      <c r="C307" s="177">
        <f t="shared" si="180"/>
        <v>2.15</v>
      </c>
      <c r="D307" s="28">
        <f t="shared" si="157"/>
        <v>688</v>
      </c>
      <c r="E307" s="17">
        <v>0</v>
      </c>
      <c r="F307" s="237">
        <f t="shared" si="160"/>
        <v>0</v>
      </c>
      <c r="G307" s="152">
        <v>0</v>
      </c>
      <c r="H307" s="152">
        <v>0</v>
      </c>
      <c r="I307" s="152">
        <v>0</v>
      </c>
      <c r="J307" s="17">
        <v>0</v>
      </c>
      <c r="K307" s="237">
        <f t="shared" si="158"/>
        <v>0</v>
      </c>
      <c r="L307" s="152">
        <v>0</v>
      </c>
      <c r="M307" s="152">
        <v>0</v>
      </c>
      <c r="N307" s="152">
        <v>0</v>
      </c>
      <c r="O307" s="136">
        <v>2.15</v>
      </c>
      <c r="P307" s="28">
        <f t="shared" ref="P307:P312" si="182">Q307+R307+S307</f>
        <v>688</v>
      </c>
      <c r="Q307" s="28">
        <v>0</v>
      </c>
      <c r="R307" s="28">
        <v>0</v>
      </c>
      <c r="S307" s="151">
        <v>688</v>
      </c>
      <c r="T307" s="136">
        <v>0</v>
      </c>
      <c r="U307" s="28">
        <f t="shared" si="162"/>
        <v>0</v>
      </c>
      <c r="V307" s="28">
        <v>0</v>
      </c>
      <c r="W307" s="28">
        <v>0</v>
      </c>
      <c r="X307" s="151">
        <v>0</v>
      </c>
      <c r="Y307" s="136">
        <v>0</v>
      </c>
      <c r="Z307" s="152">
        <f t="shared" si="163"/>
        <v>0</v>
      </c>
      <c r="AA307" s="152">
        <v>0</v>
      </c>
      <c r="AB307" s="152">
        <v>0</v>
      </c>
      <c r="AC307" s="157">
        <v>0</v>
      </c>
      <c r="AD307" s="36"/>
      <c r="AE307" s="37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</row>
    <row r="308" spans="1:43" s="22" customFormat="1" ht="22.15" customHeight="1" outlineLevel="1" x14ac:dyDescent="0.2">
      <c r="A308" s="142" t="s">
        <v>654</v>
      </c>
      <c r="B308" s="71" t="s">
        <v>393</v>
      </c>
      <c r="C308" s="177">
        <f t="shared" si="180"/>
        <v>7</v>
      </c>
      <c r="D308" s="28">
        <f t="shared" si="157"/>
        <v>2240</v>
      </c>
      <c r="E308" s="17">
        <v>0</v>
      </c>
      <c r="F308" s="237">
        <f t="shared" si="160"/>
        <v>0</v>
      </c>
      <c r="G308" s="152">
        <v>0</v>
      </c>
      <c r="H308" s="152">
        <v>0</v>
      </c>
      <c r="I308" s="152">
        <v>0</v>
      </c>
      <c r="J308" s="17">
        <v>0</v>
      </c>
      <c r="K308" s="237">
        <f t="shared" si="158"/>
        <v>0</v>
      </c>
      <c r="L308" s="152">
        <v>0</v>
      </c>
      <c r="M308" s="152">
        <v>0</v>
      </c>
      <c r="N308" s="152">
        <v>0</v>
      </c>
      <c r="O308" s="136">
        <v>7</v>
      </c>
      <c r="P308" s="28">
        <f t="shared" si="182"/>
        <v>2240</v>
      </c>
      <c r="Q308" s="28">
        <v>0</v>
      </c>
      <c r="R308" s="28">
        <v>0</v>
      </c>
      <c r="S308" s="151">
        <v>2240</v>
      </c>
      <c r="T308" s="136">
        <v>0</v>
      </c>
      <c r="U308" s="28">
        <f t="shared" si="162"/>
        <v>0</v>
      </c>
      <c r="V308" s="28">
        <v>0</v>
      </c>
      <c r="W308" s="28">
        <v>0</v>
      </c>
      <c r="X308" s="151">
        <v>0</v>
      </c>
      <c r="Y308" s="136">
        <v>0</v>
      </c>
      <c r="Z308" s="152">
        <f t="shared" si="163"/>
        <v>0</v>
      </c>
      <c r="AA308" s="152">
        <v>0</v>
      </c>
      <c r="AB308" s="152">
        <v>0</v>
      </c>
      <c r="AC308" s="157">
        <v>0</v>
      </c>
      <c r="AD308" s="36"/>
      <c r="AE308" s="37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</row>
    <row r="309" spans="1:43" s="22" customFormat="1" ht="26.45" customHeight="1" outlineLevel="1" x14ac:dyDescent="0.2">
      <c r="A309" s="142" t="s">
        <v>655</v>
      </c>
      <c r="B309" s="71" t="s">
        <v>394</v>
      </c>
      <c r="C309" s="177">
        <f t="shared" si="180"/>
        <v>3.75</v>
      </c>
      <c r="D309" s="28">
        <f t="shared" si="157"/>
        <v>1200</v>
      </c>
      <c r="E309" s="17">
        <v>0</v>
      </c>
      <c r="F309" s="237">
        <f t="shared" si="160"/>
        <v>0</v>
      </c>
      <c r="G309" s="152">
        <v>0</v>
      </c>
      <c r="H309" s="152">
        <v>0</v>
      </c>
      <c r="I309" s="152">
        <v>0</v>
      </c>
      <c r="J309" s="17">
        <v>0</v>
      </c>
      <c r="K309" s="237">
        <f t="shared" si="158"/>
        <v>0</v>
      </c>
      <c r="L309" s="152">
        <v>0</v>
      </c>
      <c r="M309" s="152">
        <v>0</v>
      </c>
      <c r="N309" s="152">
        <v>0</v>
      </c>
      <c r="O309" s="136">
        <v>3.75</v>
      </c>
      <c r="P309" s="28">
        <f t="shared" si="182"/>
        <v>1200</v>
      </c>
      <c r="Q309" s="28">
        <v>0</v>
      </c>
      <c r="R309" s="28">
        <v>0</v>
      </c>
      <c r="S309" s="151">
        <v>1200</v>
      </c>
      <c r="T309" s="136">
        <v>0</v>
      </c>
      <c r="U309" s="28">
        <f t="shared" si="162"/>
        <v>0</v>
      </c>
      <c r="V309" s="28">
        <v>0</v>
      </c>
      <c r="W309" s="28">
        <v>0</v>
      </c>
      <c r="X309" s="151">
        <v>0</v>
      </c>
      <c r="Y309" s="136">
        <v>0</v>
      </c>
      <c r="Z309" s="152">
        <f t="shared" si="163"/>
        <v>0</v>
      </c>
      <c r="AA309" s="152">
        <v>0</v>
      </c>
      <c r="AB309" s="152">
        <v>0</v>
      </c>
      <c r="AC309" s="157">
        <v>0</v>
      </c>
      <c r="AD309" s="36"/>
      <c r="AE309" s="37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</row>
    <row r="310" spans="1:43" s="22" customFormat="1" ht="21" customHeight="1" outlineLevel="1" x14ac:dyDescent="0.2">
      <c r="A310" s="142" t="s">
        <v>656</v>
      </c>
      <c r="B310" s="71" t="s">
        <v>395</v>
      </c>
      <c r="C310" s="177">
        <f t="shared" si="180"/>
        <v>4</v>
      </c>
      <c r="D310" s="28">
        <f t="shared" si="157"/>
        <v>1280</v>
      </c>
      <c r="E310" s="17">
        <v>0</v>
      </c>
      <c r="F310" s="237">
        <f t="shared" si="160"/>
        <v>0</v>
      </c>
      <c r="G310" s="152">
        <v>0</v>
      </c>
      <c r="H310" s="152">
        <v>0</v>
      </c>
      <c r="I310" s="152">
        <v>0</v>
      </c>
      <c r="J310" s="17">
        <v>0</v>
      </c>
      <c r="K310" s="237">
        <f t="shared" si="158"/>
        <v>0</v>
      </c>
      <c r="L310" s="152">
        <v>0</v>
      </c>
      <c r="M310" s="152">
        <v>0</v>
      </c>
      <c r="N310" s="152">
        <v>0</v>
      </c>
      <c r="O310" s="136">
        <v>4</v>
      </c>
      <c r="P310" s="28">
        <f t="shared" si="182"/>
        <v>1280</v>
      </c>
      <c r="Q310" s="28">
        <v>0</v>
      </c>
      <c r="R310" s="28">
        <v>0</v>
      </c>
      <c r="S310" s="151">
        <v>1280</v>
      </c>
      <c r="T310" s="136">
        <v>0</v>
      </c>
      <c r="U310" s="28">
        <f t="shared" si="162"/>
        <v>0</v>
      </c>
      <c r="V310" s="28">
        <v>0</v>
      </c>
      <c r="W310" s="28">
        <v>0</v>
      </c>
      <c r="X310" s="151">
        <v>0</v>
      </c>
      <c r="Y310" s="136">
        <v>0</v>
      </c>
      <c r="Z310" s="152">
        <f t="shared" si="163"/>
        <v>0</v>
      </c>
      <c r="AA310" s="152">
        <v>0</v>
      </c>
      <c r="AB310" s="152">
        <v>0</v>
      </c>
      <c r="AC310" s="157">
        <v>0</v>
      </c>
      <c r="AD310" s="36"/>
      <c r="AE310" s="37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</row>
    <row r="311" spans="1:43" s="22" customFormat="1" ht="24" customHeight="1" outlineLevel="1" x14ac:dyDescent="0.2">
      <c r="A311" s="142" t="s">
        <v>657</v>
      </c>
      <c r="B311" s="71" t="s">
        <v>396</v>
      </c>
      <c r="C311" s="177">
        <f t="shared" si="180"/>
        <v>3.55</v>
      </c>
      <c r="D311" s="28">
        <f t="shared" si="157"/>
        <v>1136</v>
      </c>
      <c r="E311" s="17">
        <v>0</v>
      </c>
      <c r="F311" s="237">
        <f t="shared" si="160"/>
        <v>0</v>
      </c>
      <c r="G311" s="152">
        <v>0</v>
      </c>
      <c r="H311" s="152">
        <v>0</v>
      </c>
      <c r="I311" s="152">
        <v>0</v>
      </c>
      <c r="J311" s="17">
        <v>0</v>
      </c>
      <c r="K311" s="237">
        <f t="shared" si="158"/>
        <v>0</v>
      </c>
      <c r="L311" s="152">
        <v>0</v>
      </c>
      <c r="M311" s="152">
        <v>0</v>
      </c>
      <c r="N311" s="152">
        <v>0</v>
      </c>
      <c r="O311" s="136">
        <v>3.55</v>
      </c>
      <c r="P311" s="28">
        <f t="shared" si="182"/>
        <v>1136</v>
      </c>
      <c r="Q311" s="28">
        <v>0</v>
      </c>
      <c r="R311" s="28">
        <v>0</v>
      </c>
      <c r="S311" s="151">
        <v>1136</v>
      </c>
      <c r="T311" s="136">
        <v>0</v>
      </c>
      <c r="U311" s="28">
        <f t="shared" si="162"/>
        <v>0</v>
      </c>
      <c r="V311" s="28">
        <v>0</v>
      </c>
      <c r="W311" s="28">
        <v>0</v>
      </c>
      <c r="X311" s="151">
        <v>0</v>
      </c>
      <c r="Y311" s="136">
        <v>0</v>
      </c>
      <c r="Z311" s="152">
        <f t="shared" si="163"/>
        <v>0</v>
      </c>
      <c r="AA311" s="152">
        <v>0</v>
      </c>
      <c r="AB311" s="152">
        <v>0</v>
      </c>
      <c r="AC311" s="157">
        <v>0</v>
      </c>
      <c r="AD311" s="36"/>
      <c r="AE311" s="37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</row>
    <row r="312" spans="1:43" s="22" customFormat="1" ht="23.45" customHeight="1" outlineLevel="1" x14ac:dyDescent="0.2">
      <c r="A312" s="142" t="s">
        <v>658</v>
      </c>
      <c r="B312" s="71" t="s">
        <v>397</v>
      </c>
      <c r="C312" s="177">
        <f t="shared" si="180"/>
        <v>2.5</v>
      </c>
      <c r="D312" s="28">
        <f t="shared" si="157"/>
        <v>800</v>
      </c>
      <c r="E312" s="17">
        <v>0</v>
      </c>
      <c r="F312" s="237">
        <f t="shared" si="160"/>
        <v>0</v>
      </c>
      <c r="G312" s="152">
        <v>0</v>
      </c>
      <c r="H312" s="152">
        <v>0</v>
      </c>
      <c r="I312" s="152">
        <v>0</v>
      </c>
      <c r="J312" s="17">
        <v>0</v>
      </c>
      <c r="K312" s="237">
        <f t="shared" si="158"/>
        <v>0</v>
      </c>
      <c r="L312" s="152">
        <v>0</v>
      </c>
      <c r="M312" s="152">
        <v>0</v>
      </c>
      <c r="N312" s="152">
        <v>0</v>
      </c>
      <c r="O312" s="136">
        <v>2.5</v>
      </c>
      <c r="P312" s="28">
        <f t="shared" si="182"/>
        <v>800</v>
      </c>
      <c r="Q312" s="28">
        <v>0</v>
      </c>
      <c r="R312" s="28">
        <v>0</v>
      </c>
      <c r="S312" s="151">
        <v>800</v>
      </c>
      <c r="T312" s="136">
        <v>0</v>
      </c>
      <c r="U312" s="28">
        <f t="shared" si="162"/>
        <v>0</v>
      </c>
      <c r="V312" s="28">
        <v>0</v>
      </c>
      <c r="W312" s="28">
        <v>0</v>
      </c>
      <c r="X312" s="151">
        <v>0</v>
      </c>
      <c r="Y312" s="136">
        <v>0</v>
      </c>
      <c r="Z312" s="152">
        <f t="shared" si="163"/>
        <v>0</v>
      </c>
      <c r="AA312" s="152">
        <v>0</v>
      </c>
      <c r="AB312" s="152">
        <v>0</v>
      </c>
      <c r="AC312" s="157">
        <v>0</v>
      </c>
      <c r="AD312" s="36"/>
      <c r="AE312" s="37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</row>
    <row r="313" spans="1:43" s="22" customFormat="1" ht="28.15" customHeight="1" outlineLevel="1" x14ac:dyDescent="0.2">
      <c r="A313" s="143"/>
      <c r="B313" s="128" t="s">
        <v>481</v>
      </c>
      <c r="C313" s="132">
        <f>SUM(C314:C363)</f>
        <v>81.280000000000015</v>
      </c>
      <c r="D313" s="132">
        <f t="shared" ref="D313:AC313" si="183">SUM(D314:D363)</f>
        <v>24358.5</v>
      </c>
      <c r="E313" s="132">
        <f t="shared" si="183"/>
        <v>0</v>
      </c>
      <c r="F313" s="149">
        <f t="shared" si="183"/>
        <v>0</v>
      </c>
      <c r="G313" s="149">
        <f t="shared" si="183"/>
        <v>0</v>
      </c>
      <c r="H313" s="149">
        <f t="shared" si="183"/>
        <v>0</v>
      </c>
      <c r="I313" s="149">
        <f t="shared" si="183"/>
        <v>0</v>
      </c>
      <c r="J313" s="135">
        <f t="shared" si="183"/>
        <v>0</v>
      </c>
      <c r="K313" s="149">
        <f t="shared" si="158"/>
        <v>0</v>
      </c>
      <c r="L313" s="149">
        <f t="shared" si="183"/>
        <v>0</v>
      </c>
      <c r="M313" s="149">
        <f t="shared" si="183"/>
        <v>0</v>
      </c>
      <c r="N313" s="149">
        <f t="shared" si="183"/>
        <v>0</v>
      </c>
      <c r="O313" s="132">
        <f t="shared" si="183"/>
        <v>81.280000000000015</v>
      </c>
      <c r="P313" s="28">
        <f t="shared" si="161"/>
        <v>24358.5</v>
      </c>
      <c r="Q313" s="150">
        <f t="shared" si="183"/>
        <v>0</v>
      </c>
      <c r="R313" s="150">
        <f t="shared" si="183"/>
        <v>0</v>
      </c>
      <c r="S313" s="150">
        <f t="shared" si="183"/>
        <v>24358.5</v>
      </c>
      <c r="T313" s="132">
        <f t="shared" si="183"/>
        <v>0</v>
      </c>
      <c r="U313" s="28">
        <f t="shared" si="162"/>
        <v>0</v>
      </c>
      <c r="V313" s="150">
        <f t="shared" si="183"/>
        <v>0</v>
      </c>
      <c r="W313" s="150">
        <f t="shared" si="183"/>
        <v>0</v>
      </c>
      <c r="X313" s="150">
        <f t="shared" si="183"/>
        <v>0</v>
      </c>
      <c r="Y313" s="132">
        <f t="shared" si="183"/>
        <v>0</v>
      </c>
      <c r="Z313" s="152">
        <f t="shared" si="183"/>
        <v>0</v>
      </c>
      <c r="AA313" s="157">
        <f t="shared" si="183"/>
        <v>0</v>
      </c>
      <c r="AB313" s="157">
        <f t="shared" si="183"/>
        <v>0</v>
      </c>
      <c r="AC313" s="149">
        <f t="shared" si="183"/>
        <v>0</v>
      </c>
      <c r="AD313" s="36"/>
      <c r="AE313" s="37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</row>
    <row r="314" spans="1:43" s="22" customFormat="1" ht="33" customHeight="1" outlineLevel="1" x14ac:dyDescent="0.2">
      <c r="A314" s="142" t="s">
        <v>659</v>
      </c>
      <c r="B314" s="71" t="s">
        <v>390</v>
      </c>
      <c r="C314" s="177">
        <f t="shared" si="180"/>
        <v>4.66</v>
      </c>
      <c r="D314" s="28">
        <f t="shared" si="157"/>
        <v>1398</v>
      </c>
      <c r="E314" s="17">
        <v>0</v>
      </c>
      <c r="F314" s="237">
        <f t="shared" si="160"/>
        <v>0</v>
      </c>
      <c r="G314" s="152">
        <v>0</v>
      </c>
      <c r="H314" s="152">
        <v>0</v>
      </c>
      <c r="I314" s="152">
        <v>0</v>
      </c>
      <c r="J314" s="17">
        <v>0</v>
      </c>
      <c r="K314" s="237">
        <f t="shared" si="158"/>
        <v>0</v>
      </c>
      <c r="L314" s="152">
        <v>0</v>
      </c>
      <c r="M314" s="152">
        <v>0</v>
      </c>
      <c r="N314" s="152">
        <v>0</v>
      </c>
      <c r="O314" s="136">
        <v>4.66</v>
      </c>
      <c r="P314" s="28">
        <f t="shared" si="161"/>
        <v>1398</v>
      </c>
      <c r="Q314" s="28">
        <v>0</v>
      </c>
      <c r="R314" s="28">
        <v>0</v>
      </c>
      <c r="S314" s="151">
        <v>1398</v>
      </c>
      <c r="T314" s="136">
        <v>0</v>
      </c>
      <c r="U314" s="28">
        <f t="shared" si="162"/>
        <v>0</v>
      </c>
      <c r="V314" s="28">
        <v>0</v>
      </c>
      <c r="W314" s="28">
        <v>0</v>
      </c>
      <c r="X314" s="151">
        <v>0</v>
      </c>
      <c r="Y314" s="136">
        <v>0</v>
      </c>
      <c r="Z314" s="152">
        <f t="shared" si="163"/>
        <v>0</v>
      </c>
      <c r="AA314" s="152">
        <v>0</v>
      </c>
      <c r="AB314" s="152">
        <v>0</v>
      </c>
      <c r="AC314" s="157">
        <v>0</v>
      </c>
      <c r="AD314" s="36"/>
      <c r="AE314" s="37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</row>
    <row r="315" spans="1:43" s="22" customFormat="1" ht="36" customHeight="1" outlineLevel="1" x14ac:dyDescent="0.2">
      <c r="A315" s="142" t="s">
        <v>660</v>
      </c>
      <c r="B315" s="71" t="s">
        <v>399</v>
      </c>
      <c r="C315" s="177">
        <f t="shared" si="180"/>
        <v>1.35</v>
      </c>
      <c r="D315" s="28">
        <f t="shared" si="157"/>
        <v>405</v>
      </c>
      <c r="E315" s="17">
        <v>0</v>
      </c>
      <c r="F315" s="237">
        <f t="shared" si="160"/>
        <v>0</v>
      </c>
      <c r="G315" s="152">
        <v>0</v>
      </c>
      <c r="H315" s="152">
        <v>0</v>
      </c>
      <c r="I315" s="152">
        <v>0</v>
      </c>
      <c r="J315" s="17">
        <v>0</v>
      </c>
      <c r="K315" s="237">
        <f t="shared" si="158"/>
        <v>0</v>
      </c>
      <c r="L315" s="152">
        <v>0</v>
      </c>
      <c r="M315" s="152">
        <v>0</v>
      </c>
      <c r="N315" s="152">
        <v>0</v>
      </c>
      <c r="O315" s="136">
        <v>1.35</v>
      </c>
      <c r="P315" s="28">
        <f t="shared" si="161"/>
        <v>405</v>
      </c>
      <c r="Q315" s="28">
        <v>0</v>
      </c>
      <c r="R315" s="28">
        <v>0</v>
      </c>
      <c r="S315" s="151">
        <v>405</v>
      </c>
      <c r="T315" s="136">
        <v>0</v>
      </c>
      <c r="U315" s="28">
        <f t="shared" si="162"/>
        <v>0</v>
      </c>
      <c r="V315" s="28">
        <v>0</v>
      </c>
      <c r="W315" s="28">
        <v>0</v>
      </c>
      <c r="X315" s="151">
        <v>0</v>
      </c>
      <c r="Y315" s="136">
        <v>0</v>
      </c>
      <c r="Z315" s="152">
        <f t="shared" si="163"/>
        <v>0</v>
      </c>
      <c r="AA315" s="152">
        <v>0</v>
      </c>
      <c r="AB315" s="152">
        <v>0</v>
      </c>
      <c r="AC315" s="157">
        <v>0</v>
      </c>
      <c r="AD315" s="36"/>
      <c r="AE315" s="37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</row>
    <row r="316" spans="1:43" s="22" customFormat="1" ht="36" customHeight="1" outlineLevel="1" x14ac:dyDescent="0.2">
      <c r="A316" s="142" t="s">
        <v>661</v>
      </c>
      <c r="B316" s="71" t="s">
        <v>400</v>
      </c>
      <c r="C316" s="177">
        <f t="shared" si="180"/>
        <v>0.4</v>
      </c>
      <c r="D316" s="28">
        <f t="shared" si="157"/>
        <v>120</v>
      </c>
      <c r="E316" s="17">
        <v>0</v>
      </c>
      <c r="F316" s="237">
        <f t="shared" si="160"/>
        <v>0</v>
      </c>
      <c r="G316" s="152">
        <v>0</v>
      </c>
      <c r="H316" s="152">
        <v>0</v>
      </c>
      <c r="I316" s="152">
        <v>0</v>
      </c>
      <c r="J316" s="17">
        <v>0</v>
      </c>
      <c r="K316" s="237">
        <f t="shared" si="158"/>
        <v>0</v>
      </c>
      <c r="L316" s="152">
        <v>0</v>
      </c>
      <c r="M316" s="152">
        <v>0</v>
      </c>
      <c r="N316" s="152">
        <v>0</v>
      </c>
      <c r="O316" s="136">
        <v>0.4</v>
      </c>
      <c r="P316" s="28">
        <f t="shared" si="161"/>
        <v>120</v>
      </c>
      <c r="Q316" s="28">
        <v>0</v>
      </c>
      <c r="R316" s="28">
        <v>0</v>
      </c>
      <c r="S316" s="151">
        <v>120</v>
      </c>
      <c r="T316" s="136">
        <v>0</v>
      </c>
      <c r="U316" s="28">
        <f t="shared" si="162"/>
        <v>0</v>
      </c>
      <c r="V316" s="28">
        <v>0</v>
      </c>
      <c r="W316" s="28">
        <v>0</v>
      </c>
      <c r="X316" s="151">
        <v>0</v>
      </c>
      <c r="Y316" s="136">
        <v>0</v>
      </c>
      <c r="Z316" s="152">
        <f t="shared" si="163"/>
        <v>0</v>
      </c>
      <c r="AA316" s="152">
        <v>0</v>
      </c>
      <c r="AB316" s="152">
        <v>0</v>
      </c>
      <c r="AC316" s="157">
        <v>0</v>
      </c>
      <c r="AD316" s="36"/>
      <c r="AE316" s="37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</row>
    <row r="317" spans="1:43" s="22" customFormat="1" ht="35.450000000000003" customHeight="1" outlineLevel="1" x14ac:dyDescent="0.2">
      <c r="A317" s="142" t="s">
        <v>662</v>
      </c>
      <c r="B317" s="127" t="s">
        <v>401</v>
      </c>
      <c r="C317" s="177">
        <f t="shared" si="180"/>
        <v>0.56000000000000005</v>
      </c>
      <c r="D317" s="28">
        <f t="shared" si="157"/>
        <v>168.00000000000003</v>
      </c>
      <c r="E317" s="17">
        <v>0</v>
      </c>
      <c r="F317" s="237">
        <f t="shared" si="160"/>
        <v>0</v>
      </c>
      <c r="G317" s="152">
        <v>0</v>
      </c>
      <c r="H317" s="152">
        <v>0</v>
      </c>
      <c r="I317" s="152">
        <v>0</v>
      </c>
      <c r="J317" s="17">
        <v>0</v>
      </c>
      <c r="K317" s="237">
        <f t="shared" si="158"/>
        <v>0</v>
      </c>
      <c r="L317" s="152">
        <v>0</v>
      </c>
      <c r="M317" s="152">
        <v>0</v>
      </c>
      <c r="N317" s="152">
        <v>0</v>
      </c>
      <c r="O317" s="136">
        <v>0.56000000000000005</v>
      </c>
      <c r="P317" s="28">
        <f t="shared" si="161"/>
        <v>168.00000000000003</v>
      </c>
      <c r="Q317" s="28">
        <v>0</v>
      </c>
      <c r="R317" s="28">
        <v>0</v>
      </c>
      <c r="S317" s="151">
        <v>168.00000000000003</v>
      </c>
      <c r="T317" s="136">
        <v>0</v>
      </c>
      <c r="U317" s="28">
        <f t="shared" si="162"/>
        <v>0</v>
      </c>
      <c r="V317" s="28">
        <v>0</v>
      </c>
      <c r="W317" s="28">
        <v>0</v>
      </c>
      <c r="X317" s="151">
        <v>0</v>
      </c>
      <c r="Y317" s="136">
        <v>0</v>
      </c>
      <c r="Z317" s="152">
        <f t="shared" si="163"/>
        <v>0</v>
      </c>
      <c r="AA317" s="152">
        <v>0</v>
      </c>
      <c r="AB317" s="152">
        <v>0</v>
      </c>
      <c r="AC317" s="157">
        <v>0</v>
      </c>
      <c r="AD317" s="36"/>
      <c r="AE317" s="37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</row>
    <row r="318" spans="1:43" s="22" customFormat="1" ht="28.15" customHeight="1" outlineLevel="1" x14ac:dyDescent="0.2">
      <c r="A318" s="142" t="s">
        <v>663</v>
      </c>
      <c r="B318" s="127" t="s">
        <v>480</v>
      </c>
      <c r="C318" s="177">
        <f t="shared" si="180"/>
        <v>1.45</v>
      </c>
      <c r="D318" s="28">
        <f t="shared" si="157"/>
        <v>435</v>
      </c>
      <c r="E318" s="17">
        <v>0</v>
      </c>
      <c r="F318" s="237">
        <f t="shared" si="160"/>
        <v>0</v>
      </c>
      <c r="G318" s="152">
        <v>0</v>
      </c>
      <c r="H318" s="152">
        <v>0</v>
      </c>
      <c r="I318" s="152">
        <v>0</v>
      </c>
      <c r="J318" s="17">
        <v>0</v>
      </c>
      <c r="K318" s="237">
        <f t="shared" si="158"/>
        <v>0</v>
      </c>
      <c r="L318" s="152">
        <v>0</v>
      </c>
      <c r="M318" s="152">
        <v>0</v>
      </c>
      <c r="N318" s="152">
        <v>0</v>
      </c>
      <c r="O318" s="136">
        <v>1.45</v>
      </c>
      <c r="P318" s="28">
        <f t="shared" si="161"/>
        <v>435</v>
      </c>
      <c r="Q318" s="28">
        <v>0</v>
      </c>
      <c r="R318" s="28">
        <v>0</v>
      </c>
      <c r="S318" s="151">
        <v>435</v>
      </c>
      <c r="T318" s="136">
        <v>0</v>
      </c>
      <c r="U318" s="28">
        <f t="shared" si="162"/>
        <v>0</v>
      </c>
      <c r="V318" s="28">
        <v>0</v>
      </c>
      <c r="W318" s="28">
        <v>0</v>
      </c>
      <c r="X318" s="151">
        <v>0</v>
      </c>
      <c r="Y318" s="136">
        <v>0</v>
      </c>
      <c r="Z318" s="152">
        <f t="shared" si="163"/>
        <v>0</v>
      </c>
      <c r="AA318" s="152">
        <v>0</v>
      </c>
      <c r="AB318" s="152">
        <v>0</v>
      </c>
      <c r="AC318" s="157">
        <v>0</v>
      </c>
      <c r="AD318" s="36"/>
      <c r="AE318" s="37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</row>
    <row r="319" spans="1:43" s="22" customFormat="1" ht="26.45" customHeight="1" outlineLevel="1" x14ac:dyDescent="0.2">
      <c r="A319" s="142" t="s">
        <v>664</v>
      </c>
      <c r="B319" s="127" t="s">
        <v>403</v>
      </c>
      <c r="C319" s="177">
        <f t="shared" si="180"/>
        <v>4.62</v>
      </c>
      <c r="D319" s="28">
        <f t="shared" si="157"/>
        <v>1386</v>
      </c>
      <c r="E319" s="17">
        <v>0</v>
      </c>
      <c r="F319" s="237">
        <f t="shared" si="160"/>
        <v>0</v>
      </c>
      <c r="G319" s="152">
        <v>0</v>
      </c>
      <c r="H319" s="152">
        <v>0</v>
      </c>
      <c r="I319" s="152">
        <v>0</v>
      </c>
      <c r="J319" s="17">
        <v>0</v>
      </c>
      <c r="K319" s="237">
        <f t="shared" si="158"/>
        <v>0</v>
      </c>
      <c r="L319" s="152">
        <v>0</v>
      </c>
      <c r="M319" s="152">
        <v>0</v>
      </c>
      <c r="N319" s="152">
        <v>0</v>
      </c>
      <c r="O319" s="136">
        <v>4.62</v>
      </c>
      <c r="P319" s="28">
        <f t="shared" si="161"/>
        <v>1386</v>
      </c>
      <c r="Q319" s="28">
        <v>0</v>
      </c>
      <c r="R319" s="28">
        <v>0</v>
      </c>
      <c r="S319" s="151">
        <v>1386</v>
      </c>
      <c r="T319" s="136">
        <v>0</v>
      </c>
      <c r="U319" s="28">
        <f t="shared" si="162"/>
        <v>0</v>
      </c>
      <c r="V319" s="28">
        <v>0</v>
      </c>
      <c r="W319" s="28">
        <v>0</v>
      </c>
      <c r="X319" s="151">
        <v>0</v>
      </c>
      <c r="Y319" s="136">
        <v>0</v>
      </c>
      <c r="Z319" s="152">
        <f t="shared" si="163"/>
        <v>0</v>
      </c>
      <c r="AA319" s="152">
        <v>0</v>
      </c>
      <c r="AB319" s="152">
        <v>0</v>
      </c>
      <c r="AC319" s="157">
        <v>0</v>
      </c>
      <c r="AD319" s="36"/>
      <c r="AE319" s="37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</row>
    <row r="320" spans="1:43" s="22" customFormat="1" ht="25.9" customHeight="1" outlineLevel="1" x14ac:dyDescent="0.2">
      <c r="A320" s="142" t="s">
        <v>665</v>
      </c>
      <c r="B320" s="127" t="s">
        <v>404</v>
      </c>
      <c r="C320" s="177">
        <f t="shared" si="180"/>
        <v>1.23</v>
      </c>
      <c r="D320" s="28">
        <f t="shared" si="157"/>
        <v>369</v>
      </c>
      <c r="E320" s="17">
        <v>0</v>
      </c>
      <c r="F320" s="237">
        <f t="shared" si="160"/>
        <v>0</v>
      </c>
      <c r="G320" s="152">
        <v>0</v>
      </c>
      <c r="H320" s="152">
        <v>0</v>
      </c>
      <c r="I320" s="152">
        <v>0</v>
      </c>
      <c r="J320" s="17">
        <v>0</v>
      </c>
      <c r="K320" s="237">
        <f t="shared" si="158"/>
        <v>0</v>
      </c>
      <c r="L320" s="152">
        <v>0</v>
      </c>
      <c r="M320" s="152">
        <v>0</v>
      </c>
      <c r="N320" s="152">
        <v>0</v>
      </c>
      <c r="O320" s="136">
        <v>1.23</v>
      </c>
      <c r="P320" s="28">
        <f t="shared" si="161"/>
        <v>369</v>
      </c>
      <c r="Q320" s="28">
        <v>0</v>
      </c>
      <c r="R320" s="28">
        <v>0</v>
      </c>
      <c r="S320" s="151">
        <v>369</v>
      </c>
      <c r="T320" s="136">
        <v>0</v>
      </c>
      <c r="U320" s="28">
        <f t="shared" si="162"/>
        <v>0</v>
      </c>
      <c r="V320" s="28">
        <v>0</v>
      </c>
      <c r="W320" s="28">
        <v>0</v>
      </c>
      <c r="X320" s="151">
        <v>0</v>
      </c>
      <c r="Y320" s="136">
        <v>0</v>
      </c>
      <c r="Z320" s="152">
        <f t="shared" si="163"/>
        <v>0</v>
      </c>
      <c r="AA320" s="152">
        <v>0</v>
      </c>
      <c r="AB320" s="152">
        <v>0</v>
      </c>
      <c r="AC320" s="157">
        <v>0</v>
      </c>
      <c r="AD320" s="36"/>
      <c r="AE320" s="37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</row>
    <row r="321" spans="1:43" s="22" customFormat="1" ht="31.15" customHeight="1" outlineLevel="1" x14ac:dyDescent="0.2">
      <c r="A321" s="142" t="s">
        <v>666</v>
      </c>
      <c r="B321" s="127" t="s">
        <v>405</v>
      </c>
      <c r="C321" s="177">
        <f t="shared" si="180"/>
        <v>1.9300000000000002</v>
      </c>
      <c r="D321" s="28">
        <f t="shared" si="157"/>
        <v>579</v>
      </c>
      <c r="E321" s="17">
        <v>0</v>
      </c>
      <c r="F321" s="237">
        <f t="shared" si="160"/>
        <v>0</v>
      </c>
      <c r="G321" s="152">
        <v>0</v>
      </c>
      <c r="H321" s="152">
        <v>0</v>
      </c>
      <c r="I321" s="152">
        <v>0</v>
      </c>
      <c r="J321" s="17">
        <v>0</v>
      </c>
      <c r="K321" s="237">
        <f t="shared" si="158"/>
        <v>0</v>
      </c>
      <c r="L321" s="152">
        <v>0</v>
      </c>
      <c r="M321" s="152">
        <v>0</v>
      </c>
      <c r="N321" s="152">
        <v>0</v>
      </c>
      <c r="O321" s="136">
        <v>1.9300000000000002</v>
      </c>
      <c r="P321" s="28">
        <f t="shared" si="161"/>
        <v>579</v>
      </c>
      <c r="Q321" s="28">
        <v>0</v>
      </c>
      <c r="R321" s="28">
        <v>0</v>
      </c>
      <c r="S321" s="151">
        <v>579</v>
      </c>
      <c r="T321" s="136">
        <v>0</v>
      </c>
      <c r="U321" s="28">
        <f t="shared" si="162"/>
        <v>0</v>
      </c>
      <c r="V321" s="28">
        <v>0</v>
      </c>
      <c r="W321" s="28">
        <v>0</v>
      </c>
      <c r="X321" s="151">
        <v>0</v>
      </c>
      <c r="Y321" s="136">
        <v>0</v>
      </c>
      <c r="Z321" s="152">
        <f t="shared" si="163"/>
        <v>0</v>
      </c>
      <c r="AA321" s="152">
        <v>0</v>
      </c>
      <c r="AB321" s="152">
        <v>0</v>
      </c>
      <c r="AC321" s="157">
        <v>0</v>
      </c>
      <c r="AD321" s="36"/>
      <c r="AE321" s="37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</row>
    <row r="322" spans="1:43" s="22" customFormat="1" ht="37.9" customHeight="1" outlineLevel="1" x14ac:dyDescent="0.2">
      <c r="A322" s="142" t="s">
        <v>667</v>
      </c>
      <c r="B322" s="127" t="s">
        <v>491</v>
      </c>
      <c r="C322" s="177">
        <f t="shared" si="180"/>
        <v>1.82</v>
      </c>
      <c r="D322" s="28">
        <f t="shared" si="157"/>
        <v>544.5</v>
      </c>
      <c r="E322" s="17">
        <v>0</v>
      </c>
      <c r="F322" s="237">
        <f t="shared" si="160"/>
        <v>0</v>
      </c>
      <c r="G322" s="152">
        <v>0</v>
      </c>
      <c r="H322" s="152">
        <v>0</v>
      </c>
      <c r="I322" s="152">
        <v>0</v>
      </c>
      <c r="J322" s="17">
        <v>0</v>
      </c>
      <c r="K322" s="237">
        <f t="shared" si="158"/>
        <v>0</v>
      </c>
      <c r="L322" s="152">
        <v>0</v>
      </c>
      <c r="M322" s="152">
        <v>0</v>
      </c>
      <c r="N322" s="152">
        <v>0</v>
      </c>
      <c r="O322" s="136">
        <f>ROUND(1.815,2)</f>
        <v>1.82</v>
      </c>
      <c r="P322" s="28">
        <f t="shared" si="161"/>
        <v>544.5</v>
      </c>
      <c r="Q322" s="28">
        <v>0</v>
      </c>
      <c r="R322" s="28">
        <v>0</v>
      </c>
      <c r="S322" s="151">
        <v>544.5</v>
      </c>
      <c r="T322" s="136">
        <v>0</v>
      </c>
      <c r="U322" s="28">
        <f t="shared" si="162"/>
        <v>0</v>
      </c>
      <c r="V322" s="28">
        <v>0</v>
      </c>
      <c r="W322" s="28">
        <v>0</v>
      </c>
      <c r="X322" s="151">
        <v>0</v>
      </c>
      <c r="Y322" s="136">
        <v>0</v>
      </c>
      <c r="Z322" s="152">
        <f t="shared" si="163"/>
        <v>0</v>
      </c>
      <c r="AA322" s="152">
        <v>0</v>
      </c>
      <c r="AB322" s="152">
        <v>0</v>
      </c>
      <c r="AC322" s="157">
        <v>0</v>
      </c>
      <c r="AD322" s="36"/>
      <c r="AE322" s="37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</row>
    <row r="323" spans="1:43" s="22" customFormat="1" ht="25.15" customHeight="1" outlineLevel="1" x14ac:dyDescent="0.2">
      <c r="A323" s="142" t="s">
        <v>668</v>
      </c>
      <c r="B323" s="127" t="s">
        <v>406</v>
      </c>
      <c r="C323" s="177">
        <f t="shared" si="180"/>
        <v>1.6900000000000002</v>
      </c>
      <c r="D323" s="28">
        <f t="shared" si="157"/>
        <v>507.00000000000006</v>
      </c>
      <c r="E323" s="17">
        <v>0</v>
      </c>
      <c r="F323" s="237">
        <f t="shared" si="160"/>
        <v>0</v>
      </c>
      <c r="G323" s="152">
        <v>0</v>
      </c>
      <c r="H323" s="152">
        <v>0</v>
      </c>
      <c r="I323" s="152">
        <v>0</v>
      </c>
      <c r="J323" s="17">
        <v>0</v>
      </c>
      <c r="K323" s="237">
        <f t="shared" si="158"/>
        <v>0</v>
      </c>
      <c r="L323" s="152">
        <v>0</v>
      </c>
      <c r="M323" s="152">
        <v>0</v>
      </c>
      <c r="N323" s="152">
        <v>0</v>
      </c>
      <c r="O323" s="136">
        <v>1.6900000000000002</v>
      </c>
      <c r="P323" s="28">
        <f t="shared" si="161"/>
        <v>507.00000000000006</v>
      </c>
      <c r="Q323" s="28">
        <v>0</v>
      </c>
      <c r="R323" s="28">
        <v>0</v>
      </c>
      <c r="S323" s="151">
        <v>507.00000000000006</v>
      </c>
      <c r="T323" s="136">
        <v>0</v>
      </c>
      <c r="U323" s="28">
        <f t="shared" si="162"/>
        <v>0</v>
      </c>
      <c r="V323" s="28">
        <v>0</v>
      </c>
      <c r="W323" s="28">
        <v>0</v>
      </c>
      <c r="X323" s="151">
        <v>0</v>
      </c>
      <c r="Y323" s="136">
        <v>0</v>
      </c>
      <c r="Z323" s="152">
        <f t="shared" si="163"/>
        <v>0</v>
      </c>
      <c r="AA323" s="152">
        <v>0</v>
      </c>
      <c r="AB323" s="152">
        <v>0</v>
      </c>
      <c r="AC323" s="157">
        <v>0</v>
      </c>
      <c r="AD323" s="36"/>
      <c r="AE323" s="37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</row>
    <row r="324" spans="1:43" s="22" customFormat="1" ht="28.15" customHeight="1" outlineLevel="1" x14ac:dyDescent="0.2">
      <c r="A324" s="142" t="s">
        <v>669</v>
      </c>
      <c r="B324" s="127" t="s">
        <v>407</v>
      </c>
      <c r="C324" s="177">
        <f t="shared" si="180"/>
        <v>1.1000000000000001</v>
      </c>
      <c r="D324" s="28">
        <f t="shared" si="157"/>
        <v>330</v>
      </c>
      <c r="E324" s="17">
        <v>0</v>
      </c>
      <c r="F324" s="237">
        <f t="shared" si="160"/>
        <v>0</v>
      </c>
      <c r="G324" s="152">
        <v>0</v>
      </c>
      <c r="H324" s="152">
        <v>0</v>
      </c>
      <c r="I324" s="152">
        <v>0</v>
      </c>
      <c r="J324" s="17">
        <v>0</v>
      </c>
      <c r="K324" s="237">
        <f t="shared" si="158"/>
        <v>0</v>
      </c>
      <c r="L324" s="152">
        <v>0</v>
      </c>
      <c r="M324" s="152">
        <v>0</v>
      </c>
      <c r="N324" s="152">
        <v>0</v>
      </c>
      <c r="O324" s="136">
        <v>1.1000000000000001</v>
      </c>
      <c r="P324" s="28">
        <f t="shared" si="161"/>
        <v>330</v>
      </c>
      <c r="Q324" s="28">
        <v>0</v>
      </c>
      <c r="R324" s="28">
        <v>0</v>
      </c>
      <c r="S324" s="151">
        <v>330</v>
      </c>
      <c r="T324" s="136">
        <v>0</v>
      </c>
      <c r="U324" s="28">
        <f t="shared" si="162"/>
        <v>0</v>
      </c>
      <c r="V324" s="28">
        <v>0</v>
      </c>
      <c r="W324" s="28">
        <v>0</v>
      </c>
      <c r="X324" s="151">
        <v>0</v>
      </c>
      <c r="Y324" s="136">
        <v>0</v>
      </c>
      <c r="Z324" s="152">
        <f t="shared" si="163"/>
        <v>0</v>
      </c>
      <c r="AA324" s="152">
        <v>0</v>
      </c>
      <c r="AB324" s="152">
        <v>0</v>
      </c>
      <c r="AC324" s="157">
        <v>0</v>
      </c>
      <c r="AD324" s="36"/>
      <c r="AE324" s="37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</row>
    <row r="325" spans="1:43" s="22" customFormat="1" ht="24" customHeight="1" outlineLevel="1" x14ac:dyDescent="0.2">
      <c r="A325" s="142" t="s">
        <v>670</v>
      </c>
      <c r="B325" s="127" t="s">
        <v>408</v>
      </c>
      <c r="C325" s="177">
        <f t="shared" si="180"/>
        <v>0.35000000000000003</v>
      </c>
      <c r="D325" s="28">
        <f t="shared" si="157"/>
        <v>105.00000000000001</v>
      </c>
      <c r="E325" s="17">
        <v>0</v>
      </c>
      <c r="F325" s="237">
        <f t="shared" si="160"/>
        <v>0</v>
      </c>
      <c r="G325" s="152">
        <v>0</v>
      </c>
      <c r="H325" s="152">
        <v>0</v>
      </c>
      <c r="I325" s="152">
        <v>0</v>
      </c>
      <c r="J325" s="17">
        <v>0</v>
      </c>
      <c r="K325" s="237">
        <f t="shared" si="158"/>
        <v>0</v>
      </c>
      <c r="L325" s="152">
        <v>0</v>
      </c>
      <c r="M325" s="152">
        <v>0</v>
      </c>
      <c r="N325" s="152">
        <v>0</v>
      </c>
      <c r="O325" s="136">
        <v>0.35000000000000003</v>
      </c>
      <c r="P325" s="28">
        <f t="shared" si="161"/>
        <v>105.00000000000001</v>
      </c>
      <c r="Q325" s="28">
        <v>0</v>
      </c>
      <c r="R325" s="28">
        <v>0</v>
      </c>
      <c r="S325" s="151">
        <v>105.00000000000001</v>
      </c>
      <c r="T325" s="136">
        <v>0</v>
      </c>
      <c r="U325" s="28">
        <f t="shared" si="162"/>
        <v>0</v>
      </c>
      <c r="V325" s="28">
        <v>0</v>
      </c>
      <c r="W325" s="28">
        <v>0</v>
      </c>
      <c r="X325" s="151">
        <v>0</v>
      </c>
      <c r="Y325" s="136">
        <v>0</v>
      </c>
      <c r="Z325" s="152">
        <f t="shared" si="163"/>
        <v>0</v>
      </c>
      <c r="AA325" s="152">
        <v>0</v>
      </c>
      <c r="AB325" s="152">
        <v>0</v>
      </c>
      <c r="AC325" s="157">
        <v>0</v>
      </c>
      <c r="AD325" s="36"/>
      <c r="AE325" s="37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</row>
    <row r="326" spans="1:43" s="22" customFormat="1" ht="25.15" customHeight="1" outlineLevel="1" x14ac:dyDescent="0.2">
      <c r="A326" s="142" t="s">
        <v>671</v>
      </c>
      <c r="B326" s="127" t="s">
        <v>409</v>
      </c>
      <c r="C326" s="177">
        <f t="shared" si="180"/>
        <v>3.87</v>
      </c>
      <c r="D326" s="28">
        <f t="shared" si="157"/>
        <v>1161</v>
      </c>
      <c r="E326" s="17">
        <v>0</v>
      </c>
      <c r="F326" s="237">
        <f t="shared" si="160"/>
        <v>0</v>
      </c>
      <c r="G326" s="152">
        <v>0</v>
      </c>
      <c r="H326" s="152">
        <v>0</v>
      </c>
      <c r="I326" s="152">
        <v>0</v>
      </c>
      <c r="J326" s="17">
        <v>0</v>
      </c>
      <c r="K326" s="237">
        <f t="shared" si="158"/>
        <v>0</v>
      </c>
      <c r="L326" s="152">
        <v>0</v>
      </c>
      <c r="M326" s="152">
        <v>0</v>
      </c>
      <c r="N326" s="152">
        <v>0</v>
      </c>
      <c r="O326" s="136">
        <v>3.87</v>
      </c>
      <c r="P326" s="28">
        <f t="shared" si="161"/>
        <v>1161</v>
      </c>
      <c r="Q326" s="28">
        <v>0</v>
      </c>
      <c r="R326" s="28">
        <v>0</v>
      </c>
      <c r="S326" s="151">
        <v>1161</v>
      </c>
      <c r="T326" s="136">
        <v>0</v>
      </c>
      <c r="U326" s="28">
        <f t="shared" si="162"/>
        <v>0</v>
      </c>
      <c r="V326" s="28">
        <v>0</v>
      </c>
      <c r="W326" s="28">
        <v>0</v>
      </c>
      <c r="X326" s="151">
        <v>0</v>
      </c>
      <c r="Y326" s="136">
        <v>0</v>
      </c>
      <c r="Z326" s="152">
        <f t="shared" si="163"/>
        <v>0</v>
      </c>
      <c r="AA326" s="152">
        <v>0</v>
      </c>
      <c r="AB326" s="152">
        <v>0</v>
      </c>
      <c r="AC326" s="157">
        <v>0</v>
      </c>
      <c r="AD326" s="36"/>
      <c r="AE326" s="37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</row>
    <row r="327" spans="1:43" s="22" customFormat="1" ht="21" customHeight="1" outlineLevel="1" x14ac:dyDescent="0.2">
      <c r="A327" s="142" t="s">
        <v>672</v>
      </c>
      <c r="B327" s="127" t="s">
        <v>410</v>
      </c>
      <c r="C327" s="177">
        <f t="shared" si="180"/>
        <v>1.61</v>
      </c>
      <c r="D327" s="28">
        <f t="shared" si="157"/>
        <v>481.5</v>
      </c>
      <c r="E327" s="17">
        <v>0</v>
      </c>
      <c r="F327" s="237">
        <f t="shared" si="160"/>
        <v>0</v>
      </c>
      <c r="G327" s="152">
        <v>0</v>
      </c>
      <c r="H327" s="152">
        <v>0</v>
      </c>
      <c r="I327" s="152">
        <v>0</v>
      </c>
      <c r="J327" s="17">
        <v>0</v>
      </c>
      <c r="K327" s="237">
        <f t="shared" si="158"/>
        <v>0</v>
      </c>
      <c r="L327" s="152">
        <v>0</v>
      </c>
      <c r="M327" s="152">
        <v>0</v>
      </c>
      <c r="N327" s="152">
        <v>0</v>
      </c>
      <c r="O327" s="136">
        <f>ROUND(1.605,2)</f>
        <v>1.61</v>
      </c>
      <c r="P327" s="28">
        <f t="shared" si="161"/>
        <v>481.5</v>
      </c>
      <c r="Q327" s="28">
        <v>0</v>
      </c>
      <c r="R327" s="28">
        <v>0</v>
      </c>
      <c r="S327" s="151">
        <v>481.5</v>
      </c>
      <c r="T327" s="136">
        <v>0</v>
      </c>
      <c r="U327" s="28">
        <f t="shared" si="162"/>
        <v>0</v>
      </c>
      <c r="V327" s="28">
        <v>0</v>
      </c>
      <c r="W327" s="28">
        <v>0</v>
      </c>
      <c r="X327" s="151">
        <v>0</v>
      </c>
      <c r="Y327" s="136">
        <v>0</v>
      </c>
      <c r="Z327" s="152">
        <f t="shared" si="163"/>
        <v>0</v>
      </c>
      <c r="AA327" s="152">
        <v>0</v>
      </c>
      <c r="AB327" s="152">
        <v>0</v>
      </c>
      <c r="AC327" s="157">
        <v>0</v>
      </c>
      <c r="AD327" s="36"/>
      <c r="AE327" s="37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</row>
    <row r="328" spans="1:43" s="22" customFormat="1" ht="25.15" customHeight="1" outlineLevel="1" x14ac:dyDescent="0.2">
      <c r="A328" s="142" t="s">
        <v>673</v>
      </c>
      <c r="B328" s="127" t="s">
        <v>413</v>
      </c>
      <c r="C328" s="177">
        <f t="shared" si="180"/>
        <v>3.05</v>
      </c>
      <c r="D328" s="28">
        <f t="shared" si="157"/>
        <v>915</v>
      </c>
      <c r="E328" s="17">
        <v>0</v>
      </c>
      <c r="F328" s="237">
        <f t="shared" si="160"/>
        <v>0</v>
      </c>
      <c r="G328" s="152">
        <v>0</v>
      </c>
      <c r="H328" s="152">
        <v>0</v>
      </c>
      <c r="I328" s="152">
        <v>0</v>
      </c>
      <c r="J328" s="17">
        <v>0</v>
      </c>
      <c r="K328" s="237">
        <f t="shared" si="158"/>
        <v>0</v>
      </c>
      <c r="L328" s="152">
        <v>0</v>
      </c>
      <c r="M328" s="152">
        <v>0</v>
      </c>
      <c r="N328" s="152">
        <v>0</v>
      </c>
      <c r="O328" s="136">
        <v>3.05</v>
      </c>
      <c r="P328" s="28">
        <f t="shared" si="161"/>
        <v>915</v>
      </c>
      <c r="Q328" s="28">
        <v>0</v>
      </c>
      <c r="R328" s="28">
        <v>0</v>
      </c>
      <c r="S328" s="151">
        <v>915</v>
      </c>
      <c r="T328" s="136">
        <v>0</v>
      </c>
      <c r="U328" s="28">
        <f t="shared" si="162"/>
        <v>0</v>
      </c>
      <c r="V328" s="28">
        <v>0</v>
      </c>
      <c r="W328" s="28">
        <v>0</v>
      </c>
      <c r="X328" s="151">
        <v>0</v>
      </c>
      <c r="Y328" s="136">
        <v>0</v>
      </c>
      <c r="Z328" s="152">
        <f t="shared" si="163"/>
        <v>0</v>
      </c>
      <c r="AA328" s="152">
        <v>0</v>
      </c>
      <c r="AB328" s="152">
        <v>0</v>
      </c>
      <c r="AC328" s="157">
        <v>0</v>
      </c>
      <c r="AD328" s="36"/>
      <c r="AE328" s="37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</row>
    <row r="329" spans="1:43" s="22" customFormat="1" ht="25.15" customHeight="1" outlineLevel="1" x14ac:dyDescent="0.2">
      <c r="A329" s="142" t="s">
        <v>674</v>
      </c>
      <c r="B329" s="127" t="s">
        <v>415</v>
      </c>
      <c r="C329" s="177">
        <f t="shared" si="180"/>
        <v>1.5</v>
      </c>
      <c r="D329" s="28">
        <f t="shared" si="157"/>
        <v>450</v>
      </c>
      <c r="E329" s="17">
        <v>0</v>
      </c>
      <c r="F329" s="237">
        <f t="shared" si="160"/>
        <v>0</v>
      </c>
      <c r="G329" s="152">
        <v>0</v>
      </c>
      <c r="H329" s="152">
        <v>0</v>
      </c>
      <c r="I329" s="152">
        <v>0</v>
      </c>
      <c r="J329" s="17">
        <v>0</v>
      </c>
      <c r="K329" s="237">
        <f t="shared" si="158"/>
        <v>0</v>
      </c>
      <c r="L329" s="152">
        <v>0</v>
      </c>
      <c r="M329" s="152">
        <v>0</v>
      </c>
      <c r="N329" s="152">
        <v>0</v>
      </c>
      <c r="O329" s="136">
        <v>1.5</v>
      </c>
      <c r="P329" s="28">
        <f t="shared" si="161"/>
        <v>450</v>
      </c>
      <c r="Q329" s="28">
        <v>0</v>
      </c>
      <c r="R329" s="28">
        <v>0</v>
      </c>
      <c r="S329" s="151">
        <v>450</v>
      </c>
      <c r="T329" s="136">
        <v>0</v>
      </c>
      <c r="U329" s="28">
        <f t="shared" si="162"/>
        <v>0</v>
      </c>
      <c r="V329" s="28">
        <v>0</v>
      </c>
      <c r="W329" s="28">
        <v>0</v>
      </c>
      <c r="X329" s="151">
        <v>0</v>
      </c>
      <c r="Y329" s="136">
        <v>0</v>
      </c>
      <c r="Z329" s="152">
        <f t="shared" si="163"/>
        <v>0</v>
      </c>
      <c r="AA329" s="152">
        <v>0</v>
      </c>
      <c r="AB329" s="152">
        <v>0</v>
      </c>
      <c r="AC329" s="157">
        <v>0</v>
      </c>
      <c r="AD329" s="36"/>
      <c r="AE329" s="37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</row>
    <row r="330" spans="1:43" s="22" customFormat="1" ht="23.45" customHeight="1" outlineLevel="1" x14ac:dyDescent="0.2">
      <c r="A330" s="142" t="s">
        <v>675</v>
      </c>
      <c r="B330" s="127" t="s">
        <v>416</v>
      </c>
      <c r="C330" s="177">
        <f t="shared" si="180"/>
        <v>2.6100000000000003</v>
      </c>
      <c r="D330" s="28">
        <f t="shared" si="157"/>
        <v>783.00000000000011</v>
      </c>
      <c r="E330" s="17">
        <v>0</v>
      </c>
      <c r="F330" s="237">
        <f t="shared" si="160"/>
        <v>0</v>
      </c>
      <c r="G330" s="152">
        <v>0</v>
      </c>
      <c r="H330" s="152">
        <v>0</v>
      </c>
      <c r="I330" s="152">
        <v>0</v>
      </c>
      <c r="J330" s="17">
        <v>0</v>
      </c>
      <c r="K330" s="237">
        <f t="shared" si="158"/>
        <v>0</v>
      </c>
      <c r="L330" s="152">
        <v>0</v>
      </c>
      <c r="M330" s="152">
        <v>0</v>
      </c>
      <c r="N330" s="152">
        <v>0</v>
      </c>
      <c r="O330" s="136">
        <v>2.6100000000000003</v>
      </c>
      <c r="P330" s="28">
        <f t="shared" si="161"/>
        <v>783.00000000000011</v>
      </c>
      <c r="Q330" s="28">
        <v>0</v>
      </c>
      <c r="R330" s="28">
        <v>0</v>
      </c>
      <c r="S330" s="151">
        <v>783.00000000000011</v>
      </c>
      <c r="T330" s="136">
        <v>0</v>
      </c>
      <c r="U330" s="28">
        <f t="shared" si="162"/>
        <v>0</v>
      </c>
      <c r="V330" s="28">
        <v>0</v>
      </c>
      <c r="W330" s="28">
        <v>0</v>
      </c>
      <c r="X330" s="151">
        <v>0</v>
      </c>
      <c r="Y330" s="136">
        <v>0</v>
      </c>
      <c r="Z330" s="152">
        <f t="shared" si="163"/>
        <v>0</v>
      </c>
      <c r="AA330" s="152">
        <v>0</v>
      </c>
      <c r="AB330" s="152">
        <v>0</v>
      </c>
      <c r="AC330" s="157">
        <v>0</v>
      </c>
      <c r="AD330" s="36"/>
      <c r="AE330" s="37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</row>
    <row r="331" spans="1:43" s="22" customFormat="1" ht="22.9" customHeight="1" outlineLevel="1" x14ac:dyDescent="0.2">
      <c r="A331" s="142" t="s">
        <v>676</v>
      </c>
      <c r="B331" s="127" t="s">
        <v>417</v>
      </c>
      <c r="C331" s="177">
        <f t="shared" si="180"/>
        <v>1.34</v>
      </c>
      <c r="D331" s="28">
        <f t="shared" si="157"/>
        <v>402</v>
      </c>
      <c r="E331" s="17">
        <v>0</v>
      </c>
      <c r="F331" s="237">
        <f t="shared" si="160"/>
        <v>0</v>
      </c>
      <c r="G331" s="152">
        <v>0</v>
      </c>
      <c r="H331" s="152">
        <v>0</v>
      </c>
      <c r="I331" s="152">
        <v>0</v>
      </c>
      <c r="J331" s="17">
        <v>0</v>
      </c>
      <c r="K331" s="237">
        <f t="shared" si="158"/>
        <v>0</v>
      </c>
      <c r="L331" s="152">
        <v>0</v>
      </c>
      <c r="M331" s="152">
        <v>0</v>
      </c>
      <c r="N331" s="152">
        <v>0</v>
      </c>
      <c r="O331" s="136">
        <v>1.34</v>
      </c>
      <c r="P331" s="28">
        <f t="shared" si="161"/>
        <v>402</v>
      </c>
      <c r="Q331" s="28">
        <v>0</v>
      </c>
      <c r="R331" s="28">
        <v>0</v>
      </c>
      <c r="S331" s="151">
        <v>402</v>
      </c>
      <c r="T331" s="136">
        <v>0</v>
      </c>
      <c r="U331" s="28">
        <f t="shared" si="162"/>
        <v>0</v>
      </c>
      <c r="V331" s="28">
        <v>0</v>
      </c>
      <c r="W331" s="28">
        <v>0</v>
      </c>
      <c r="X331" s="151">
        <v>0</v>
      </c>
      <c r="Y331" s="136">
        <v>0</v>
      </c>
      <c r="Z331" s="152">
        <f t="shared" si="163"/>
        <v>0</v>
      </c>
      <c r="AA331" s="152">
        <v>0</v>
      </c>
      <c r="AB331" s="152">
        <v>0</v>
      </c>
      <c r="AC331" s="157">
        <v>0</v>
      </c>
      <c r="AD331" s="36"/>
      <c r="AE331" s="37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</row>
    <row r="332" spans="1:43" s="22" customFormat="1" ht="33" customHeight="1" outlineLevel="1" x14ac:dyDescent="0.2">
      <c r="A332" s="142" t="s">
        <v>677</v>
      </c>
      <c r="B332" s="127" t="s">
        <v>418</v>
      </c>
      <c r="C332" s="177">
        <f t="shared" si="180"/>
        <v>0.61</v>
      </c>
      <c r="D332" s="28">
        <f t="shared" si="157"/>
        <v>181.5</v>
      </c>
      <c r="E332" s="17">
        <v>0</v>
      </c>
      <c r="F332" s="237">
        <f t="shared" si="160"/>
        <v>0</v>
      </c>
      <c r="G332" s="152">
        <v>0</v>
      </c>
      <c r="H332" s="152">
        <v>0</v>
      </c>
      <c r="I332" s="152">
        <v>0</v>
      </c>
      <c r="J332" s="17">
        <v>0</v>
      </c>
      <c r="K332" s="237">
        <f t="shared" si="158"/>
        <v>0</v>
      </c>
      <c r="L332" s="152">
        <v>0</v>
      </c>
      <c r="M332" s="152">
        <v>0</v>
      </c>
      <c r="N332" s="152">
        <v>0</v>
      </c>
      <c r="O332" s="136">
        <f>ROUND(0.605,2)</f>
        <v>0.61</v>
      </c>
      <c r="P332" s="28">
        <f t="shared" si="161"/>
        <v>181.5</v>
      </c>
      <c r="Q332" s="28">
        <v>0</v>
      </c>
      <c r="R332" s="28">
        <v>0</v>
      </c>
      <c r="S332" s="151">
        <v>181.5</v>
      </c>
      <c r="T332" s="136">
        <v>0</v>
      </c>
      <c r="U332" s="28">
        <f t="shared" si="162"/>
        <v>0</v>
      </c>
      <c r="V332" s="28">
        <v>0</v>
      </c>
      <c r="W332" s="28">
        <v>0</v>
      </c>
      <c r="X332" s="151">
        <v>0</v>
      </c>
      <c r="Y332" s="136">
        <v>0</v>
      </c>
      <c r="Z332" s="152">
        <f t="shared" si="163"/>
        <v>0</v>
      </c>
      <c r="AA332" s="152">
        <v>0</v>
      </c>
      <c r="AB332" s="152">
        <v>0</v>
      </c>
      <c r="AC332" s="157">
        <v>0</v>
      </c>
      <c r="AD332" s="36"/>
      <c r="AE332" s="37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</row>
    <row r="333" spans="1:43" s="22" customFormat="1" ht="33" customHeight="1" outlineLevel="1" x14ac:dyDescent="0.2">
      <c r="A333" s="142" t="s">
        <v>678</v>
      </c>
      <c r="B333" s="127" t="s">
        <v>419</v>
      </c>
      <c r="C333" s="177">
        <f t="shared" si="180"/>
        <v>0.44</v>
      </c>
      <c r="D333" s="28">
        <f t="shared" ref="D333:D385" si="184">F333+K333+P333+U333+Z333</f>
        <v>130.49999999999997</v>
      </c>
      <c r="E333" s="17">
        <v>0</v>
      </c>
      <c r="F333" s="237">
        <f t="shared" si="160"/>
        <v>0</v>
      </c>
      <c r="G333" s="152">
        <v>0</v>
      </c>
      <c r="H333" s="152">
        <v>0</v>
      </c>
      <c r="I333" s="152">
        <v>0</v>
      </c>
      <c r="J333" s="17">
        <v>0</v>
      </c>
      <c r="K333" s="237">
        <f t="shared" ref="K333:K387" si="185">SUM(L333:N333)</f>
        <v>0</v>
      </c>
      <c r="L333" s="152">
        <v>0</v>
      </c>
      <c r="M333" s="152">
        <v>0</v>
      </c>
      <c r="N333" s="152">
        <v>0</v>
      </c>
      <c r="O333" s="136">
        <f>ROUND(0.435,2)</f>
        <v>0.44</v>
      </c>
      <c r="P333" s="28">
        <f t="shared" si="161"/>
        <v>130.49999999999997</v>
      </c>
      <c r="Q333" s="28">
        <v>0</v>
      </c>
      <c r="R333" s="28">
        <v>0</v>
      </c>
      <c r="S333" s="151">
        <v>130.49999999999997</v>
      </c>
      <c r="T333" s="136">
        <v>0</v>
      </c>
      <c r="U333" s="28">
        <f t="shared" si="162"/>
        <v>0</v>
      </c>
      <c r="V333" s="28">
        <v>0</v>
      </c>
      <c r="W333" s="28">
        <v>0</v>
      </c>
      <c r="X333" s="151">
        <v>0</v>
      </c>
      <c r="Y333" s="136">
        <v>0</v>
      </c>
      <c r="Z333" s="152">
        <f t="shared" si="163"/>
        <v>0</v>
      </c>
      <c r="AA333" s="152">
        <v>0</v>
      </c>
      <c r="AB333" s="152">
        <v>0</v>
      </c>
      <c r="AC333" s="157">
        <v>0</v>
      </c>
      <c r="AD333" s="36"/>
      <c r="AE333" s="37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</row>
    <row r="334" spans="1:43" s="22" customFormat="1" ht="31.9" customHeight="1" outlineLevel="1" x14ac:dyDescent="0.2">
      <c r="A334" s="142" t="s">
        <v>679</v>
      </c>
      <c r="B334" s="127" t="s">
        <v>420</v>
      </c>
      <c r="C334" s="177">
        <f t="shared" si="180"/>
        <v>0.4</v>
      </c>
      <c r="D334" s="28">
        <f t="shared" si="184"/>
        <v>118.5</v>
      </c>
      <c r="E334" s="17">
        <v>0</v>
      </c>
      <c r="F334" s="237">
        <f t="shared" ref="F334:F385" si="186">G334+H334+I334</f>
        <v>0</v>
      </c>
      <c r="G334" s="152">
        <v>0</v>
      </c>
      <c r="H334" s="152">
        <v>0</v>
      </c>
      <c r="I334" s="152">
        <v>0</v>
      </c>
      <c r="J334" s="17">
        <v>0</v>
      </c>
      <c r="K334" s="237">
        <f t="shared" si="185"/>
        <v>0</v>
      </c>
      <c r="L334" s="152">
        <v>0</v>
      </c>
      <c r="M334" s="152">
        <v>0</v>
      </c>
      <c r="N334" s="152">
        <v>0</v>
      </c>
      <c r="O334" s="136">
        <f>ROUND(0.395,2)</f>
        <v>0.4</v>
      </c>
      <c r="P334" s="28">
        <f t="shared" ref="P334:P385" si="187">Q334+R334+S334</f>
        <v>118.5</v>
      </c>
      <c r="Q334" s="28">
        <v>0</v>
      </c>
      <c r="R334" s="28">
        <v>0</v>
      </c>
      <c r="S334" s="151">
        <v>118.5</v>
      </c>
      <c r="T334" s="136">
        <v>0</v>
      </c>
      <c r="U334" s="28">
        <f t="shared" ref="U334:U385" si="188">V334+W334+X334</f>
        <v>0</v>
      </c>
      <c r="V334" s="28">
        <v>0</v>
      </c>
      <c r="W334" s="28">
        <v>0</v>
      </c>
      <c r="X334" s="151">
        <v>0</v>
      </c>
      <c r="Y334" s="136">
        <v>0</v>
      </c>
      <c r="Z334" s="152">
        <f t="shared" ref="Z334:Z385" si="189">AA334+AB334+AC334</f>
        <v>0</v>
      </c>
      <c r="AA334" s="152">
        <v>0</v>
      </c>
      <c r="AB334" s="152">
        <v>0</v>
      </c>
      <c r="AC334" s="157">
        <v>0</v>
      </c>
      <c r="AD334" s="36"/>
      <c r="AE334" s="37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</row>
    <row r="335" spans="1:43" s="22" customFormat="1" ht="30" customHeight="1" outlineLevel="1" x14ac:dyDescent="0.2">
      <c r="A335" s="142" t="s">
        <v>680</v>
      </c>
      <c r="B335" s="127" t="s">
        <v>421</v>
      </c>
      <c r="C335" s="177">
        <f t="shared" si="180"/>
        <v>0.71</v>
      </c>
      <c r="D335" s="28">
        <f t="shared" si="184"/>
        <v>211.5</v>
      </c>
      <c r="E335" s="17">
        <v>0</v>
      </c>
      <c r="F335" s="237">
        <f t="shared" si="186"/>
        <v>0</v>
      </c>
      <c r="G335" s="152">
        <v>0</v>
      </c>
      <c r="H335" s="152">
        <v>0</v>
      </c>
      <c r="I335" s="152">
        <v>0</v>
      </c>
      <c r="J335" s="17">
        <v>0</v>
      </c>
      <c r="K335" s="237">
        <f t="shared" si="185"/>
        <v>0</v>
      </c>
      <c r="L335" s="152">
        <v>0</v>
      </c>
      <c r="M335" s="152">
        <v>0</v>
      </c>
      <c r="N335" s="152">
        <v>0</v>
      </c>
      <c r="O335" s="136">
        <f>ROUND(0.705,2)</f>
        <v>0.71</v>
      </c>
      <c r="P335" s="28">
        <f t="shared" si="187"/>
        <v>211.5</v>
      </c>
      <c r="Q335" s="28">
        <v>0</v>
      </c>
      <c r="R335" s="28">
        <v>0</v>
      </c>
      <c r="S335" s="151">
        <v>211.5</v>
      </c>
      <c r="T335" s="136">
        <v>0</v>
      </c>
      <c r="U335" s="28">
        <f t="shared" si="188"/>
        <v>0</v>
      </c>
      <c r="V335" s="28">
        <v>0</v>
      </c>
      <c r="W335" s="28">
        <v>0</v>
      </c>
      <c r="X335" s="151">
        <v>0</v>
      </c>
      <c r="Y335" s="136">
        <v>0</v>
      </c>
      <c r="Z335" s="152">
        <f t="shared" si="189"/>
        <v>0</v>
      </c>
      <c r="AA335" s="152">
        <v>0</v>
      </c>
      <c r="AB335" s="152">
        <v>0</v>
      </c>
      <c r="AC335" s="157">
        <v>0</v>
      </c>
      <c r="AD335" s="36"/>
      <c r="AE335" s="37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</row>
    <row r="336" spans="1:43" s="22" customFormat="1" ht="26.45" customHeight="1" outlineLevel="1" x14ac:dyDescent="0.2">
      <c r="A336" s="142" t="s">
        <v>681</v>
      </c>
      <c r="B336" s="127" t="s">
        <v>422</v>
      </c>
      <c r="C336" s="177">
        <f t="shared" si="180"/>
        <v>1.2</v>
      </c>
      <c r="D336" s="28">
        <f t="shared" si="184"/>
        <v>360</v>
      </c>
      <c r="E336" s="17">
        <v>0</v>
      </c>
      <c r="F336" s="237">
        <f t="shared" si="186"/>
        <v>0</v>
      </c>
      <c r="G336" s="152">
        <v>0</v>
      </c>
      <c r="H336" s="152">
        <v>0</v>
      </c>
      <c r="I336" s="152">
        <v>0</v>
      </c>
      <c r="J336" s="17">
        <v>0</v>
      </c>
      <c r="K336" s="237">
        <f t="shared" si="185"/>
        <v>0</v>
      </c>
      <c r="L336" s="152">
        <v>0</v>
      </c>
      <c r="M336" s="152">
        <v>0</v>
      </c>
      <c r="N336" s="152">
        <v>0</v>
      </c>
      <c r="O336" s="136">
        <v>1.2</v>
      </c>
      <c r="P336" s="28">
        <f t="shared" si="187"/>
        <v>360</v>
      </c>
      <c r="Q336" s="28">
        <v>0</v>
      </c>
      <c r="R336" s="28">
        <v>0</v>
      </c>
      <c r="S336" s="151">
        <v>360</v>
      </c>
      <c r="T336" s="136">
        <v>0</v>
      </c>
      <c r="U336" s="28">
        <f t="shared" si="188"/>
        <v>0</v>
      </c>
      <c r="V336" s="28">
        <v>0</v>
      </c>
      <c r="W336" s="28">
        <v>0</v>
      </c>
      <c r="X336" s="151">
        <v>0</v>
      </c>
      <c r="Y336" s="136">
        <v>0</v>
      </c>
      <c r="Z336" s="152">
        <f t="shared" si="189"/>
        <v>0</v>
      </c>
      <c r="AA336" s="152">
        <v>0</v>
      </c>
      <c r="AB336" s="152">
        <v>0</v>
      </c>
      <c r="AC336" s="157">
        <v>0</v>
      </c>
      <c r="AD336" s="36"/>
      <c r="AE336" s="37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</row>
    <row r="337" spans="1:43" s="22" customFormat="1" ht="27" customHeight="1" outlineLevel="1" x14ac:dyDescent="0.2">
      <c r="A337" s="142" t="s">
        <v>682</v>
      </c>
      <c r="B337" s="127" t="s">
        <v>423</v>
      </c>
      <c r="C337" s="177">
        <f t="shared" si="180"/>
        <v>1.24</v>
      </c>
      <c r="D337" s="28">
        <f t="shared" si="184"/>
        <v>372</v>
      </c>
      <c r="E337" s="17">
        <v>0</v>
      </c>
      <c r="F337" s="237">
        <f t="shared" si="186"/>
        <v>0</v>
      </c>
      <c r="G337" s="152">
        <v>0</v>
      </c>
      <c r="H337" s="152">
        <v>0</v>
      </c>
      <c r="I337" s="152">
        <v>0</v>
      </c>
      <c r="J337" s="17">
        <v>0</v>
      </c>
      <c r="K337" s="237">
        <f t="shared" si="185"/>
        <v>0</v>
      </c>
      <c r="L337" s="152">
        <v>0</v>
      </c>
      <c r="M337" s="152">
        <v>0</v>
      </c>
      <c r="N337" s="152">
        <v>0</v>
      </c>
      <c r="O337" s="136">
        <v>1.24</v>
      </c>
      <c r="P337" s="28">
        <f t="shared" si="187"/>
        <v>372</v>
      </c>
      <c r="Q337" s="28">
        <v>0</v>
      </c>
      <c r="R337" s="28">
        <v>0</v>
      </c>
      <c r="S337" s="151">
        <v>372</v>
      </c>
      <c r="T337" s="136">
        <v>0</v>
      </c>
      <c r="U337" s="28">
        <f t="shared" si="188"/>
        <v>0</v>
      </c>
      <c r="V337" s="28">
        <v>0</v>
      </c>
      <c r="W337" s="28">
        <v>0</v>
      </c>
      <c r="X337" s="151">
        <v>0</v>
      </c>
      <c r="Y337" s="136">
        <v>0</v>
      </c>
      <c r="Z337" s="152">
        <f t="shared" si="189"/>
        <v>0</v>
      </c>
      <c r="AA337" s="152">
        <v>0</v>
      </c>
      <c r="AB337" s="152">
        <v>0</v>
      </c>
      <c r="AC337" s="157">
        <v>0</v>
      </c>
      <c r="AD337" s="36"/>
      <c r="AE337" s="37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</row>
    <row r="338" spans="1:43" s="22" customFormat="1" ht="35.450000000000003" customHeight="1" outlineLevel="1" x14ac:dyDescent="0.2">
      <c r="A338" s="142" t="s">
        <v>683</v>
      </c>
      <c r="B338" s="127" t="s">
        <v>424</v>
      </c>
      <c r="C338" s="177">
        <f t="shared" si="180"/>
        <v>1.19</v>
      </c>
      <c r="D338" s="28">
        <f t="shared" si="184"/>
        <v>357</v>
      </c>
      <c r="E338" s="17">
        <v>0</v>
      </c>
      <c r="F338" s="237">
        <f t="shared" si="186"/>
        <v>0</v>
      </c>
      <c r="G338" s="152">
        <v>0</v>
      </c>
      <c r="H338" s="152">
        <v>0</v>
      </c>
      <c r="I338" s="152">
        <v>0</v>
      </c>
      <c r="J338" s="17">
        <v>0</v>
      </c>
      <c r="K338" s="237">
        <f t="shared" si="185"/>
        <v>0</v>
      </c>
      <c r="L338" s="152">
        <v>0</v>
      </c>
      <c r="M338" s="152">
        <v>0</v>
      </c>
      <c r="N338" s="152">
        <v>0</v>
      </c>
      <c r="O338" s="136">
        <v>1.19</v>
      </c>
      <c r="P338" s="28">
        <f t="shared" si="187"/>
        <v>357</v>
      </c>
      <c r="Q338" s="28">
        <v>0</v>
      </c>
      <c r="R338" s="28">
        <v>0</v>
      </c>
      <c r="S338" s="151">
        <v>357</v>
      </c>
      <c r="T338" s="136">
        <v>0</v>
      </c>
      <c r="U338" s="28">
        <f t="shared" si="188"/>
        <v>0</v>
      </c>
      <c r="V338" s="28">
        <v>0</v>
      </c>
      <c r="W338" s="28">
        <v>0</v>
      </c>
      <c r="X338" s="151">
        <v>0</v>
      </c>
      <c r="Y338" s="136">
        <v>0</v>
      </c>
      <c r="Z338" s="152">
        <f t="shared" si="189"/>
        <v>0</v>
      </c>
      <c r="AA338" s="152">
        <v>0</v>
      </c>
      <c r="AB338" s="152">
        <v>0</v>
      </c>
      <c r="AC338" s="157">
        <v>0</v>
      </c>
      <c r="AD338" s="36"/>
      <c r="AE338" s="37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</row>
    <row r="339" spans="1:43" s="22" customFormat="1" ht="23.45" customHeight="1" outlineLevel="1" x14ac:dyDescent="0.2">
      <c r="A339" s="142" t="s">
        <v>684</v>
      </c>
      <c r="B339" s="127" t="s">
        <v>425</v>
      </c>
      <c r="C339" s="177">
        <f t="shared" si="180"/>
        <v>3.03</v>
      </c>
      <c r="D339" s="28">
        <f t="shared" si="184"/>
        <v>908.99999999999989</v>
      </c>
      <c r="E339" s="17">
        <v>0</v>
      </c>
      <c r="F339" s="237">
        <f t="shared" si="186"/>
        <v>0</v>
      </c>
      <c r="G339" s="152">
        <v>0</v>
      </c>
      <c r="H339" s="152">
        <v>0</v>
      </c>
      <c r="I339" s="152">
        <v>0</v>
      </c>
      <c r="J339" s="17">
        <v>0</v>
      </c>
      <c r="K339" s="237">
        <f t="shared" si="185"/>
        <v>0</v>
      </c>
      <c r="L339" s="152">
        <v>0</v>
      </c>
      <c r="M339" s="152">
        <v>0</v>
      </c>
      <c r="N339" s="152">
        <v>0</v>
      </c>
      <c r="O339" s="136">
        <v>3.03</v>
      </c>
      <c r="P339" s="28">
        <f t="shared" si="187"/>
        <v>908.99999999999989</v>
      </c>
      <c r="Q339" s="28">
        <v>0</v>
      </c>
      <c r="R339" s="28">
        <v>0</v>
      </c>
      <c r="S339" s="151">
        <v>908.99999999999989</v>
      </c>
      <c r="T339" s="136">
        <v>0</v>
      </c>
      <c r="U339" s="28">
        <f t="shared" si="188"/>
        <v>0</v>
      </c>
      <c r="V339" s="28">
        <v>0</v>
      </c>
      <c r="W339" s="28">
        <v>0</v>
      </c>
      <c r="X339" s="151">
        <v>0</v>
      </c>
      <c r="Y339" s="136">
        <v>0</v>
      </c>
      <c r="Z339" s="152">
        <f t="shared" si="189"/>
        <v>0</v>
      </c>
      <c r="AA339" s="152">
        <v>0</v>
      </c>
      <c r="AB339" s="152">
        <v>0</v>
      </c>
      <c r="AC339" s="157">
        <v>0</v>
      </c>
      <c r="AD339" s="36"/>
      <c r="AE339" s="37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</row>
    <row r="340" spans="1:43" s="22" customFormat="1" ht="29.45" customHeight="1" outlineLevel="1" x14ac:dyDescent="0.2">
      <c r="A340" s="142" t="s">
        <v>685</v>
      </c>
      <c r="B340" s="127" t="s">
        <v>426</v>
      </c>
      <c r="C340" s="177">
        <f t="shared" si="180"/>
        <v>3.16</v>
      </c>
      <c r="D340" s="28">
        <f t="shared" si="184"/>
        <v>946.50000000000011</v>
      </c>
      <c r="E340" s="17">
        <v>0</v>
      </c>
      <c r="F340" s="237">
        <f t="shared" si="186"/>
        <v>0</v>
      </c>
      <c r="G340" s="152">
        <v>0</v>
      </c>
      <c r="H340" s="152">
        <v>0</v>
      </c>
      <c r="I340" s="152">
        <v>0</v>
      </c>
      <c r="J340" s="17">
        <v>0</v>
      </c>
      <c r="K340" s="237">
        <f t="shared" si="185"/>
        <v>0</v>
      </c>
      <c r="L340" s="152">
        <v>0</v>
      </c>
      <c r="M340" s="152">
        <v>0</v>
      </c>
      <c r="N340" s="152">
        <v>0</v>
      </c>
      <c r="O340" s="136">
        <f>ROUND(3.155,2)</f>
        <v>3.16</v>
      </c>
      <c r="P340" s="28">
        <f t="shared" si="187"/>
        <v>946.50000000000011</v>
      </c>
      <c r="Q340" s="28">
        <v>0</v>
      </c>
      <c r="R340" s="28">
        <v>0</v>
      </c>
      <c r="S340" s="151">
        <v>946.50000000000011</v>
      </c>
      <c r="T340" s="136">
        <v>0</v>
      </c>
      <c r="U340" s="28">
        <f t="shared" si="188"/>
        <v>0</v>
      </c>
      <c r="V340" s="28">
        <v>0</v>
      </c>
      <c r="W340" s="28">
        <v>0</v>
      </c>
      <c r="X340" s="151">
        <v>0</v>
      </c>
      <c r="Y340" s="136">
        <v>0</v>
      </c>
      <c r="Z340" s="152">
        <f t="shared" si="189"/>
        <v>0</v>
      </c>
      <c r="AA340" s="152">
        <v>0</v>
      </c>
      <c r="AB340" s="152">
        <v>0</v>
      </c>
      <c r="AC340" s="157">
        <v>0</v>
      </c>
      <c r="AD340" s="36"/>
      <c r="AE340" s="37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</row>
    <row r="341" spans="1:43" s="22" customFormat="1" ht="27" customHeight="1" outlineLevel="1" x14ac:dyDescent="0.2">
      <c r="A341" s="142" t="s">
        <v>686</v>
      </c>
      <c r="B341" s="127" t="s">
        <v>427</v>
      </c>
      <c r="C341" s="177">
        <f t="shared" si="180"/>
        <v>1.79</v>
      </c>
      <c r="D341" s="28">
        <f t="shared" si="184"/>
        <v>535.5</v>
      </c>
      <c r="E341" s="17">
        <v>0</v>
      </c>
      <c r="F341" s="237">
        <f t="shared" si="186"/>
        <v>0</v>
      </c>
      <c r="G341" s="152">
        <v>0</v>
      </c>
      <c r="H341" s="152">
        <v>0</v>
      </c>
      <c r="I341" s="152">
        <v>0</v>
      </c>
      <c r="J341" s="17">
        <v>0</v>
      </c>
      <c r="K341" s="237">
        <f t="shared" si="185"/>
        <v>0</v>
      </c>
      <c r="L341" s="152">
        <v>0</v>
      </c>
      <c r="M341" s="152">
        <v>0</v>
      </c>
      <c r="N341" s="152">
        <v>0</v>
      </c>
      <c r="O341" s="136">
        <f>ROUND(1.785,2)</f>
        <v>1.79</v>
      </c>
      <c r="P341" s="28">
        <f t="shared" si="187"/>
        <v>535.5</v>
      </c>
      <c r="Q341" s="28">
        <v>0</v>
      </c>
      <c r="R341" s="28">
        <v>0</v>
      </c>
      <c r="S341" s="151">
        <v>535.5</v>
      </c>
      <c r="T341" s="136">
        <v>0</v>
      </c>
      <c r="U341" s="28">
        <f t="shared" si="188"/>
        <v>0</v>
      </c>
      <c r="V341" s="28">
        <v>0</v>
      </c>
      <c r="W341" s="28">
        <v>0</v>
      </c>
      <c r="X341" s="151">
        <v>0</v>
      </c>
      <c r="Y341" s="136">
        <v>0</v>
      </c>
      <c r="Z341" s="152">
        <f t="shared" si="189"/>
        <v>0</v>
      </c>
      <c r="AA341" s="152">
        <v>0</v>
      </c>
      <c r="AB341" s="152">
        <v>0</v>
      </c>
      <c r="AC341" s="157">
        <v>0</v>
      </c>
      <c r="AD341" s="36"/>
      <c r="AE341" s="37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</row>
    <row r="342" spans="1:43" s="22" customFormat="1" ht="28.15" customHeight="1" outlineLevel="1" x14ac:dyDescent="0.2">
      <c r="A342" s="142" t="s">
        <v>687</v>
      </c>
      <c r="B342" s="127" t="s">
        <v>428</v>
      </c>
      <c r="C342" s="177">
        <f t="shared" si="180"/>
        <v>0.82</v>
      </c>
      <c r="D342" s="28">
        <f t="shared" si="184"/>
        <v>244.50000000000003</v>
      </c>
      <c r="E342" s="17">
        <v>0</v>
      </c>
      <c r="F342" s="237">
        <f t="shared" si="186"/>
        <v>0</v>
      </c>
      <c r="G342" s="152">
        <v>0</v>
      </c>
      <c r="H342" s="152">
        <v>0</v>
      </c>
      <c r="I342" s="152">
        <v>0</v>
      </c>
      <c r="J342" s="17">
        <v>0</v>
      </c>
      <c r="K342" s="237">
        <f t="shared" si="185"/>
        <v>0</v>
      </c>
      <c r="L342" s="152">
        <v>0</v>
      </c>
      <c r="M342" s="152">
        <v>0</v>
      </c>
      <c r="N342" s="152">
        <v>0</v>
      </c>
      <c r="O342" s="136">
        <f>ROUND(0.815,2)</f>
        <v>0.82</v>
      </c>
      <c r="P342" s="28">
        <f t="shared" si="187"/>
        <v>244.50000000000003</v>
      </c>
      <c r="Q342" s="28">
        <v>0</v>
      </c>
      <c r="R342" s="28">
        <v>0</v>
      </c>
      <c r="S342" s="151">
        <v>244.50000000000003</v>
      </c>
      <c r="T342" s="136">
        <v>0</v>
      </c>
      <c r="U342" s="28">
        <f t="shared" si="188"/>
        <v>0</v>
      </c>
      <c r="V342" s="28">
        <v>0</v>
      </c>
      <c r="W342" s="28">
        <v>0</v>
      </c>
      <c r="X342" s="151">
        <v>0</v>
      </c>
      <c r="Y342" s="136">
        <v>0</v>
      </c>
      <c r="Z342" s="152">
        <f t="shared" si="189"/>
        <v>0</v>
      </c>
      <c r="AA342" s="152">
        <v>0</v>
      </c>
      <c r="AB342" s="152">
        <v>0</v>
      </c>
      <c r="AC342" s="157">
        <v>0</v>
      </c>
      <c r="AD342" s="36"/>
      <c r="AE342" s="37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</row>
    <row r="343" spans="1:43" s="22" customFormat="1" ht="25.15" customHeight="1" outlineLevel="1" x14ac:dyDescent="0.2">
      <c r="A343" s="142" t="s">
        <v>688</v>
      </c>
      <c r="B343" s="127" t="s">
        <v>429</v>
      </c>
      <c r="C343" s="177">
        <f t="shared" si="180"/>
        <v>0.75</v>
      </c>
      <c r="D343" s="28">
        <f t="shared" si="184"/>
        <v>225</v>
      </c>
      <c r="E343" s="17">
        <v>0</v>
      </c>
      <c r="F343" s="237">
        <f t="shared" si="186"/>
        <v>0</v>
      </c>
      <c r="G343" s="152">
        <v>0</v>
      </c>
      <c r="H343" s="152">
        <v>0</v>
      </c>
      <c r="I343" s="152">
        <v>0</v>
      </c>
      <c r="J343" s="17">
        <v>0</v>
      </c>
      <c r="K343" s="237">
        <f t="shared" si="185"/>
        <v>0</v>
      </c>
      <c r="L343" s="152">
        <v>0</v>
      </c>
      <c r="M343" s="152">
        <v>0</v>
      </c>
      <c r="N343" s="152">
        <v>0</v>
      </c>
      <c r="O343" s="136">
        <v>0.75</v>
      </c>
      <c r="P343" s="28">
        <f t="shared" si="187"/>
        <v>225</v>
      </c>
      <c r="Q343" s="28">
        <v>0</v>
      </c>
      <c r="R343" s="28">
        <v>0</v>
      </c>
      <c r="S343" s="151">
        <v>225</v>
      </c>
      <c r="T343" s="136">
        <v>0</v>
      </c>
      <c r="U343" s="28">
        <f t="shared" si="188"/>
        <v>0</v>
      </c>
      <c r="V343" s="28">
        <v>0</v>
      </c>
      <c r="W343" s="28">
        <v>0</v>
      </c>
      <c r="X343" s="151">
        <v>0</v>
      </c>
      <c r="Y343" s="136">
        <v>0</v>
      </c>
      <c r="Z343" s="152">
        <f t="shared" si="189"/>
        <v>0</v>
      </c>
      <c r="AA343" s="152">
        <v>0</v>
      </c>
      <c r="AB343" s="152">
        <v>0</v>
      </c>
      <c r="AC343" s="157">
        <v>0</v>
      </c>
      <c r="AD343" s="36"/>
      <c r="AE343" s="37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</row>
    <row r="344" spans="1:43" s="22" customFormat="1" ht="28.9" customHeight="1" outlineLevel="1" x14ac:dyDescent="0.2">
      <c r="A344" s="142" t="s">
        <v>689</v>
      </c>
      <c r="B344" s="127" t="s">
        <v>430</v>
      </c>
      <c r="C344" s="177">
        <f t="shared" si="180"/>
        <v>1.06</v>
      </c>
      <c r="D344" s="28">
        <f t="shared" si="184"/>
        <v>318</v>
      </c>
      <c r="E344" s="17">
        <v>0</v>
      </c>
      <c r="F344" s="237">
        <f t="shared" si="186"/>
        <v>0</v>
      </c>
      <c r="G344" s="152">
        <v>0</v>
      </c>
      <c r="H344" s="152">
        <v>0</v>
      </c>
      <c r="I344" s="152">
        <v>0</v>
      </c>
      <c r="J344" s="17">
        <v>0</v>
      </c>
      <c r="K344" s="237">
        <f t="shared" si="185"/>
        <v>0</v>
      </c>
      <c r="L344" s="152">
        <v>0</v>
      </c>
      <c r="M344" s="152">
        <v>0</v>
      </c>
      <c r="N344" s="152">
        <v>0</v>
      </c>
      <c r="O344" s="136">
        <v>1.06</v>
      </c>
      <c r="P344" s="28">
        <f t="shared" si="187"/>
        <v>318</v>
      </c>
      <c r="Q344" s="28">
        <v>0</v>
      </c>
      <c r="R344" s="28">
        <v>0</v>
      </c>
      <c r="S344" s="151">
        <v>318</v>
      </c>
      <c r="T344" s="136">
        <v>0</v>
      </c>
      <c r="U344" s="28">
        <f t="shared" si="188"/>
        <v>0</v>
      </c>
      <c r="V344" s="28">
        <v>0</v>
      </c>
      <c r="W344" s="28">
        <v>0</v>
      </c>
      <c r="X344" s="151">
        <v>0</v>
      </c>
      <c r="Y344" s="136">
        <v>0</v>
      </c>
      <c r="Z344" s="152">
        <f t="shared" si="189"/>
        <v>0</v>
      </c>
      <c r="AA344" s="152">
        <v>0</v>
      </c>
      <c r="AB344" s="152">
        <v>0</v>
      </c>
      <c r="AC344" s="157">
        <v>0</v>
      </c>
      <c r="AD344" s="36"/>
      <c r="AE344" s="37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</row>
    <row r="345" spans="1:43" s="22" customFormat="1" ht="26.45" customHeight="1" outlineLevel="1" x14ac:dyDescent="0.2">
      <c r="A345" s="142" t="s">
        <v>690</v>
      </c>
      <c r="B345" s="127" t="s">
        <v>431</v>
      </c>
      <c r="C345" s="177">
        <f t="shared" si="180"/>
        <v>3.68</v>
      </c>
      <c r="D345" s="28">
        <f t="shared" si="184"/>
        <v>1102.5</v>
      </c>
      <c r="E345" s="17">
        <v>0</v>
      </c>
      <c r="F345" s="237">
        <f t="shared" si="186"/>
        <v>0</v>
      </c>
      <c r="G345" s="152">
        <v>0</v>
      </c>
      <c r="H345" s="152">
        <v>0</v>
      </c>
      <c r="I345" s="152">
        <v>0</v>
      </c>
      <c r="J345" s="17">
        <v>0</v>
      </c>
      <c r="K345" s="237">
        <f t="shared" si="185"/>
        <v>0</v>
      </c>
      <c r="L345" s="152">
        <v>0</v>
      </c>
      <c r="M345" s="152">
        <v>0</v>
      </c>
      <c r="N345" s="152">
        <v>0</v>
      </c>
      <c r="O345" s="136">
        <f>ROUND(3.675,2)</f>
        <v>3.68</v>
      </c>
      <c r="P345" s="28">
        <f t="shared" si="187"/>
        <v>1102.5</v>
      </c>
      <c r="Q345" s="28">
        <v>0</v>
      </c>
      <c r="R345" s="28">
        <v>0</v>
      </c>
      <c r="S345" s="151">
        <v>1102.5</v>
      </c>
      <c r="T345" s="136">
        <v>0</v>
      </c>
      <c r="U345" s="28">
        <f t="shared" si="188"/>
        <v>0</v>
      </c>
      <c r="V345" s="28">
        <v>0</v>
      </c>
      <c r="W345" s="28">
        <v>0</v>
      </c>
      <c r="X345" s="151">
        <v>0</v>
      </c>
      <c r="Y345" s="136">
        <v>0</v>
      </c>
      <c r="Z345" s="152">
        <f t="shared" si="189"/>
        <v>0</v>
      </c>
      <c r="AA345" s="152">
        <v>0</v>
      </c>
      <c r="AB345" s="152">
        <v>0</v>
      </c>
      <c r="AC345" s="157">
        <v>0</v>
      </c>
      <c r="AD345" s="36"/>
      <c r="AE345" s="37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</row>
    <row r="346" spans="1:43" s="22" customFormat="1" ht="25.9" customHeight="1" outlineLevel="1" x14ac:dyDescent="0.2">
      <c r="A346" s="142" t="s">
        <v>691</v>
      </c>
      <c r="B346" s="127" t="s">
        <v>439</v>
      </c>
      <c r="C346" s="177">
        <f t="shared" si="180"/>
        <v>1.59</v>
      </c>
      <c r="D346" s="28">
        <f t="shared" si="184"/>
        <v>477</v>
      </c>
      <c r="E346" s="17">
        <v>0</v>
      </c>
      <c r="F346" s="237">
        <f t="shared" si="186"/>
        <v>0</v>
      </c>
      <c r="G346" s="152">
        <v>0</v>
      </c>
      <c r="H346" s="152">
        <v>0</v>
      </c>
      <c r="I346" s="152">
        <v>0</v>
      </c>
      <c r="J346" s="17">
        <v>0</v>
      </c>
      <c r="K346" s="237">
        <f t="shared" si="185"/>
        <v>0</v>
      </c>
      <c r="L346" s="152">
        <v>0</v>
      </c>
      <c r="M346" s="152">
        <v>0</v>
      </c>
      <c r="N346" s="152">
        <v>0</v>
      </c>
      <c r="O346" s="136">
        <v>1.59</v>
      </c>
      <c r="P346" s="28">
        <f t="shared" si="187"/>
        <v>477</v>
      </c>
      <c r="Q346" s="28">
        <v>0</v>
      </c>
      <c r="R346" s="28">
        <v>0</v>
      </c>
      <c r="S346" s="151">
        <v>477</v>
      </c>
      <c r="T346" s="136">
        <v>0</v>
      </c>
      <c r="U346" s="28">
        <f t="shared" si="188"/>
        <v>0</v>
      </c>
      <c r="V346" s="28">
        <v>0</v>
      </c>
      <c r="W346" s="28">
        <v>0</v>
      </c>
      <c r="X346" s="151">
        <v>0</v>
      </c>
      <c r="Y346" s="136">
        <v>0</v>
      </c>
      <c r="Z346" s="152">
        <f t="shared" si="189"/>
        <v>0</v>
      </c>
      <c r="AA346" s="152">
        <v>0</v>
      </c>
      <c r="AB346" s="152">
        <v>0</v>
      </c>
      <c r="AC346" s="157">
        <v>0</v>
      </c>
      <c r="AD346" s="36"/>
      <c r="AE346" s="37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</row>
    <row r="347" spans="1:43" s="22" customFormat="1" ht="28.9" customHeight="1" outlineLevel="1" x14ac:dyDescent="0.2">
      <c r="A347" s="142" t="s">
        <v>692</v>
      </c>
      <c r="B347" s="127" t="s">
        <v>440</v>
      </c>
      <c r="C347" s="177">
        <f t="shared" si="180"/>
        <v>1.39</v>
      </c>
      <c r="D347" s="28">
        <f t="shared" si="184"/>
        <v>415.50000000000006</v>
      </c>
      <c r="E347" s="17">
        <v>0</v>
      </c>
      <c r="F347" s="237">
        <f t="shared" si="186"/>
        <v>0</v>
      </c>
      <c r="G347" s="152">
        <v>0</v>
      </c>
      <c r="H347" s="152">
        <v>0</v>
      </c>
      <c r="I347" s="152">
        <v>0</v>
      </c>
      <c r="J347" s="17">
        <v>0</v>
      </c>
      <c r="K347" s="237">
        <f t="shared" si="185"/>
        <v>0</v>
      </c>
      <c r="L347" s="152">
        <v>0</v>
      </c>
      <c r="M347" s="152">
        <v>0</v>
      </c>
      <c r="N347" s="152">
        <v>0</v>
      </c>
      <c r="O347" s="136">
        <f>ROUND(1.385,2)</f>
        <v>1.39</v>
      </c>
      <c r="P347" s="28">
        <f t="shared" si="187"/>
        <v>415.50000000000006</v>
      </c>
      <c r="Q347" s="28">
        <v>0</v>
      </c>
      <c r="R347" s="28">
        <v>0</v>
      </c>
      <c r="S347" s="151">
        <v>415.50000000000006</v>
      </c>
      <c r="T347" s="136">
        <v>0</v>
      </c>
      <c r="U347" s="28">
        <f t="shared" si="188"/>
        <v>0</v>
      </c>
      <c r="V347" s="28">
        <v>0</v>
      </c>
      <c r="W347" s="28">
        <v>0</v>
      </c>
      <c r="X347" s="151">
        <v>0</v>
      </c>
      <c r="Y347" s="136">
        <v>0</v>
      </c>
      <c r="Z347" s="152">
        <f t="shared" si="189"/>
        <v>0</v>
      </c>
      <c r="AA347" s="152">
        <v>0</v>
      </c>
      <c r="AB347" s="152">
        <v>0</v>
      </c>
      <c r="AC347" s="157">
        <v>0</v>
      </c>
      <c r="AD347" s="36"/>
      <c r="AE347" s="37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</row>
    <row r="348" spans="1:43" s="22" customFormat="1" ht="26.45" customHeight="1" outlineLevel="1" x14ac:dyDescent="0.2">
      <c r="A348" s="142" t="s">
        <v>693</v>
      </c>
      <c r="B348" s="127" t="s">
        <v>441</v>
      </c>
      <c r="C348" s="177">
        <f t="shared" si="180"/>
        <v>1.9</v>
      </c>
      <c r="D348" s="28">
        <f t="shared" si="184"/>
        <v>570</v>
      </c>
      <c r="E348" s="17">
        <v>0</v>
      </c>
      <c r="F348" s="237">
        <f t="shared" si="186"/>
        <v>0</v>
      </c>
      <c r="G348" s="152">
        <v>0</v>
      </c>
      <c r="H348" s="152">
        <v>0</v>
      </c>
      <c r="I348" s="152">
        <v>0</v>
      </c>
      <c r="J348" s="17">
        <v>0</v>
      </c>
      <c r="K348" s="237">
        <f t="shared" si="185"/>
        <v>0</v>
      </c>
      <c r="L348" s="152">
        <v>0</v>
      </c>
      <c r="M348" s="152">
        <v>0</v>
      </c>
      <c r="N348" s="152">
        <v>0</v>
      </c>
      <c r="O348" s="136">
        <v>1.9</v>
      </c>
      <c r="P348" s="28">
        <f t="shared" si="187"/>
        <v>570</v>
      </c>
      <c r="Q348" s="28">
        <v>0</v>
      </c>
      <c r="R348" s="28">
        <v>0</v>
      </c>
      <c r="S348" s="151">
        <v>570</v>
      </c>
      <c r="T348" s="136">
        <v>0</v>
      </c>
      <c r="U348" s="28">
        <f t="shared" si="188"/>
        <v>0</v>
      </c>
      <c r="V348" s="28">
        <v>0</v>
      </c>
      <c r="W348" s="28">
        <v>0</v>
      </c>
      <c r="X348" s="151">
        <v>0</v>
      </c>
      <c r="Y348" s="136">
        <v>0</v>
      </c>
      <c r="Z348" s="152">
        <f t="shared" si="189"/>
        <v>0</v>
      </c>
      <c r="AA348" s="152">
        <v>0</v>
      </c>
      <c r="AB348" s="152">
        <v>0</v>
      </c>
      <c r="AC348" s="157">
        <v>0</v>
      </c>
      <c r="AD348" s="36"/>
      <c r="AE348" s="37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</row>
    <row r="349" spans="1:43" s="22" customFormat="1" ht="33" customHeight="1" outlineLevel="1" x14ac:dyDescent="0.2">
      <c r="A349" s="142" t="s">
        <v>694</v>
      </c>
      <c r="B349" s="127" t="s">
        <v>442</v>
      </c>
      <c r="C349" s="177">
        <f t="shared" si="180"/>
        <v>0.95</v>
      </c>
      <c r="D349" s="28">
        <f t="shared" si="184"/>
        <v>285</v>
      </c>
      <c r="E349" s="17">
        <v>0</v>
      </c>
      <c r="F349" s="237">
        <f t="shared" si="186"/>
        <v>0</v>
      </c>
      <c r="G349" s="152">
        <v>0</v>
      </c>
      <c r="H349" s="152">
        <v>0</v>
      </c>
      <c r="I349" s="152">
        <v>0</v>
      </c>
      <c r="J349" s="17">
        <v>0</v>
      </c>
      <c r="K349" s="237">
        <f t="shared" si="185"/>
        <v>0</v>
      </c>
      <c r="L349" s="152">
        <v>0</v>
      </c>
      <c r="M349" s="152">
        <v>0</v>
      </c>
      <c r="N349" s="152">
        <v>0</v>
      </c>
      <c r="O349" s="136">
        <v>0.95</v>
      </c>
      <c r="P349" s="28">
        <f t="shared" si="187"/>
        <v>285</v>
      </c>
      <c r="Q349" s="28">
        <v>0</v>
      </c>
      <c r="R349" s="28">
        <v>0</v>
      </c>
      <c r="S349" s="151">
        <v>285</v>
      </c>
      <c r="T349" s="136">
        <v>0</v>
      </c>
      <c r="U349" s="28">
        <f t="shared" si="188"/>
        <v>0</v>
      </c>
      <c r="V349" s="28">
        <v>0</v>
      </c>
      <c r="W349" s="28">
        <v>0</v>
      </c>
      <c r="X349" s="151">
        <v>0</v>
      </c>
      <c r="Y349" s="136">
        <v>0</v>
      </c>
      <c r="Z349" s="152">
        <f t="shared" si="189"/>
        <v>0</v>
      </c>
      <c r="AA349" s="152">
        <v>0</v>
      </c>
      <c r="AB349" s="152">
        <v>0</v>
      </c>
      <c r="AC349" s="157">
        <v>0</v>
      </c>
      <c r="AD349" s="36"/>
      <c r="AE349" s="37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</row>
    <row r="350" spans="1:43" s="22" customFormat="1" ht="32.450000000000003" customHeight="1" outlineLevel="1" x14ac:dyDescent="0.2">
      <c r="A350" s="142" t="s">
        <v>695</v>
      </c>
      <c r="B350" s="127" t="s">
        <v>443</v>
      </c>
      <c r="C350" s="177">
        <f t="shared" si="180"/>
        <v>1.85</v>
      </c>
      <c r="D350" s="28">
        <f t="shared" si="184"/>
        <v>555</v>
      </c>
      <c r="E350" s="17">
        <v>0</v>
      </c>
      <c r="F350" s="237">
        <f t="shared" si="186"/>
        <v>0</v>
      </c>
      <c r="G350" s="152">
        <v>0</v>
      </c>
      <c r="H350" s="152">
        <v>0</v>
      </c>
      <c r="I350" s="152">
        <v>0</v>
      </c>
      <c r="J350" s="17">
        <v>0</v>
      </c>
      <c r="K350" s="237">
        <f t="shared" si="185"/>
        <v>0</v>
      </c>
      <c r="L350" s="152">
        <v>0</v>
      </c>
      <c r="M350" s="152">
        <v>0</v>
      </c>
      <c r="N350" s="152">
        <v>0</v>
      </c>
      <c r="O350" s="136">
        <v>1.85</v>
      </c>
      <c r="P350" s="28">
        <f t="shared" si="187"/>
        <v>555</v>
      </c>
      <c r="Q350" s="28">
        <v>0</v>
      </c>
      <c r="R350" s="28">
        <v>0</v>
      </c>
      <c r="S350" s="151">
        <v>555</v>
      </c>
      <c r="T350" s="136">
        <v>0</v>
      </c>
      <c r="U350" s="28">
        <f t="shared" si="188"/>
        <v>0</v>
      </c>
      <c r="V350" s="28">
        <v>0</v>
      </c>
      <c r="W350" s="28">
        <v>0</v>
      </c>
      <c r="X350" s="151">
        <v>0</v>
      </c>
      <c r="Y350" s="136">
        <v>0</v>
      </c>
      <c r="Z350" s="152">
        <f t="shared" si="189"/>
        <v>0</v>
      </c>
      <c r="AA350" s="152">
        <v>0</v>
      </c>
      <c r="AB350" s="152">
        <v>0</v>
      </c>
      <c r="AC350" s="157">
        <v>0</v>
      </c>
      <c r="AD350" s="36"/>
      <c r="AE350" s="37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</row>
    <row r="351" spans="1:43" s="22" customFormat="1" ht="30.6" customHeight="1" outlineLevel="1" x14ac:dyDescent="0.2">
      <c r="A351" s="142" t="s">
        <v>696</v>
      </c>
      <c r="B351" s="127" t="s">
        <v>444</v>
      </c>
      <c r="C351" s="177">
        <f t="shared" si="180"/>
        <v>0.89999999999999991</v>
      </c>
      <c r="D351" s="28">
        <f t="shared" si="184"/>
        <v>270</v>
      </c>
      <c r="E351" s="17">
        <v>0</v>
      </c>
      <c r="F351" s="237">
        <f t="shared" si="186"/>
        <v>0</v>
      </c>
      <c r="G351" s="152">
        <v>0</v>
      </c>
      <c r="H351" s="152">
        <v>0</v>
      </c>
      <c r="I351" s="152">
        <v>0</v>
      </c>
      <c r="J351" s="17">
        <v>0</v>
      </c>
      <c r="K351" s="237">
        <f t="shared" si="185"/>
        <v>0</v>
      </c>
      <c r="L351" s="152">
        <v>0</v>
      </c>
      <c r="M351" s="152">
        <v>0</v>
      </c>
      <c r="N351" s="152">
        <v>0</v>
      </c>
      <c r="O351" s="136">
        <v>0.89999999999999991</v>
      </c>
      <c r="P351" s="28">
        <f t="shared" si="187"/>
        <v>270</v>
      </c>
      <c r="Q351" s="28">
        <v>0</v>
      </c>
      <c r="R351" s="28">
        <v>0</v>
      </c>
      <c r="S351" s="151">
        <v>270</v>
      </c>
      <c r="T351" s="136">
        <v>0</v>
      </c>
      <c r="U351" s="28">
        <f t="shared" si="188"/>
        <v>0</v>
      </c>
      <c r="V351" s="28">
        <v>0</v>
      </c>
      <c r="W351" s="28">
        <v>0</v>
      </c>
      <c r="X351" s="151">
        <v>0</v>
      </c>
      <c r="Y351" s="136">
        <v>0</v>
      </c>
      <c r="Z351" s="152">
        <f t="shared" si="189"/>
        <v>0</v>
      </c>
      <c r="AA351" s="152">
        <v>0</v>
      </c>
      <c r="AB351" s="152">
        <v>0</v>
      </c>
      <c r="AC351" s="157">
        <v>0</v>
      </c>
      <c r="AD351" s="36"/>
      <c r="AE351" s="37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</row>
    <row r="352" spans="1:43" s="22" customFormat="1" ht="22.15" customHeight="1" outlineLevel="1" x14ac:dyDescent="0.2">
      <c r="A352" s="142" t="s">
        <v>697</v>
      </c>
      <c r="B352" s="127" t="s">
        <v>445</v>
      </c>
      <c r="C352" s="177">
        <f t="shared" si="180"/>
        <v>1.7999999999999998</v>
      </c>
      <c r="D352" s="28">
        <f t="shared" si="184"/>
        <v>540</v>
      </c>
      <c r="E352" s="17">
        <v>0</v>
      </c>
      <c r="F352" s="237">
        <f t="shared" si="186"/>
        <v>0</v>
      </c>
      <c r="G352" s="152">
        <v>0</v>
      </c>
      <c r="H352" s="152">
        <v>0</v>
      </c>
      <c r="I352" s="152">
        <v>0</v>
      </c>
      <c r="J352" s="17">
        <v>0</v>
      </c>
      <c r="K352" s="237">
        <f t="shared" si="185"/>
        <v>0</v>
      </c>
      <c r="L352" s="152">
        <v>0</v>
      </c>
      <c r="M352" s="152">
        <v>0</v>
      </c>
      <c r="N352" s="152">
        <v>0</v>
      </c>
      <c r="O352" s="136">
        <v>1.7999999999999998</v>
      </c>
      <c r="P352" s="28">
        <f t="shared" si="187"/>
        <v>540</v>
      </c>
      <c r="Q352" s="28">
        <v>0</v>
      </c>
      <c r="R352" s="28">
        <v>0</v>
      </c>
      <c r="S352" s="151">
        <v>540</v>
      </c>
      <c r="T352" s="136">
        <v>0</v>
      </c>
      <c r="U352" s="28">
        <f t="shared" si="188"/>
        <v>0</v>
      </c>
      <c r="V352" s="28">
        <v>0</v>
      </c>
      <c r="W352" s="28">
        <v>0</v>
      </c>
      <c r="X352" s="151">
        <v>0</v>
      </c>
      <c r="Y352" s="136">
        <v>0</v>
      </c>
      <c r="Z352" s="152">
        <f t="shared" si="189"/>
        <v>0</v>
      </c>
      <c r="AA352" s="152">
        <v>0</v>
      </c>
      <c r="AB352" s="152">
        <v>0</v>
      </c>
      <c r="AC352" s="157">
        <v>0</v>
      </c>
      <c r="AD352" s="36"/>
      <c r="AE352" s="37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</row>
    <row r="353" spans="1:43" s="22" customFormat="1" ht="22.15" customHeight="1" outlineLevel="1" x14ac:dyDescent="0.2">
      <c r="A353" s="142" t="s">
        <v>698</v>
      </c>
      <c r="B353" s="127" t="s">
        <v>446</v>
      </c>
      <c r="C353" s="177">
        <f t="shared" si="180"/>
        <v>1.28</v>
      </c>
      <c r="D353" s="28">
        <f t="shared" si="184"/>
        <v>382.5</v>
      </c>
      <c r="E353" s="17">
        <v>0</v>
      </c>
      <c r="F353" s="237">
        <f t="shared" si="186"/>
        <v>0</v>
      </c>
      <c r="G353" s="152">
        <v>0</v>
      </c>
      <c r="H353" s="152">
        <v>0</v>
      </c>
      <c r="I353" s="152">
        <v>0</v>
      </c>
      <c r="J353" s="17">
        <v>0</v>
      </c>
      <c r="K353" s="237">
        <f t="shared" si="185"/>
        <v>0</v>
      </c>
      <c r="L353" s="152">
        <v>0</v>
      </c>
      <c r="M353" s="152">
        <v>0</v>
      </c>
      <c r="N353" s="152">
        <v>0</v>
      </c>
      <c r="O353" s="136">
        <f>ROUND(1.275,2)</f>
        <v>1.28</v>
      </c>
      <c r="P353" s="28">
        <f t="shared" si="187"/>
        <v>382.5</v>
      </c>
      <c r="Q353" s="28">
        <v>0</v>
      </c>
      <c r="R353" s="28">
        <v>0</v>
      </c>
      <c r="S353" s="151">
        <v>382.5</v>
      </c>
      <c r="T353" s="136">
        <v>0</v>
      </c>
      <c r="U353" s="28">
        <f t="shared" si="188"/>
        <v>0</v>
      </c>
      <c r="V353" s="28">
        <v>0</v>
      </c>
      <c r="W353" s="28">
        <v>0</v>
      </c>
      <c r="X353" s="151">
        <v>0</v>
      </c>
      <c r="Y353" s="136">
        <v>0</v>
      </c>
      <c r="Z353" s="152">
        <f t="shared" si="189"/>
        <v>0</v>
      </c>
      <c r="AA353" s="152">
        <v>0</v>
      </c>
      <c r="AB353" s="152">
        <v>0</v>
      </c>
      <c r="AC353" s="157">
        <v>0</v>
      </c>
      <c r="AD353" s="36"/>
      <c r="AE353" s="37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</row>
    <row r="354" spans="1:43" s="22" customFormat="1" ht="19.899999999999999" customHeight="1" outlineLevel="1" x14ac:dyDescent="0.2">
      <c r="A354" s="142" t="s">
        <v>699</v>
      </c>
      <c r="B354" s="127" t="s">
        <v>447</v>
      </c>
      <c r="C354" s="177">
        <f t="shared" si="180"/>
        <v>1.0900000000000001</v>
      </c>
      <c r="D354" s="28">
        <f t="shared" si="184"/>
        <v>325.5</v>
      </c>
      <c r="E354" s="17">
        <v>0</v>
      </c>
      <c r="F354" s="237">
        <f t="shared" si="186"/>
        <v>0</v>
      </c>
      <c r="G354" s="152">
        <v>0</v>
      </c>
      <c r="H354" s="152">
        <v>0</v>
      </c>
      <c r="I354" s="152">
        <v>0</v>
      </c>
      <c r="J354" s="17">
        <v>0</v>
      </c>
      <c r="K354" s="237">
        <f t="shared" si="185"/>
        <v>0</v>
      </c>
      <c r="L354" s="152">
        <v>0</v>
      </c>
      <c r="M354" s="152">
        <v>0</v>
      </c>
      <c r="N354" s="152">
        <v>0</v>
      </c>
      <c r="O354" s="136">
        <f>ROUND(1.085,2)</f>
        <v>1.0900000000000001</v>
      </c>
      <c r="P354" s="28">
        <f t="shared" si="187"/>
        <v>325.5</v>
      </c>
      <c r="Q354" s="28">
        <v>0</v>
      </c>
      <c r="R354" s="28">
        <v>0</v>
      </c>
      <c r="S354" s="151">
        <v>325.5</v>
      </c>
      <c r="T354" s="136">
        <v>0</v>
      </c>
      <c r="U354" s="28">
        <f t="shared" si="188"/>
        <v>0</v>
      </c>
      <c r="V354" s="28">
        <v>0</v>
      </c>
      <c r="W354" s="28">
        <v>0</v>
      </c>
      <c r="X354" s="151">
        <v>0</v>
      </c>
      <c r="Y354" s="136">
        <v>0</v>
      </c>
      <c r="Z354" s="152">
        <f t="shared" si="189"/>
        <v>0</v>
      </c>
      <c r="AA354" s="152">
        <v>0</v>
      </c>
      <c r="AB354" s="152">
        <v>0</v>
      </c>
      <c r="AC354" s="157">
        <v>0</v>
      </c>
      <c r="AD354" s="36"/>
      <c r="AE354" s="37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</row>
    <row r="355" spans="1:43" s="22" customFormat="1" ht="25.15" customHeight="1" outlineLevel="1" x14ac:dyDescent="0.2">
      <c r="A355" s="142" t="s">
        <v>700</v>
      </c>
      <c r="B355" s="127" t="s">
        <v>448</v>
      </c>
      <c r="C355" s="177">
        <f t="shared" si="180"/>
        <v>0.82</v>
      </c>
      <c r="D355" s="28">
        <f t="shared" si="184"/>
        <v>244.50000000000003</v>
      </c>
      <c r="E355" s="17">
        <v>0</v>
      </c>
      <c r="F355" s="237">
        <f t="shared" si="186"/>
        <v>0</v>
      </c>
      <c r="G355" s="152">
        <v>0</v>
      </c>
      <c r="H355" s="152">
        <v>0</v>
      </c>
      <c r="I355" s="152">
        <v>0</v>
      </c>
      <c r="J355" s="17">
        <v>0</v>
      </c>
      <c r="K355" s="237">
        <f t="shared" si="185"/>
        <v>0</v>
      </c>
      <c r="L355" s="152">
        <v>0</v>
      </c>
      <c r="M355" s="152">
        <v>0</v>
      </c>
      <c r="N355" s="152">
        <v>0</v>
      </c>
      <c r="O355" s="136">
        <f>ROUND(0.815,2)</f>
        <v>0.82</v>
      </c>
      <c r="P355" s="28">
        <f t="shared" si="187"/>
        <v>244.50000000000003</v>
      </c>
      <c r="Q355" s="28">
        <v>0</v>
      </c>
      <c r="R355" s="28">
        <v>0</v>
      </c>
      <c r="S355" s="151">
        <v>244.50000000000003</v>
      </c>
      <c r="T355" s="136">
        <v>0</v>
      </c>
      <c r="U355" s="28">
        <f t="shared" si="188"/>
        <v>0</v>
      </c>
      <c r="V355" s="28">
        <v>0</v>
      </c>
      <c r="W355" s="28">
        <v>0</v>
      </c>
      <c r="X355" s="151">
        <v>0</v>
      </c>
      <c r="Y355" s="136">
        <v>0</v>
      </c>
      <c r="Z355" s="152">
        <f t="shared" si="189"/>
        <v>0</v>
      </c>
      <c r="AA355" s="152">
        <v>0</v>
      </c>
      <c r="AB355" s="152">
        <v>0</v>
      </c>
      <c r="AC355" s="157">
        <v>0</v>
      </c>
      <c r="AD355" s="36"/>
      <c r="AE355" s="37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</row>
    <row r="356" spans="1:43" s="22" customFormat="1" ht="36" customHeight="1" outlineLevel="1" x14ac:dyDescent="0.2">
      <c r="A356" s="142" t="s">
        <v>701</v>
      </c>
      <c r="B356" s="127" t="s">
        <v>449</v>
      </c>
      <c r="C356" s="177">
        <f t="shared" si="180"/>
        <v>0.59</v>
      </c>
      <c r="D356" s="28">
        <f t="shared" si="184"/>
        <v>175.50000000000003</v>
      </c>
      <c r="E356" s="17">
        <v>0</v>
      </c>
      <c r="F356" s="237">
        <f t="shared" si="186"/>
        <v>0</v>
      </c>
      <c r="G356" s="152">
        <v>0</v>
      </c>
      <c r="H356" s="152">
        <v>0</v>
      </c>
      <c r="I356" s="152">
        <v>0</v>
      </c>
      <c r="J356" s="17">
        <v>0</v>
      </c>
      <c r="K356" s="237">
        <f t="shared" si="185"/>
        <v>0</v>
      </c>
      <c r="L356" s="152">
        <v>0</v>
      </c>
      <c r="M356" s="152">
        <v>0</v>
      </c>
      <c r="N356" s="152">
        <v>0</v>
      </c>
      <c r="O356" s="136">
        <f>ROUND(0.585,2)</f>
        <v>0.59</v>
      </c>
      <c r="P356" s="28">
        <f t="shared" si="187"/>
        <v>175.50000000000003</v>
      </c>
      <c r="Q356" s="28">
        <v>0</v>
      </c>
      <c r="R356" s="28">
        <v>0</v>
      </c>
      <c r="S356" s="151">
        <v>175.50000000000003</v>
      </c>
      <c r="T356" s="136">
        <v>0</v>
      </c>
      <c r="U356" s="28">
        <f t="shared" si="188"/>
        <v>0</v>
      </c>
      <c r="V356" s="28">
        <v>0</v>
      </c>
      <c r="W356" s="28">
        <v>0</v>
      </c>
      <c r="X356" s="151">
        <v>0</v>
      </c>
      <c r="Y356" s="136">
        <v>0</v>
      </c>
      <c r="Z356" s="152">
        <f t="shared" si="189"/>
        <v>0</v>
      </c>
      <c r="AA356" s="152">
        <v>0</v>
      </c>
      <c r="AB356" s="152">
        <v>0</v>
      </c>
      <c r="AC356" s="157">
        <v>0</v>
      </c>
      <c r="AD356" s="36"/>
      <c r="AE356" s="37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</row>
    <row r="357" spans="1:43" s="22" customFormat="1" ht="21.6" customHeight="1" outlineLevel="1" x14ac:dyDescent="0.2">
      <c r="A357" s="142" t="s">
        <v>702</v>
      </c>
      <c r="B357" s="127" t="s">
        <v>450</v>
      </c>
      <c r="C357" s="177">
        <f t="shared" si="180"/>
        <v>2.1800000000000002</v>
      </c>
      <c r="D357" s="28">
        <f t="shared" si="184"/>
        <v>652.5</v>
      </c>
      <c r="E357" s="17">
        <v>0</v>
      </c>
      <c r="F357" s="237">
        <f t="shared" si="186"/>
        <v>0</v>
      </c>
      <c r="G357" s="152">
        <v>0</v>
      </c>
      <c r="H357" s="152">
        <v>0</v>
      </c>
      <c r="I357" s="152">
        <v>0</v>
      </c>
      <c r="J357" s="17">
        <v>0</v>
      </c>
      <c r="K357" s="237">
        <f t="shared" si="185"/>
        <v>0</v>
      </c>
      <c r="L357" s="152">
        <v>0</v>
      </c>
      <c r="M357" s="152">
        <v>0</v>
      </c>
      <c r="N357" s="152">
        <v>0</v>
      </c>
      <c r="O357" s="136">
        <f>ROUND(2.175,2)</f>
        <v>2.1800000000000002</v>
      </c>
      <c r="P357" s="28">
        <f t="shared" si="187"/>
        <v>652.5</v>
      </c>
      <c r="Q357" s="28">
        <v>0</v>
      </c>
      <c r="R357" s="28">
        <v>0</v>
      </c>
      <c r="S357" s="151">
        <v>652.5</v>
      </c>
      <c r="T357" s="136">
        <v>0</v>
      </c>
      <c r="U357" s="28">
        <f t="shared" si="188"/>
        <v>0</v>
      </c>
      <c r="V357" s="28">
        <v>0</v>
      </c>
      <c r="W357" s="28">
        <v>0</v>
      </c>
      <c r="X357" s="151">
        <v>0</v>
      </c>
      <c r="Y357" s="136">
        <v>0</v>
      </c>
      <c r="Z357" s="152">
        <f t="shared" si="189"/>
        <v>0</v>
      </c>
      <c r="AA357" s="152">
        <v>0</v>
      </c>
      <c r="AB357" s="152">
        <v>0</v>
      </c>
      <c r="AC357" s="157">
        <v>0</v>
      </c>
      <c r="AD357" s="36"/>
      <c r="AE357" s="37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</row>
    <row r="358" spans="1:43" s="22" customFormat="1" ht="22.9" customHeight="1" outlineLevel="1" x14ac:dyDescent="0.2">
      <c r="A358" s="142" t="s">
        <v>703</v>
      </c>
      <c r="B358" s="127" t="s">
        <v>451</v>
      </c>
      <c r="C358" s="177">
        <f t="shared" si="180"/>
        <v>1.92</v>
      </c>
      <c r="D358" s="28">
        <f t="shared" si="184"/>
        <v>576</v>
      </c>
      <c r="E358" s="17">
        <v>0</v>
      </c>
      <c r="F358" s="237">
        <f t="shared" si="186"/>
        <v>0</v>
      </c>
      <c r="G358" s="152">
        <v>0</v>
      </c>
      <c r="H358" s="152">
        <v>0</v>
      </c>
      <c r="I358" s="152">
        <v>0</v>
      </c>
      <c r="J358" s="17">
        <v>0</v>
      </c>
      <c r="K358" s="237">
        <f t="shared" si="185"/>
        <v>0</v>
      </c>
      <c r="L358" s="152">
        <v>0</v>
      </c>
      <c r="M358" s="152">
        <v>0</v>
      </c>
      <c r="N358" s="152">
        <v>0</v>
      </c>
      <c r="O358" s="136">
        <v>1.92</v>
      </c>
      <c r="P358" s="28">
        <f t="shared" si="187"/>
        <v>576</v>
      </c>
      <c r="Q358" s="28">
        <v>0</v>
      </c>
      <c r="R358" s="28">
        <v>0</v>
      </c>
      <c r="S358" s="151">
        <v>576</v>
      </c>
      <c r="T358" s="136">
        <v>0</v>
      </c>
      <c r="U358" s="28">
        <f t="shared" si="188"/>
        <v>0</v>
      </c>
      <c r="V358" s="28">
        <v>0</v>
      </c>
      <c r="W358" s="28">
        <v>0</v>
      </c>
      <c r="X358" s="151">
        <v>0</v>
      </c>
      <c r="Y358" s="136">
        <v>0</v>
      </c>
      <c r="Z358" s="152">
        <f t="shared" si="189"/>
        <v>0</v>
      </c>
      <c r="AA358" s="152">
        <v>0</v>
      </c>
      <c r="AB358" s="152">
        <v>0</v>
      </c>
      <c r="AC358" s="157">
        <v>0</v>
      </c>
      <c r="AD358" s="36"/>
      <c r="AE358" s="37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</row>
    <row r="359" spans="1:43" s="22" customFormat="1" ht="24" customHeight="1" outlineLevel="1" x14ac:dyDescent="0.2">
      <c r="A359" s="142" t="s">
        <v>704</v>
      </c>
      <c r="B359" s="127" t="s">
        <v>452</v>
      </c>
      <c r="C359" s="177">
        <f t="shared" si="180"/>
        <v>1.45</v>
      </c>
      <c r="D359" s="28">
        <f t="shared" si="184"/>
        <v>435</v>
      </c>
      <c r="E359" s="17">
        <v>0</v>
      </c>
      <c r="F359" s="237">
        <f t="shared" si="186"/>
        <v>0</v>
      </c>
      <c r="G359" s="152">
        <v>0</v>
      </c>
      <c r="H359" s="152">
        <v>0</v>
      </c>
      <c r="I359" s="152">
        <v>0</v>
      </c>
      <c r="J359" s="17">
        <v>0</v>
      </c>
      <c r="K359" s="237">
        <f t="shared" si="185"/>
        <v>0</v>
      </c>
      <c r="L359" s="152">
        <v>0</v>
      </c>
      <c r="M359" s="152">
        <v>0</v>
      </c>
      <c r="N359" s="152">
        <v>0</v>
      </c>
      <c r="O359" s="136">
        <v>1.45</v>
      </c>
      <c r="P359" s="28">
        <f t="shared" si="187"/>
        <v>435</v>
      </c>
      <c r="Q359" s="28">
        <v>0</v>
      </c>
      <c r="R359" s="28">
        <v>0</v>
      </c>
      <c r="S359" s="151">
        <v>435</v>
      </c>
      <c r="T359" s="136">
        <v>0</v>
      </c>
      <c r="U359" s="28">
        <f t="shared" si="188"/>
        <v>0</v>
      </c>
      <c r="V359" s="28">
        <v>0</v>
      </c>
      <c r="W359" s="28">
        <v>0</v>
      </c>
      <c r="X359" s="151">
        <v>0</v>
      </c>
      <c r="Y359" s="136">
        <v>0</v>
      </c>
      <c r="Z359" s="152">
        <f t="shared" si="189"/>
        <v>0</v>
      </c>
      <c r="AA359" s="152">
        <v>0</v>
      </c>
      <c r="AB359" s="152">
        <v>0</v>
      </c>
      <c r="AC359" s="157">
        <v>0</v>
      </c>
      <c r="AD359" s="36"/>
      <c r="AE359" s="37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</row>
    <row r="360" spans="1:43" s="22" customFormat="1" ht="26.45" customHeight="1" outlineLevel="1" x14ac:dyDescent="0.2">
      <c r="A360" s="142" t="s">
        <v>705</v>
      </c>
      <c r="B360" s="127" t="s">
        <v>453</v>
      </c>
      <c r="C360" s="177">
        <f t="shared" si="180"/>
        <v>0.66</v>
      </c>
      <c r="D360" s="28">
        <f t="shared" si="184"/>
        <v>196.5</v>
      </c>
      <c r="E360" s="17">
        <v>0</v>
      </c>
      <c r="F360" s="237">
        <f t="shared" si="186"/>
        <v>0</v>
      </c>
      <c r="G360" s="152">
        <v>0</v>
      </c>
      <c r="H360" s="152">
        <v>0</v>
      </c>
      <c r="I360" s="152">
        <v>0</v>
      </c>
      <c r="J360" s="17">
        <v>0</v>
      </c>
      <c r="K360" s="237">
        <f t="shared" si="185"/>
        <v>0</v>
      </c>
      <c r="L360" s="152">
        <v>0</v>
      </c>
      <c r="M360" s="152">
        <v>0</v>
      </c>
      <c r="N360" s="152">
        <v>0</v>
      </c>
      <c r="O360" s="136">
        <f>ROUND(0.655,2)</f>
        <v>0.66</v>
      </c>
      <c r="P360" s="28">
        <f t="shared" si="187"/>
        <v>196.5</v>
      </c>
      <c r="Q360" s="28">
        <v>0</v>
      </c>
      <c r="R360" s="28">
        <v>0</v>
      </c>
      <c r="S360" s="151">
        <v>196.5</v>
      </c>
      <c r="T360" s="136">
        <v>0</v>
      </c>
      <c r="U360" s="28">
        <f t="shared" si="188"/>
        <v>0</v>
      </c>
      <c r="V360" s="28">
        <v>0</v>
      </c>
      <c r="W360" s="28">
        <v>0</v>
      </c>
      <c r="X360" s="151">
        <v>0</v>
      </c>
      <c r="Y360" s="136">
        <v>0</v>
      </c>
      <c r="Z360" s="152">
        <f t="shared" si="189"/>
        <v>0</v>
      </c>
      <c r="AA360" s="152">
        <v>0</v>
      </c>
      <c r="AB360" s="152">
        <v>0</v>
      </c>
      <c r="AC360" s="157">
        <v>0</v>
      </c>
      <c r="AD360" s="36"/>
      <c r="AE360" s="37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</row>
    <row r="361" spans="1:43" s="22" customFormat="1" ht="28.9" customHeight="1" outlineLevel="1" x14ac:dyDescent="0.2">
      <c r="A361" s="142" t="s">
        <v>706</v>
      </c>
      <c r="B361" s="127" t="s">
        <v>454</v>
      </c>
      <c r="C361" s="177">
        <f t="shared" si="180"/>
        <v>1.02</v>
      </c>
      <c r="D361" s="28">
        <f t="shared" si="184"/>
        <v>306</v>
      </c>
      <c r="E361" s="17">
        <v>0</v>
      </c>
      <c r="F361" s="237">
        <f t="shared" si="186"/>
        <v>0</v>
      </c>
      <c r="G361" s="152">
        <v>0</v>
      </c>
      <c r="H361" s="152">
        <v>0</v>
      </c>
      <c r="I361" s="152">
        <v>0</v>
      </c>
      <c r="J361" s="17">
        <v>0</v>
      </c>
      <c r="K361" s="237">
        <f t="shared" si="185"/>
        <v>0</v>
      </c>
      <c r="L361" s="152">
        <v>0</v>
      </c>
      <c r="M361" s="152">
        <v>0</v>
      </c>
      <c r="N361" s="152">
        <v>0</v>
      </c>
      <c r="O361" s="136">
        <v>1.02</v>
      </c>
      <c r="P361" s="28">
        <f t="shared" si="187"/>
        <v>306</v>
      </c>
      <c r="Q361" s="28">
        <v>0</v>
      </c>
      <c r="R361" s="28">
        <v>0</v>
      </c>
      <c r="S361" s="151">
        <v>306</v>
      </c>
      <c r="T361" s="136">
        <v>0</v>
      </c>
      <c r="U361" s="28">
        <f t="shared" si="188"/>
        <v>0</v>
      </c>
      <c r="V361" s="28">
        <v>0</v>
      </c>
      <c r="W361" s="28">
        <v>0</v>
      </c>
      <c r="X361" s="151">
        <v>0</v>
      </c>
      <c r="Y361" s="136">
        <v>0</v>
      </c>
      <c r="Z361" s="152">
        <f t="shared" si="189"/>
        <v>0</v>
      </c>
      <c r="AA361" s="152">
        <v>0</v>
      </c>
      <c r="AB361" s="152">
        <v>0</v>
      </c>
      <c r="AC361" s="157">
        <v>0</v>
      </c>
      <c r="AD361" s="36"/>
      <c r="AE361" s="37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</row>
    <row r="362" spans="1:43" s="22" customFormat="1" ht="28.9" customHeight="1" outlineLevel="1" x14ac:dyDescent="0.2">
      <c r="A362" s="142" t="s">
        <v>707</v>
      </c>
      <c r="B362" s="127" t="s">
        <v>457</v>
      </c>
      <c r="C362" s="177">
        <f t="shared" si="180"/>
        <v>2.8000000000000003</v>
      </c>
      <c r="D362" s="28">
        <f t="shared" si="184"/>
        <v>840.00000000000011</v>
      </c>
      <c r="E362" s="17">
        <v>0</v>
      </c>
      <c r="F362" s="237">
        <f t="shared" si="186"/>
        <v>0</v>
      </c>
      <c r="G362" s="152">
        <v>0</v>
      </c>
      <c r="H362" s="152">
        <v>0</v>
      </c>
      <c r="I362" s="152">
        <v>0</v>
      </c>
      <c r="J362" s="17">
        <v>0</v>
      </c>
      <c r="K362" s="237">
        <f t="shared" si="185"/>
        <v>0</v>
      </c>
      <c r="L362" s="152">
        <v>0</v>
      </c>
      <c r="M362" s="152">
        <v>0</v>
      </c>
      <c r="N362" s="152">
        <v>0</v>
      </c>
      <c r="O362" s="136">
        <v>2.8000000000000003</v>
      </c>
      <c r="P362" s="28">
        <f t="shared" si="187"/>
        <v>840.00000000000011</v>
      </c>
      <c r="Q362" s="28">
        <v>0</v>
      </c>
      <c r="R362" s="28">
        <v>0</v>
      </c>
      <c r="S362" s="151">
        <v>840.00000000000011</v>
      </c>
      <c r="T362" s="136">
        <v>0</v>
      </c>
      <c r="U362" s="28">
        <f t="shared" si="188"/>
        <v>0</v>
      </c>
      <c r="V362" s="28">
        <v>0</v>
      </c>
      <c r="W362" s="28">
        <v>0</v>
      </c>
      <c r="X362" s="151">
        <v>0</v>
      </c>
      <c r="Y362" s="136">
        <v>0</v>
      </c>
      <c r="Z362" s="152">
        <f t="shared" si="189"/>
        <v>0</v>
      </c>
      <c r="AA362" s="152">
        <v>0</v>
      </c>
      <c r="AB362" s="152">
        <v>0</v>
      </c>
      <c r="AC362" s="157">
        <v>0</v>
      </c>
      <c r="AD362" s="36"/>
      <c r="AE362" s="37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</row>
    <row r="363" spans="1:43" s="22" customFormat="1" ht="28.15" customHeight="1" outlineLevel="1" x14ac:dyDescent="0.2">
      <c r="A363" s="142" t="s">
        <v>708</v>
      </c>
      <c r="B363" s="127" t="s">
        <v>458</v>
      </c>
      <c r="C363" s="177">
        <f t="shared" si="180"/>
        <v>1.87</v>
      </c>
      <c r="D363" s="28">
        <f t="shared" si="184"/>
        <v>561</v>
      </c>
      <c r="E363" s="17">
        <v>0</v>
      </c>
      <c r="F363" s="237">
        <f t="shared" si="186"/>
        <v>0</v>
      </c>
      <c r="G363" s="152">
        <v>0</v>
      </c>
      <c r="H363" s="152">
        <v>0</v>
      </c>
      <c r="I363" s="152">
        <v>0</v>
      </c>
      <c r="J363" s="17">
        <v>0</v>
      </c>
      <c r="K363" s="237">
        <f t="shared" si="185"/>
        <v>0</v>
      </c>
      <c r="L363" s="152">
        <v>0</v>
      </c>
      <c r="M363" s="152">
        <v>0</v>
      </c>
      <c r="N363" s="152">
        <v>0</v>
      </c>
      <c r="O363" s="136">
        <v>1.87</v>
      </c>
      <c r="P363" s="28">
        <f t="shared" si="187"/>
        <v>561</v>
      </c>
      <c r="Q363" s="28">
        <v>0</v>
      </c>
      <c r="R363" s="28">
        <v>0</v>
      </c>
      <c r="S363" s="151">
        <v>561</v>
      </c>
      <c r="T363" s="136">
        <v>0</v>
      </c>
      <c r="U363" s="28">
        <f t="shared" si="188"/>
        <v>0</v>
      </c>
      <c r="V363" s="28">
        <v>0</v>
      </c>
      <c r="W363" s="28">
        <v>0</v>
      </c>
      <c r="X363" s="151">
        <v>0</v>
      </c>
      <c r="Y363" s="136">
        <v>0</v>
      </c>
      <c r="Z363" s="152">
        <f t="shared" si="189"/>
        <v>0</v>
      </c>
      <c r="AA363" s="152">
        <v>0</v>
      </c>
      <c r="AB363" s="152">
        <v>0</v>
      </c>
      <c r="AC363" s="157">
        <v>0</v>
      </c>
      <c r="AD363" s="36"/>
      <c r="AE363" s="37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</row>
    <row r="364" spans="1:43" s="22" customFormat="1" ht="34.15" customHeight="1" outlineLevel="1" x14ac:dyDescent="0.2">
      <c r="A364" s="143"/>
      <c r="B364" s="128" t="s">
        <v>485</v>
      </c>
      <c r="C364" s="137">
        <f>SUM(C365:C383)</f>
        <v>52.359999999999992</v>
      </c>
      <c r="D364" s="148">
        <f t="shared" ref="D364:AC364" si="190">SUM(D365:D383)</f>
        <v>13082.8</v>
      </c>
      <c r="E364" s="137">
        <f t="shared" si="190"/>
        <v>0</v>
      </c>
      <c r="F364" s="148">
        <f t="shared" si="190"/>
        <v>0</v>
      </c>
      <c r="G364" s="148">
        <f t="shared" si="190"/>
        <v>0</v>
      </c>
      <c r="H364" s="148">
        <f t="shared" si="190"/>
        <v>0</v>
      </c>
      <c r="I364" s="148">
        <f t="shared" si="190"/>
        <v>0</v>
      </c>
      <c r="J364" s="153">
        <f t="shared" si="190"/>
        <v>0</v>
      </c>
      <c r="K364" s="148">
        <f t="shared" si="185"/>
        <v>0</v>
      </c>
      <c r="L364" s="148">
        <f t="shared" si="190"/>
        <v>0</v>
      </c>
      <c r="M364" s="148">
        <f t="shared" si="190"/>
        <v>0</v>
      </c>
      <c r="N364" s="148">
        <f t="shared" si="190"/>
        <v>0</v>
      </c>
      <c r="O364" s="137">
        <f t="shared" si="190"/>
        <v>16.729999999999997</v>
      </c>
      <c r="P364" s="28">
        <f t="shared" si="187"/>
        <v>4181.3</v>
      </c>
      <c r="Q364" s="154">
        <f t="shared" si="190"/>
        <v>0</v>
      </c>
      <c r="R364" s="154">
        <f t="shared" si="190"/>
        <v>0</v>
      </c>
      <c r="S364" s="154">
        <f t="shared" si="190"/>
        <v>4181.3</v>
      </c>
      <c r="T364" s="137">
        <f t="shared" si="190"/>
        <v>0</v>
      </c>
      <c r="U364" s="28">
        <f t="shared" si="188"/>
        <v>0</v>
      </c>
      <c r="V364" s="154">
        <f t="shared" si="190"/>
        <v>0</v>
      </c>
      <c r="W364" s="154">
        <f t="shared" si="190"/>
        <v>0</v>
      </c>
      <c r="X364" s="154">
        <f t="shared" si="190"/>
        <v>0</v>
      </c>
      <c r="Y364" s="137">
        <f t="shared" si="190"/>
        <v>35.629999999999995</v>
      </c>
      <c r="Z364" s="152">
        <f t="shared" si="190"/>
        <v>8901.5</v>
      </c>
      <c r="AA364" s="156">
        <f t="shared" si="190"/>
        <v>0</v>
      </c>
      <c r="AB364" s="156">
        <f t="shared" si="190"/>
        <v>0</v>
      </c>
      <c r="AC364" s="148">
        <f t="shared" si="190"/>
        <v>8901.5</v>
      </c>
      <c r="AD364" s="36"/>
      <c r="AE364" s="37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</row>
    <row r="365" spans="1:43" s="22" customFormat="1" ht="25.9" customHeight="1" outlineLevel="1" x14ac:dyDescent="0.2">
      <c r="A365" s="142" t="s">
        <v>709</v>
      </c>
      <c r="B365" s="127" t="s">
        <v>459</v>
      </c>
      <c r="C365" s="177">
        <f t="shared" si="180"/>
        <v>4.04</v>
      </c>
      <c r="D365" s="28">
        <f t="shared" si="184"/>
        <v>1010</v>
      </c>
      <c r="E365" s="17">
        <v>0</v>
      </c>
      <c r="F365" s="237">
        <f t="shared" si="186"/>
        <v>0</v>
      </c>
      <c r="G365" s="152">
        <v>0</v>
      </c>
      <c r="H365" s="152">
        <v>0</v>
      </c>
      <c r="I365" s="152">
        <v>0</v>
      </c>
      <c r="J365" s="17">
        <v>0</v>
      </c>
      <c r="K365" s="237">
        <f t="shared" si="185"/>
        <v>0</v>
      </c>
      <c r="L365" s="152">
        <v>0</v>
      </c>
      <c r="M365" s="152">
        <v>0</v>
      </c>
      <c r="N365" s="152">
        <v>0</v>
      </c>
      <c r="O365" s="136">
        <v>4.04</v>
      </c>
      <c r="P365" s="28">
        <f t="shared" si="187"/>
        <v>1010</v>
      </c>
      <c r="Q365" s="28">
        <v>0</v>
      </c>
      <c r="R365" s="28">
        <v>0</v>
      </c>
      <c r="S365" s="151">
        <v>1010</v>
      </c>
      <c r="T365" s="136">
        <v>0</v>
      </c>
      <c r="U365" s="28">
        <f t="shared" si="188"/>
        <v>0</v>
      </c>
      <c r="V365" s="28">
        <v>0</v>
      </c>
      <c r="W365" s="28">
        <v>0</v>
      </c>
      <c r="X365" s="151">
        <v>0</v>
      </c>
      <c r="Y365" s="136">
        <v>0</v>
      </c>
      <c r="Z365" s="152">
        <f t="shared" si="189"/>
        <v>0</v>
      </c>
      <c r="AA365" s="152">
        <v>0</v>
      </c>
      <c r="AB365" s="152">
        <v>0</v>
      </c>
      <c r="AC365" s="157">
        <v>0</v>
      </c>
      <c r="AD365" s="36"/>
      <c r="AE365" s="37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</row>
    <row r="366" spans="1:43" s="22" customFormat="1" ht="25.15" customHeight="1" outlineLevel="1" x14ac:dyDescent="0.2">
      <c r="A366" s="142" t="s">
        <v>710</v>
      </c>
      <c r="B366" s="127" t="s">
        <v>460</v>
      </c>
      <c r="C366" s="177">
        <f t="shared" si="180"/>
        <v>4.09</v>
      </c>
      <c r="D366" s="28">
        <f t="shared" si="184"/>
        <v>1022.5</v>
      </c>
      <c r="E366" s="17">
        <v>0</v>
      </c>
      <c r="F366" s="237">
        <f t="shared" si="186"/>
        <v>0</v>
      </c>
      <c r="G366" s="152">
        <v>0</v>
      </c>
      <c r="H366" s="152">
        <v>0</v>
      </c>
      <c r="I366" s="152">
        <v>0</v>
      </c>
      <c r="J366" s="17">
        <v>0</v>
      </c>
      <c r="K366" s="237">
        <f t="shared" si="185"/>
        <v>0</v>
      </c>
      <c r="L366" s="152">
        <v>0</v>
      </c>
      <c r="M366" s="152">
        <v>0</v>
      </c>
      <c r="N366" s="152">
        <v>0</v>
      </c>
      <c r="O366" s="136">
        <v>4.09</v>
      </c>
      <c r="P366" s="28">
        <f t="shared" si="187"/>
        <v>1022.5</v>
      </c>
      <c r="Q366" s="28">
        <v>0</v>
      </c>
      <c r="R366" s="28">
        <v>0</v>
      </c>
      <c r="S366" s="151">
        <v>1022.5</v>
      </c>
      <c r="T366" s="136">
        <v>0</v>
      </c>
      <c r="U366" s="28">
        <f t="shared" si="188"/>
        <v>0</v>
      </c>
      <c r="V366" s="28">
        <v>0</v>
      </c>
      <c r="W366" s="28">
        <v>0</v>
      </c>
      <c r="X366" s="151">
        <v>0</v>
      </c>
      <c r="Y366" s="136">
        <v>0</v>
      </c>
      <c r="Z366" s="152">
        <f t="shared" si="189"/>
        <v>0</v>
      </c>
      <c r="AA366" s="152">
        <v>0</v>
      </c>
      <c r="AB366" s="152">
        <v>0</v>
      </c>
      <c r="AC366" s="157">
        <v>0</v>
      </c>
      <c r="AD366" s="36"/>
      <c r="AE366" s="37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</row>
    <row r="367" spans="1:43" s="22" customFormat="1" ht="25.9" customHeight="1" outlineLevel="1" x14ac:dyDescent="0.2">
      <c r="A367" s="142" t="s">
        <v>711</v>
      </c>
      <c r="B367" s="127" t="s">
        <v>461</v>
      </c>
      <c r="C367" s="177">
        <f t="shared" ref="C367:C385" si="191">E367+J367+O367+T367+Y367</f>
        <v>0.74</v>
      </c>
      <c r="D367" s="28">
        <f t="shared" si="184"/>
        <v>185</v>
      </c>
      <c r="E367" s="17">
        <v>0</v>
      </c>
      <c r="F367" s="237">
        <f t="shared" si="186"/>
        <v>0</v>
      </c>
      <c r="G367" s="152">
        <v>0</v>
      </c>
      <c r="H367" s="152">
        <v>0</v>
      </c>
      <c r="I367" s="152">
        <v>0</v>
      </c>
      <c r="J367" s="17">
        <v>0</v>
      </c>
      <c r="K367" s="237">
        <f t="shared" si="185"/>
        <v>0</v>
      </c>
      <c r="L367" s="152">
        <v>0</v>
      </c>
      <c r="M367" s="152">
        <v>0</v>
      </c>
      <c r="N367" s="152">
        <v>0</v>
      </c>
      <c r="O367" s="136">
        <v>0.74</v>
      </c>
      <c r="P367" s="28">
        <f t="shared" si="187"/>
        <v>185</v>
      </c>
      <c r="Q367" s="28">
        <v>0</v>
      </c>
      <c r="R367" s="28">
        <v>0</v>
      </c>
      <c r="S367" s="151">
        <v>185</v>
      </c>
      <c r="T367" s="136">
        <v>0</v>
      </c>
      <c r="U367" s="28">
        <f t="shared" si="188"/>
        <v>0</v>
      </c>
      <c r="V367" s="28">
        <v>0</v>
      </c>
      <c r="W367" s="28">
        <v>0</v>
      </c>
      <c r="X367" s="151">
        <v>0</v>
      </c>
      <c r="Y367" s="136">
        <v>0</v>
      </c>
      <c r="Z367" s="152">
        <f t="shared" si="189"/>
        <v>0</v>
      </c>
      <c r="AA367" s="152">
        <v>0</v>
      </c>
      <c r="AB367" s="152">
        <v>0</v>
      </c>
      <c r="AC367" s="157">
        <v>0</v>
      </c>
      <c r="AD367" s="36"/>
      <c r="AE367" s="37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</row>
    <row r="368" spans="1:43" s="22" customFormat="1" ht="25.15" customHeight="1" outlineLevel="1" x14ac:dyDescent="0.2">
      <c r="A368" s="142" t="s">
        <v>712</v>
      </c>
      <c r="B368" s="127" t="s">
        <v>462</v>
      </c>
      <c r="C368" s="177">
        <f t="shared" si="191"/>
        <v>2.2999999999999998</v>
      </c>
      <c r="D368" s="28">
        <f t="shared" si="184"/>
        <v>573.79999999999995</v>
      </c>
      <c r="E368" s="17">
        <v>0</v>
      </c>
      <c r="F368" s="237">
        <f t="shared" si="186"/>
        <v>0</v>
      </c>
      <c r="G368" s="152">
        <v>0</v>
      </c>
      <c r="H368" s="152">
        <v>0</v>
      </c>
      <c r="I368" s="152">
        <v>0</v>
      </c>
      <c r="J368" s="17">
        <v>0</v>
      </c>
      <c r="K368" s="237">
        <f t="shared" si="185"/>
        <v>0</v>
      </c>
      <c r="L368" s="152">
        <v>0</v>
      </c>
      <c r="M368" s="152">
        <v>0</v>
      </c>
      <c r="N368" s="152">
        <v>0</v>
      </c>
      <c r="O368" s="136">
        <f>ROUND(2.295,2)</f>
        <v>2.2999999999999998</v>
      </c>
      <c r="P368" s="28">
        <f t="shared" si="187"/>
        <v>573.79999999999995</v>
      </c>
      <c r="Q368" s="28">
        <v>0</v>
      </c>
      <c r="R368" s="28">
        <v>0</v>
      </c>
      <c r="S368" s="151">
        <f>ROUND(573.75,1)</f>
        <v>573.79999999999995</v>
      </c>
      <c r="T368" s="136">
        <v>0</v>
      </c>
      <c r="U368" s="28">
        <f t="shared" si="188"/>
        <v>0</v>
      </c>
      <c r="V368" s="28">
        <v>0</v>
      </c>
      <c r="W368" s="28">
        <v>0</v>
      </c>
      <c r="X368" s="151">
        <v>0</v>
      </c>
      <c r="Y368" s="136">
        <v>0</v>
      </c>
      <c r="Z368" s="152">
        <f t="shared" si="189"/>
        <v>0</v>
      </c>
      <c r="AA368" s="152">
        <v>0</v>
      </c>
      <c r="AB368" s="152">
        <v>0</v>
      </c>
      <c r="AC368" s="157">
        <v>0</v>
      </c>
      <c r="AD368" s="36"/>
      <c r="AE368" s="37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</row>
    <row r="369" spans="1:43" s="22" customFormat="1" ht="23.45" customHeight="1" outlineLevel="1" x14ac:dyDescent="0.2">
      <c r="A369" s="142" t="s">
        <v>713</v>
      </c>
      <c r="B369" s="127" t="s">
        <v>463</v>
      </c>
      <c r="C369" s="177">
        <f t="shared" si="191"/>
        <v>3.2</v>
      </c>
      <c r="D369" s="28">
        <f t="shared" si="184"/>
        <v>800</v>
      </c>
      <c r="E369" s="17">
        <v>0</v>
      </c>
      <c r="F369" s="237">
        <f t="shared" si="186"/>
        <v>0</v>
      </c>
      <c r="G369" s="152">
        <v>0</v>
      </c>
      <c r="H369" s="152">
        <v>0</v>
      </c>
      <c r="I369" s="152">
        <v>0</v>
      </c>
      <c r="J369" s="17">
        <v>0</v>
      </c>
      <c r="K369" s="237">
        <f t="shared" si="185"/>
        <v>0</v>
      </c>
      <c r="L369" s="152">
        <v>0</v>
      </c>
      <c r="M369" s="152">
        <v>0</v>
      </c>
      <c r="N369" s="152">
        <v>0</v>
      </c>
      <c r="O369" s="136">
        <v>3.2</v>
      </c>
      <c r="P369" s="28">
        <f t="shared" si="187"/>
        <v>800</v>
      </c>
      <c r="Q369" s="28">
        <v>0</v>
      </c>
      <c r="R369" s="28">
        <v>0</v>
      </c>
      <c r="S369" s="151">
        <v>800</v>
      </c>
      <c r="T369" s="136">
        <v>0</v>
      </c>
      <c r="U369" s="28">
        <f t="shared" si="188"/>
        <v>0</v>
      </c>
      <c r="V369" s="28">
        <v>0</v>
      </c>
      <c r="W369" s="28">
        <v>0</v>
      </c>
      <c r="X369" s="151">
        <v>0</v>
      </c>
      <c r="Y369" s="136">
        <v>0</v>
      </c>
      <c r="Z369" s="152">
        <f t="shared" si="189"/>
        <v>0</v>
      </c>
      <c r="AA369" s="152">
        <v>0</v>
      </c>
      <c r="AB369" s="152">
        <v>0</v>
      </c>
      <c r="AC369" s="157">
        <v>0</v>
      </c>
      <c r="AD369" s="36"/>
      <c r="AE369" s="37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</row>
    <row r="370" spans="1:43" s="22" customFormat="1" ht="24" customHeight="1" outlineLevel="1" x14ac:dyDescent="0.2">
      <c r="A370" s="142" t="s">
        <v>714</v>
      </c>
      <c r="B370" s="127" t="s">
        <v>464</v>
      </c>
      <c r="C370" s="177">
        <f t="shared" si="191"/>
        <v>1.06</v>
      </c>
      <c r="D370" s="28">
        <f t="shared" si="184"/>
        <v>265</v>
      </c>
      <c r="E370" s="17">
        <v>0</v>
      </c>
      <c r="F370" s="237">
        <f t="shared" si="186"/>
        <v>0</v>
      </c>
      <c r="G370" s="152">
        <v>0</v>
      </c>
      <c r="H370" s="152">
        <v>0</v>
      </c>
      <c r="I370" s="152">
        <v>0</v>
      </c>
      <c r="J370" s="17">
        <v>0</v>
      </c>
      <c r="K370" s="237">
        <f t="shared" si="185"/>
        <v>0</v>
      </c>
      <c r="L370" s="152">
        <v>0</v>
      </c>
      <c r="M370" s="152">
        <v>0</v>
      </c>
      <c r="N370" s="152">
        <v>0</v>
      </c>
      <c r="O370" s="136">
        <v>1.06</v>
      </c>
      <c r="P370" s="28">
        <f t="shared" si="187"/>
        <v>265</v>
      </c>
      <c r="Q370" s="28">
        <v>0</v>
      </c>
      <c r="R370" s="28">
        <v>0</v>
      </c>
      <c r="S370" s="151">
        <v>265</v>
      </c>
      <c r="T370" s="136">
        <v>0</v>
      </c>
      <c r="U370" s="28">
        <f t="shared" si="188"/>
        <v>0</v>
      </c>
      <c r="V370" s="28">
        <v>0</v>
      </c>
      <c r="W370" s="28">
        <v>0</v>
      </c>
      <c r="X370" s="151">
        <v>0</v>
      </c>
      <c r="Y370" s="136">
        <v>0</v>
      </c>
      <c r="Z370" s="152">
        <f t="shared" si="189"/>
        <v>0</v>
      </c>
      <c r="AA370" s="152">
        <v>0</v>
      </c>
      <c r="AB370" s="152">
        <v>0</v>
      </c>
      <c r="AC370" s="157">
        <v>0</v>
      </c>
      <c r="AD370" s="36"/>
      <c r="AE370" s="37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</row>
    <row r="371" spans="1:43" s="22" customFormat="1" ht="26.45" customHeight="1" outlineLevel="1" x14ac:dyDescent="0.2">
      <c r="A371" s="142" t="s">
        <v>715</v>
      </c>
      <c r="B371" s="127" t="s">
        <v>465</v>
      </c>
      <c r="C371" s="177">
        <f t="shared" si="191"/>
        <v>1.3</v>
      </c>
      <c r="D371" s="28">
        <f t="shared" si="184"/>
        <v>325</v>
      </c>
      <c r="E371" s="17">
        <v>0</v>
      </c>
      <c r="F371" s="237">
        <f t="shared" si="186"/>
        <v>0</v>
      </c>
      <c r="G371" s="152">
        <v>0</v>
      </c>
      <c r="H371" s="152">
        <v>0</v>
      </c>
      <c r="I371" s="152">
        <v>0</v>
      </c>
      <c r="J371" s="17">
        <v>0</v>
      </c>
      <c r="K371" s="237">
        <f t="shared" si="185"/>
        <v>0</v>
      </c>
      <c r="L371" s="152">
        <v>0</v>
      </c>
      <c r="M371" s="152">
        <v>0</v>
      </c>
      <c r="N371" s="152">
        <v>0</v>
      </c>
      <c r="O371" s="136">
        <v>1.3</v>
      </c>
      <c r="P371" s="28">
        <f t="shared" si="187"/>
        <v>325</v>
      </c>
      <c r="Q371" s="28">
        <v>0</v>
      </c>
      <c r="R371" s="28">
        <v>0</v>
      </c>
      <c r="S371" s="151">
        <v>325</v>
      </c>
      <c r="T371" s="136">
        <v>0</v>
      </c>
      <c r="U371" s="28">
        <f t="shared" si="188"/>
        <v>0</v>
      </c>
      <c r="V371" s="28">
        <v>0</v>
      </c>
      <c r="W371" s="28">
        <v>0</v>
      </c>
      <c r="X371" s="151">
        <v>0</v>
      </c>
      <c r="Y371" s="136">
        <v>0</v>
      </c>
      <c r="Z371" s="152">
        <f t="shared" si="189"/>
        <v>0</v>
      </c>
      <c r="AA371" s="152">
        <v>0</v>
      </c>
      <c r="AB371" s="152">
        <v>0</v>
      </c>
      <c r="AC371" s="157">
        <v>0</v>
      </c>
      <c r="AD371" s="36"/>
      <c r="AE371" s="37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</row>
    <row r="372" spans="1:43" s="22" customFormat="1" ht="45" customHeight="1" outlineLevel="1" x14ac:dyDescent="0.2">
      <c r="A372" s="142" t="s">
        <v>716</v>
      </c>
      <c r="B372" s="127" t="s">
        <v>402</v>
      </c>
      <c r="C372" s="177">
        <f t="shared" si="191"/>
        <v>2.4300000000000002</v>
      </c>
      <c r="D372" s="28">
        <f t="shared" si="184"/>
        <v>606.29999999999995</v>
      </c>
      <c r="E372" s="17">
        <v>0</v>
      </c>
      <c r="F372" s="237">
        <f t="shared" si="186"/>
        <v>0</v>
      </c>
      <c r="G372" s="152">
        <v>0</v>
      </c>
      <c r="H372" s="152">
        <v>0</v>
      </c>
      <c r="I372" s="152">
        <v>0</v>
      </c>
      <c r="J372" s="17">
        <v>0</v>
      </c>
      <c r="K372" s="237">
        <f t="shared" si="185"/>
        <v>0</v>
      </c>
      <c r="L372" s="152">
        <v>0</v>
      </c>
      <c r="M372" s="152">
        <v>0</v>
      </c>
      <c r="N372" s="152">
        <v>0</v>
      </c>
      <c r="O372" s="136">
        <v>0</v>
      </c>
      <c r="P372" s="28">
        <f t="shared" si="187"/>
        <v>0</v>
      </c>
      <c r="Q372" s="28">
        <v>0</v>
      </c>
      <c r="R372" s="28">
        <v>0</v>
      </c>
      <c r="S372" s="151">
        <v>0</v>
      </c>
      <c r="T372" s="136">
        <v>0</v>
      </c>
      <c r="U372" s="28">
        <f t="shared" si="188"/>
        <v>0</v>
      </c>
      <c r="V372" s="28">
        <v>0</v>
      </c>
      <c r="W372" s="28">
        <v>0</v>
      </c>
      <c r="X372" s="151">
        <v>0</v>
      </c>
      <c r="Y372" s="136">
        <f>ROUND(2.425,2)</f>
        <v>2.4300000000000002</v>
      </c>
      <c r="Z372" s="152">
        <f t="shared" si="189"/>
        <v>606.29999999999995</v>
      </c>
      <c r="AA372" s="152">
        <v>0</v>
      </c>
      <c r="AB372" s="152">
        <v>0</v>
      </c>
      <c r="AC372" s="157">
        <f>ROUND(606.25,1)</f>
        <v>606.29999999999995</v>
      </c>
      <c r="AD372" s="36"/>
      <c r="AE372" s="37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</row>
    <row r="373" spans="1:43" s="22" customFormat="1" ht="24.6" customHeight="1" outlineLevel="1" x14ac:dyDescent="0.2">
      <c r="A373" s="142" t="s">
        <v>717</v>
      </c>
      <c r="B373" s="127" t="s">
        <v>438</v>
      </c>
      <c r="C373" s="177">
        <f t="shared" si="191"/>
        <v>3</v>
      </c>
      <c r="D373" s="28">
        <f t="shared" si="184"/>
        <v>748.8</v>
      </c>
      <c r="E373" s="17">
        <v>0</v>
      </c>
      <c r="F373" s="237">
        <f t="shared" si="186"/>
        <v>0</v>
      </c>
      <c r="G373" s="152">
        <v>0</v>
      </c>
      <c r="H373" s="152">
        <v>0</v>
      </c>
      <c r="I373" s="152">
        <v>0</v>
      </c>
      <c r="J373" s="17">
        <v>0</v>
      </c>
      <c r="K373" s="237">
        <f t="shared" si="185"/>
        <v>0</v>
      </c>
      <c r="L373" s="152">
        <v>0</v>
      </c>
      <c r="M373" s="152">
        <v>0</v>
      </c>
      <c r="N373" s="152">
        <v>0</v>
      </c>
      <c r="O373" s="136">
        <v>0</v>
      </c>
      <c r="P373" s="28">
        <f t="shared" si="187"/>
        <v>0</v>
      </c>
      <c r="Q373" s="28">
        <v>0</v>
      </c>
      <c r="R373" s="28">
        <v>0</v>
      </c>
      <c r="S373" s="151">
        <v>0</v>
      </c>
      <c r="T373" s="136">
        <v>0</v>
      </c>
      <c r="U373" s="28">
        <f t="shared" si="188"/>
        <v>0</v>
      </c>
      <c r="V373" s="28">
        <v>0</v>
      </c>
      <c r="W373" s="28">
        <v>0</v>
      </c>
      <c r="X373" s="151">
        <v>0</v>
      </c>
      <c r="Y373" s="136">
        <f>ROUND(2.995,2)</f>
        <v>3</v>
      </c>
      <c r="Z373" s="152">
        <f t="shared" si="189"/>
        <v>748.8</v>
      </c>
      <c r="AA373" s="152">
        <v>0</v>
      </c>
      <c r="AB373" s="152">
        <v>0</v>
      </c>
      <c r="AC373" s="157">
        <f>ROUND(748.75,1)</f>
        <v>748.8</v>
      </c>
      <c r="AD373" s="36"/>
      <c r="AE373" s="37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</row>
    <row r="374" spans="1:43" s="22" customFormat="1" ht="32.450000000000003" customHeight="1" outlineLevel="1" x14ac:dyDescent="0.2">
      <c r="A374" s="142" t="s">
        <v>718</v>
      </c>
      <c r="B374" s="127" t="s">
        <v>432</v>
      </c>
      <c r="C374" s="177">
        <f t="shared" si="191"/>
        <v>3.29</v>
      </c>
      <c r="D374" s="28">
        <f t="shared" si="184"/>
        <v>822.5</v>
      </c>
      <c r="E374" s="17">
        <v>0</v>
      </c>
      <c r="F374" s="237">
        <f t="shared" si="186"/>
        <v>0</v>
      </c>
      <c r="G374" s="152">
        <v>0</v>
      </c>
      <c r="H374" s="152">
        <v>0</v>
      </c>
      <c r="I374" s="152">
        <v>0</v>
      </c>
      <c r="J374" s="17">
        <v>0</v>
      </c>
      <c r="K374" s="237">
        <f t="shared" si="185"/>
        <v>0</v>
      </c>
      <c r="L374" s="152">
        <v>0</v>
      </c>
      <c r="M374" s="152">
        <v>0</v>
      </c>
      <c r="N374" s="152">
        <v>0</v>
      </c>
      <c r="O374" s="136">
        <v>0</v>
      </c>
      <c r="P374" s="28">
        <f t="shared" si="187"/>
        <v>0</v>
      </c>
      <c r="Q374" s="28">
        <v>0</v>
      </c>
      <c r="R374" s="28">
        <v>0</v>
      </c>
      <c r="S374" s="151">
        <v>0</v>
      </c>
      <c r="T374" s="136">
        <v>0</v>
      </c>
      <c r="U374" s="28">
        <f t="shared" si="188"/>
        <v>0</v>
      </c>
      <c r="V374" s="28">
        <v>0</v>
      </c>
      <c r="W374" s="28">
        <v>0</v>
      </c>
      <c r="X374" s="151">
        <v>0</v>
      </c>
      <c r="Y374" s="136">
        <v>3.29</v>
      </c>
      <c r="Z374" s="152">
        <f t="shared" si="189"/>
        <v>822.5</v>
      </c>
      <c r="AA374" s="152">
        <v>0</v>
      </c>
      <c r="AB374" s="152">
        <v>0</v>
      </c>
      <c r="AC374" s="157">
        <v>822.5</v>
      </c>
      <c r="AD374" s="36"/>
      <c r="AE374" s="37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</row>
    <row r="375" spans="1:43" s="22" customFormat="1" ht="33" customHeight="1" outlineLevel="1" x14ac:dyDescent="0.2">
      <c r="A375" s="142" t="s">
        <v>719</v>
      </c>
      <c r="B375" s="127" t="s">
        <v>433</v>
      </c>
      <c r="C375" s="177">
        <f t="shared" si="191"/>
        <v>3.5</v>
      </c>
      <c r="D375" s="28">
        <f t="shared" si="184"/>
        <v>875</v>
      </c>
      <c r="E375" s="17">
        <v>0</v>
      </c>
      <c r="F375" s="237">
        <f t="shared" si="186"/>
        <v>0</v>
      </c>
      <c r="G375" s="152">
        <v>0</v>
      </c>
      <c r="H375" s="152">
        <v>0</v>
      </c>
      <c r="I375" s="152">
        <v>0</v>
      </c>
      <c r="J375" s="17">
        <v>0</v>
      </c>
      <c r="K375" s="237">
        <f t="shared" si="185"/>
        <v>0</v>
      </c>
      <c r="L375" s="152">
        <v>0</v>
      </c>
      <c r="M375" s="152">
        <v>0</v>
      </c>
      <c r="N375" s="152">
        <v>0</v>
      </c>
      <c r="O375" s="136">
        <v>0</v>
      </c>
      <c r="P375" s="28">
        <f t="shared" si="187"/>
        <v>0</v>
      </c>
      <c r="Q375" s="28">
        <v>0</v>
      </c>
      <c r="R375" s="28">
        <v>0</v>
      </c>
      <c r="S375" s="151">
        <v>0</v>
      </c>
      <c r="T375" s="136">
        <v>0</v>
      </c>
      <c r="U375" s="28">
        <f t="shared" si="188"/>
        <v>0</v>
      </c>
      <c r="V375" s="28">
        <v>0</v>
      </c>
      <c r="W375" s="28">
        <v>0</v>
      </c>
      <c r="X375" s="151">
        <v>0</v>
      </c>
      <c r="Y375" s="136">
        <v>3.5</v>
      </c>
      <c r="Z375" s="152">
        <f t="shared" si="189"/>
        <v>875</v>
      </c>
      <c r="AA375" s="152">
        <v>0</v>
      </c>
      <c r="AB375" s="152">
        <v>0</v>
      </c>
      <c r="AC375" s="157">
        <v>875</v>
      </c>
      <c r="AD375" s="36"/>
      <c r="AE375" s="37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</row>
    <row r="376" spans="1:43" s="22" customFormat="1" ht="27" customHeight="1" outlineLevel="1" x14ac:dyDescent="0.2">
      <c r="A376" s="142" t="s">
        <v>720</v>
      </c>
      <c r="B376" s="127" t="s">
        <v>434</v>
      </c>
      <c r="C376" s="177">
        <f t="shared" si="191"/>
        <v>3.2600000000000002</v>
      </c>
      <c r="D376" s="28">
        <f t="shared" si="184"/>
        <v>815.00000000000011</v>
      </c>
      <c r="E376" s="17">
        <v>0</v>
      </c>
      <c r="F376" s="237">
        <f t="shared" si="186"/>
        <v>0</v>
      </c>
      <c r="G376" s="152">
        <v>0</v>
      </c>
      <c r="H376" s="152">
        <v>0</v>
      </c>
      <c r="I376" s="152">
        <v>0</v>
      </c>
      <c r="J376" s="17">
        <v>0</v>
      </c>
      <c r="K376" s="237">
        <f t="shared" si="185"/>
        <v>0</v>
      </c>
      <c r="L376" s="152">
        <v>0</v>
      </c>
      <c r="M376" s="152">
        <v>0</v>
      </c>
      <c r="N376" s="152">
        <v>0</v>
      </c>
      <c r="O376" s="136">
        <v>0</v>
      </c>
      <c r="P376" s="28">
        <f t="shared" si="187"/>
        <v>0</v>
      </c>
      <c r="Q376" s="28">
        <v>0</v>
      </c>
      <c r="R376" s="28">
        <v>0</v>
      </c>
      <c r="S376" s="151">
        <v>0</v>
      </c>
      <c r="T376" s="136">
        <v>0</v>
      </c>
      <c r="U376" s="28">
        <f t="shared" si="188"/>
        <v>0</v>
      </c>
      <c r="V376" s="28">
        <v>0</v>
      </c>
      <c r="W376" s="28">
        <v>0</v>
      </c>
      <c r="X376" s="151">
        <v>0</v>
      </c>
      <c r="Y376" s="136">
        <v>3.2600000000000002</v>
      </c>
      <c r="Z376" s="152">
        <f t="shared" si="189"/>
        <v>815.00000000000011</v>
      </c>
      <c r="AA376" s="152">
        <v>0</v>
      </c>
      <c r="AB376" s="152">
        <v>0</v>
      </c>
      <c r="AC376" s="157">
        <v>815.00000000000011</v>
      </c>
      <c r="AD376" s="36"/>
      <c r="AE376" s="37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</row>
    <row r="377" spans="1:43" s="22" customFormat="1" ht="28.9" customHeight="1" outlineLevel="1" x14ac:dyDescent="0.2">
      <c r="A377" s="142" t="s">
        <v>721</v>
      </c>
      <c r="B377" s="127" t="s">
        <v>435</v>
      </c>
      <c r="C377" s="177">
        <f t="shared" si="191"/>
        <v>4</v>
      </c>
      <c r="D377" s="28">
        <f t="shared" si="184"/>
        <v>1000</v>
      </c>
      <c r="E377" s="17">
        <v>0</v>
      </c>
      <c r="F377" s="237">
        <f t="shared" si="186"/>
        <v>0</v>
      </c>
      <c r="G377" s="152">
        <v>0</v>
      </c>
      <c r="H377" s="152">
        <v>0</v>
      </c>
      <c r="I377" s="152">
        <v>0</v>
      </c>
      <c r="J377" s="17">
        <v>0</v>
      </c>
      <c r="K377" s="237">
        <f t="shared" si="185"/>
        <v>0</v>
      </c>
      <c r="L377" s="152">
        <v>0</v>
      </c>
      <c r="M377" s="152">
        <v>0</v>
      </c>
      <c r="N377" s="152">
        <v>0</v>
      </c>
      <c r="O377" s="136">
        <v>0</v>
      </c>
      <c r="P377" s="28">
        <f t="shared" si="187"/>
        <v>0</v>
      </c>
      <c r="Q377" s="28">
        <v>0</v>
      </c>
      <c r="R377" s="28">
        <v>0</v>
      </c>
      <c r="S377" s="151">
        <v>0</v>
      </c>
      <c r="T377" s="136">
        <v>0</v>
      </c>
      <c r="U377" s="28">
        <f t="shared" si="188"/>
        <v>0</v>
      </c>
      <c r="V377" s="28">
        <v>0</v>
      </c>
      <c r="W377" s="28">
        <v>0</v>
      </c>
      <c r="X377" s="151">
        <v>0</v>
      </c>
      <c r="Y377" s="136">
        <v>4</v>
      </c>
      <c r="Z377" s="152">
        <f t="shared" si="189"/>
        <v>1000</v>
      </c>
      <c r="AA377" s="152">
        <v>0</v>
      </c>
      <c r="AB377" s="152">
        <v>0</v>
      </c>
      <c r="AC377" s="157">
        <v>1000</v>
      </c>
      <c r="AD377" s="36"/>
      <c r="AE377" s="37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</row>
    <row r="378" spans="1:43" s="22" customFormat="1" ht="33" customHeight="1" outlineLevel="1" x14ac:dyDescent="0.2">
      <c r="A378" s="142" t="s">
        <v>722</v>
      </c>
      <c r="B378" s="127" t="s">
        <v>436</v>
      </c>
      <c r="C378" s="177">
        <f t="shared" si="191"/>
        <v>3.75</v>
      </c>
      <c r="D378" s="28">
        <f t="shared" si="184"/>
        <v>937.5</v>
      </c>
      <c r="E378" s="17">
        <v>0</v>
      </c>
      <c r="F378" s="237">
        <f t="shared" si="186"/>
        <v>0</v>
      </c>
      <c r="G378" s="152">
        <v>0</v>
      </c>
      <c r="H378" s="152">
        <v>0</v>
      </c>
      <c r="I378" s="152">
        <v>0</v>
      </c>
      <c r="J378" s="17">
        <v>0</v>
      </c>
      <c r="K378" s="237">
        <f t="shared" si="185"/>
        <v>0</v>
      </c>
      <c r="L378" s="152">
        <v>0</v>
      </c>
      <c r="M378" s="152">
        <v>0</v>
      </c>
      <c r="N378" s="152">
        <v>0</v>
      </c>
      <c r="O378" s="136">
        <v>0</v>
      </c>
      <c r="P378" s="28">
        <f t="shared" si="187"/>
        <v>0</v>
      </c>
      <c r="Q378" s="28">
        <v>0</v>
      </c>
      <c r="R378" s="28">
        <v>0</v>
      </c>
      <c r="S378" s="151">
        <v>0</v>
      </c>
      <c r="T378" s="136">
        <v>0</v>
      </c>
      <c r="U378" s="28">
        <f t="shared" si="188"/>
        <v>0</v>
      </c>
      <c r="V378" s="28">
        <v>0</v>
      </c>
      <c r="W378" s="28">
        <v>0</v>
      </c>
      <c r="X378" s="151">
        <v>0</v>
      </c>
      <c r="Y378" s="136">
        <v>3.75</v>
      </c>
      <c r="Z378" s="152">
        <f t="shared" si="189"/>
        <v>937.5</v>
      </c>
      <c r="AA378" s="152">
        <v>0</v>
      </c>
      <c r="AB378" s="152">
        <v>0</v>
      </c>
      <c r="AC378" s="157">
        <v>937.5</v>
      </c>
      <c r="AD378" s="36"/>
      <c r="AE378" s="37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</row>
    <row r="379" spans="1:43" s="22" customFormat="1" ht="25.15" customHeight="1" outlineLevel="1" x14ac:dyDescent="0.2">
      <c r="A379" s="142" t="s">
        <v>723</v>
      </c>
      <c r="B379" s="127" t="s">
        <v>437</v>
      </c>
      <c r="C379" s="177">
        <f t="shared" si="191"/>
        <v>3.95</v>
      </c>
      <c r="D379" s="28">
        <f t="shared" si="184"/>
        <v>986.3</v>
      </c>
      <c r="E379" s="17">
        <v>0</v>
      </c>
      <c r="F379" s="237">
        <f t="shared" si="186"/>
        <v>0</v>
      </c>
      <c r="G379" s="152">
        <v>0</v>
      </c>
      <c r="H379" s="152">
        <v>0</v>
      </c>
      <c r="I379" s="152">
        <v>0</v>
      </c>
      <c r="J379" s="17">
        <v>0</v>
      </c>
      <c r="K379" s="237">
        <f t="shared" si="185"/>
        <v>0</v>
      </c>
      <c r="L379" s="152">
        <v>0</v>
      </c>
      <c r="M379" s="152">
        <v>0</v>
      </c>
      <c r="N379" s="152">
        <v>0</v>
      </c>
      <c r="O379" s="136">
        <v>0</v>
      </c>
      <c r="P379" s="28">
        <f t="shared" si="187"/>
        <v>0</v>
      </c>
      <c r="Q379" s="28">
        <v>0</v>
      </c>
      <c r="R379" s="28">
        <v>0</v>
      </c>
      <c r="S379" s="151">
        <v>0</v>
      </c>
      <c r="T379" s="136">
        <v>0</v>
      </c>
      <c r="U379" s="28">
        <f t="shared" si="188"/>
        <v>0</v>
      </c>
      <c r="V379" s="28">
        <v>0</v>
      </c>
      <c r="W379" s="28">
        <v>0</v>
      </c>
      <c r="X379" s="151">
        <v>0</v>
      </c>
      <c r="Y379" s="136">
        <f>ROUND(3.945,2)</f>
        <v>3.95</v>
      </c>
      <c r="Z379" s="152">
        <f t="shared" si="189"/>
        <v>986.3</v>
      </c>
      <c r="AA379" s="152">
        <v>0</v>
      </c>
      <c r="AB379" s="152">
        <v>0</v>
      </c>
      <c r="AC379" s="157">
        <f>ROUND(986.25,1)</f>
        <v>986.3</v>
      </c>
      <c r="AD379" s="36"/>
      <c r="AE379" s="37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</row>
    <row r="380" spans="1:43" s="22" customFormat="1" ht="27" customHeight="1" outlineLevel="1" x14ac:dyDescent="0.2">
      <c r="A380" s="142" t="s">
        <v>724</v>
      </c>
      <c r="B380" s="127" t="s">
        <v>414</v>
      </c>
      <c r="C380" s="177">
        <f t="shared" si="191"/>
        <v>0.92999999999999994</v>
      </c>
      <c r="D380" s="28">
        <f t="shared" si="184"/>
        <v>232.49999999999997</v>
      </c>
      <c r="E380" s="17">
        <v>0</v>
      </c>
      <c r="F380" s="237">
        <f t="shared" si="186"/>
        <v>0</v>
      </c>
      <c r="G380" s="152">
        <v>0</v>
      </c>
      <c r="H380" s="152">
        <v>0</v>
      </c>
      <c r="I380" s="152">
        <v>0</v>
      </c>
      <c r="J380" s="17">
        <v>0</v>
      </c>
      <c r="K380" s="237">
        <f t="shared" si="185"/>
        <v>0</v>
      </c>
      <c r="L380" s="152">
        <v>0</v>
      </c>
      <c r="M380" s="152">
        <v>0</v>
      </c>
      <c r="N380" s="152">
        <v>0</v>
      </c>
      <c r="O380" s="136">
        <v>0</v>
      </c>
      <c r="P380" s="28">
        <f t="shared" si="187"/>
        <v>0</v>
      </c>
      <c r="Q380" s="28">
        <v>0</v>
      </c>
      <c r="R380" s="28">
        <v>0</v>
      </c>
      <c r="S380" s="151">
        <v>0</v>
      </c>
      <c r="T380" s="136">
        <v>0</v>
      </c>
      <c r="U380" s="28">
        <f t="shared" si="188"/>
        <v>0</v>
      </c>
      <c r="V380" s="28">
        <v>0</v>
      </c>
      <c r="W380" s="28">
        <v>0</v>
      </c>
      <c r="X380" s="151">
        <v>0</v>
      </c>
      <c r="Y380" s="136">
        <v>0.92999999999999994</v>
      </c>
      <c r="Z380" s="152">
        <f t="shared" si="189"/>
        <v>232.49999999999997</v>
      </c>
      <c r="AA380" s="152">
        <v>0</v>
      </c>
      <c r="AB380" s="152">
        <v>0</v>
      </c>
      <c r="AC380" s="157">
        <v>232.49999999999997</v>
      </c>
      <c r="AD380" s="36"/>
      <c r="AE380" s="37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</row>
    <row r="381" spans="1:43" s="22" customFormat="1" ht="21" customHeight="1" outlineLevel="1" x14ac:dyDescent="0.2">
      <c r="A381" s="142" t="s">
        <v>725</v>
      </c>
      <c r="B381" s="127" t="s">
        <v>411</v>
      </c>
      <c r="C381" s="177">
        <f t="shared" si="191"/>
        <v>1.58</v>
      </c>
      <c r="D381" s="28">
        <f t="shared" si="184"/>
        <v>393.8</v>
      </c>
      <c r="E381" s="17">
        <v>0</v>
      </c>
      <c r="F381" s="237">
        <f t="shared" si="186"/>
        <v>0</v>
      </c>
      <c r="G381" s="152">
        <v>0</v>
      </c>
      <c r="H381" s="152">
        <v>0</v>
      </c>
      <c r="I381" s="152">
        <v>0</v>
      </c>
      <c r="J381" s="17">
        <v>0</v>
      </c>
      <c r="K381" s="237">
        <f t="shared" si="185"/>
        <v>0</v>
      </c>
      <c r="L381" s="152">
        <v>0</v>
      </c>
      <c r="M381" s="152">
        <v>0</v>
      </c>
      <c r="N381" s="152">
        <v>0</v>
      </c>
      <c r="O381" s="136">
        <v>0</v>
      </c>
      <c r="P381" s="28">
        <f t="shared" si="187"/>
        <v>0</v>
      </c>
      <c r="Q381" s="28">
        <v>0</v>
      </c>
      <c r="R381" s="28">
        <v>0</v>
      </c>
      <c r="S381" s="151">
        <v>0</v>
      </c>
      <c r="T381" s="136">
        <v>0</v>
      </c>
      <c r="U381" s="28">
        <f t="shared" si="188"/>
        <v>0</v>
      </c>
      <c r="V381" s="28">
        <v>0</v>
      </c>
      <c r="W381" s="28">
        <v>0</v>
      </c>
      <c r="X381" s="151">
        <v>0</v>
      </c>
      <c r="Y381" s="136">
        <f>ROUND(1.575,2)</f>
        <v>1.58</v>
      </c>
      <c r="Z381" s="152">
        <f t="shared" si="189"/>
        <v>393.8</v>
      </c>
      <c r="AA381" s="152">
        <v>0</v>
      </c>
      <c r="AB381" s="152">
        <v>0</v>
      </c>
      <c r="AC381" s="157">
        <f>ROUND(393.75,1)</f>
        <v>393.8</v>
      </c>
      <c r="AD381" s="36"/>
      <c r="AE381" s="37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</row>
    <row r="382" spans="1:43" s="22" customFormat="1" ht="31.9" customHeight="1" outlineLevel="1" x14ac:dyDescent="0.2">
      <c r="A382" s="142" t="s">
        <v>726</v>
      </c>
      <c r="B382" s="127" t="s">
        <v>412</v>
      </c>
      <c r="C382" s="177">
        <f t="shared" si="191"/>
        <v>3.44</v>
      </c>
      <c r="D382" s="28">
        <f t="shared" si="184"/>
        <v>858.8</v>
      </c>
      <c r="E382" s="17">
        <v>0</v>
      </c>
      <c r="F382" s="237">
        <f t="shared" si="186"/>
        <v>0</v>
      </c>
      <c r="G382" s="152">
        <v>0</v>
      </c>
      <c r="H382" s="152">
        <v>0</v>
      </c>
      <c r="I382" s="152">
        <v>0</v>
      </c>
      <c r="J382" s="17">
        <v>0</v>
      </c>
      <c r="K382" s="237">
        <f t="shared" si="185"/>
        <v>0</v>
      </c>
      <c r="L382" s="152">
        <v>0</v>
      </c>
      <c r="M382" s="152">
        <v>0</v>
      </c>
      <c r="N382" s="152">
        <v>0</v>
      </c>
      <c r="O382" s="136">
        <v>0</v>
      </c>
      <c r="P382" s="28">
        <f t="shared" si="187"/>
        <v>0</v>
      </c>
      <c r="Q382" s="28">
        <v>0</v>
      </c>
      <c r="R382" s="28">
        <v>0</v>
      </c>
      <c r="S382" s="151">
        <v>0</v>
      </c>
      <c r="T382" s="136">
        <v>0</v>
      </c>
      <c r="U382" s="28">
        <f t="shared" si="188"/>
        <v>0</v>
      </c>
      <c r="V382" s="28">
        <v>0</v>
      </c>
      <c r="W382" s="28">
        <v>0</v>
      </c>
      <c r="X382" s="151">
        <v>0</v>
      </c>
      <c r="Y382" s="136">
        <f>ROUND(3.435,2)</f>
        <v>3.44</v>
      </c>
      <c r="Z382" s="152">
        <f t="shared" si="189"/>
        <v>858.8</v>
      </c>
      <c r="AA382" s="152">
        <v>0</v>
      </c>
      <c r="AB382" s="152">
        <v>0</v>
      </c>
      <c r="AC382" s="157">
        <f>ROUND(858.75,1)</f>
        <v>858.8</v>
      </c>
      <c r="AD382" s="36"/>
      <c r="AE382" s="37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</row>
    <row r="383" spans="1:43" s="22" customFormat="1" ht="23.45" customHeight="1" outlineLevel="1" x14ac:dyDescent="0.2">
      <c r="A383" s="142" t="s">
        <v>727</v>
      </c>
      <c r="B383" s="131" t="s">
        <v>398</v>
      </c>
      <c r="C383" s="177">
        <f t="shared" si="191"/>
        <v>2.5</v>
      </c>
      <c r="D383" s="28">
        <f t="shared" si="184"/>
        <v>625</v>
      </c>
      <c r="E383" s="17">
        <v>0</v>
      </c>
      <c r="F383" s="237">
        <f t="shared" si="186"/>
        <v>0</v>
      </c>
      <c r="G383" s="152">
        <v>0</v>
      </c>
      <c r="H383" s="152">
        <v>0</v>
      </c>
      <c r="I383" s="152">
        <v>0</v>
      </c>
      <c r="J383" s="17">
        <v>0</v>
      </c>
      <c r="K383" s="237">
        <f t="shared" si="185"/>
        <v>0</v>
      </c>
      <c r="L383" s="152">
        <v>0</v>
      </c>
      <c r="M383" s="152">
        <v>0</v>
      </c>
      <c r="N383" s="152">
        <v>0</v>
      </c>
      <c r="O383" s="136">
        <v>0</v>
      </c>
      <c r="P383" s="28">
        <f t="shared" si="187"/>
        <v>0</v>
      </c>
      <c r="Q383" s="28">
        <v>0</v>
      </c>
      <c r="R383" s="28">
        <v>0</v>
      </c>
      <c r="S383" s="151">
        <v>0</v>
      </c>
      <c r="T383" s="136">
        <v>0</v>
      </c>
      <c r="U383" s="28">
        <f t="shared" si="188"/>
        <v>0</v>
      </c>
      <c r="V383" s="28">
        <v>0</v>
      </c>
      <c r="W383" s="28">
        <v>0</v>
      </c>
      <c r="X383" s="151">
        <v>0</v>
      </c>
      <c r="Y383" s="136">
        <v>2.5</v>
      </c>
      <c r="Z383" s="152">
        <f t="shared" si="189"/>
        <v>625</v>
      </c>
      <c r="AA383" s="152">
        <v>0</v>
      </c>
      <c r="AB383" s="152">
        <v>0</v>
      </c>
      <c r="AC383" s="157">
        <v>625</v>
      </c>
      <c r="AD383" s="36"/>
      <c r="AE383" s="37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</row>
    <row r="384" spans="1:43" s="22" customFormat="1" ht="32.450000000000003" customHeight="1" x14ac:dyDescent="0.2">
      <c r="A384" s="143"/>
      <c r="B384" s="178" t="s">
        <v>467</v>
      </c>
      <c r="C384" s="179">
        <f>SUM(C364,C313,C306,C300)</f>
        <v>170.62</v>
      </c>
      <c r="D384" s="179">
        <f t="shared" ref="D384:AC384" si="192">SUM(D364,D313,D306,D300)</f>
        <v>49133.100000000006</v>
      </c>
      <c r="E384" s="179">
        <f t="shared" si="192"/>
        <v>0</v>
      </c>
      <c r="F384" s="149">
        <f t="shared" si="192"/>
        <v>0</v>
      </c>
      <c r="G384" s="149">
        <f t="shared" si="192"/>
        <v>0</v>
      </c>
      <c r="H384" s="149">
        <f t="shared" si="192"/>
        <v>0</v>
      </c>
      <c r="I384" s="149">
        <f t="shared" si="192"/>
        <v>0</v>
      </c>
      <c r="J384" s="135">
        <f t="shared" si="192"/>
        <v>0</v>
      </c>
      <c r="K384" s="149">
        <f t="shared" si="185"/>
        <v>0</v>
      </c>
      <c r="L384" s="149">
        <f t="shared" si="192"/>
        <v>0</v>
      </c>
      <c r="M384" s="149">
        <f t="shared" si="192"/>
        <v>0</v>
      </c>
      <c r="N384" s="149">
        <f t="shared" si="192"/>
        <v>0</v>
      </c>
      <c r="O384" s="132">
        <f t="shared" si="192"/>
        <v>120.96000000000002</v>
      </c>
      <c r="P384" s="150">
        <f t="shared" si="187"/>
        <v>35883.800000000003</v>
      </c>
      <c r="Q384" s="150">
        <f t="shared" si="192"/>
        <v>0</v>
      </c>
      <c r="R384" s="150">
        <f t="shared" si="192"/>
        <v>0</v>
      </c>
      <c r="S384" s="150">
        <f t="shared" si="192"/>
        <v>35883.800000000003</v>
      </c>
      <c r="T384" s="132">
        <f>SUM(T364,T313,T306,T300)</f>
        <v>14.030000000000001</v>
      </c>
      <c r="U384" s="150">
        <f t="shared" si="188"/>
        <v>4347.8</v>
      </c>
      <c r="V384" s="150">
        <f t="shared" si="192"/>
        <v>0</v>
      </c>
      <c r="W384" s="150">
        <f t="shared" si="192"/>
        <v>0</v>
      </c>
      <c r="X384" s="150">
        <f t="shared" si="192"/>
        <v>4347.8</v>
      </c>
      <c r="Y384" s="132">
        <f t="shared" si="192"/>
        <v>35.629999999999995</v>
      </c>
      <c r="Z384" s="149">
        <f t="shared" si="192"/>
        <v>8901.5</v>
      </c>
      <c r="AA384" s="157">
        <f t="shared" si="192"/>
        <v>0</v>
      </c>
      <c r="AB384" s="157">
        <f t="shared" si="192"/>
        <v>0</v>
      </c>
      <c r="AC384" s="149">
        <f t="shared" si="192"/>
        <v>8901.5</v>
      </c>
      <c r="AD384" s="36"/>
      <c r="AE384" s="37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</row>
    <row r="385" spans="1:43" s="22" customFormat="1" ht="126.75" hidden="1" customHeight="1" x14ac:dyDescent="0.2">
      <c r="A385" s="143"/>
      <c r="B385" s="127" t="s">
        <v>466</v>
      </c>
      <c r="C385" s="177">
        <f t="shared" si="191"/>
        <v>0</v>
      </c>
      <c r="D385" s="28">
        <f t="shared" si="184"/>
        <v>0</v>
      </c>
      <c r="E385" s="139"/>
      <c r="F385" s="237">
        <f t="shared" si="186"/>
        <v>0</v>
      </c>
      <c r="G385" s="141"/>
      <c r="H385" s="141"/>
      <c r="I385" s="141"/>
      <c r="J385" s="139"/>
      <c r="K385" s="237">
        <f t="shared" si="185"/>
        <v>0</v>
      </c>
      <c r="L385" s="141"/>
      <c r="M385" s="141"/>
      <c r="N385" s="141"/>
      <c r="O385" s="195">
        <v>0</v>
      </c>
      <c r="P385" s="74">
        <f t="shared" si="187"/>
        <v>0</v>
      </c>
      <c r="Q385" s="140"/>
      <c r="R385" s="140"/>
      <c r="S385" s="196">
        <v>0</v>
      </c>
      <c r="T385" s="195">
        <v>0</v>
      </c>
      <c r="U385" s="74">
        <f t="shared" si="188"/>
        <v>0</v>
      </c>
      <c r="V385" s="140"/>
      <c r="W385" s="140"/>
      <c r="X385" s="196">
        <v>0</v>
      </c>
      <c r="Y385" s="195">
        <v>0</v>
      </c>
      <c r="Z385" s="237">
        <f t="shared" si="189"/>
        <v>0</v>
      </c>
      <c r="AA385" s="152">
        <v>0</v>
      </c>
      <c r="AB385" s="152">
        <v>0</v>
      </c>
      <c r="AC385" s="156">
        <v>0</v>
      </c>
      <c r="AD385" s="36"/>
      <c r="AE385" s="37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</row>
    <row r="386" spans="1:43" s="22" customFormat="1" ht="41.45" customHeight="1" x14ac:dyDescent="0.2">
      <c r="A386" s="143"/>
      <c r="B386" s="175" t="s">
        <v>728</v>
      </c>
      <c r="C386" s="139">
        <f>C298+C384</f>
        <v>495.84000000000009</v>
      </c>
      <c r="D386" s="169">
        <f>F386+K386+P386+U386+Z386</f>
        <v>130975.79999999999</v>
      </c>
      <c r="E386" s="139">
        <f t="shared" ref="E386:AC386" si="193">E298+E384</f>
        <v>0</v>
      </c>
      <c r="F386" s="141">
        <f t="shared" si="193"/>
        <v>0</v>
      </c>
      <c r="G386" s="141">
        <f t="shared" si="193"/>
        <v>0</v>
      </c>
      <c r="H386" s="141">
        <f t="shared" si="193"/>
        <v>0</v>
      </c>
      <c r="I386" s="141">
        <f t="shared" si="193"/>
        <v>0</v>
      </c>
      <c r="J386" s="139">
        <f t="shared" si="193"/>
        <v>0</v>
      </c>
      <c r="K386" s="141">
        <f t="shared" si="185"/>
        <v>0</v>
      </c>
      <c r="L386" s="141">
        <f t="shared" si="193"/>
        <v>0</v>
      </c>
      <c r="M386" s="141">
        <f t="shared" si="193"/>
        <v>0</v>
      </c>
      <c r="N386" s="141">
        <f t="shared" si="193"/>
        <v>0</v>
      </c>
      <c r="O386" s="180">
        <f t="shared" si="193"/>
        <v>195.46000000000004</v>
      </c>
      <c r="P386" s="140">
        <f t="shared" si="193"/>
        <v>55111.3</v>
      </c>
      <c r="Q386" s="140">
        <f t="shared" si="193"/>
        <v>0</v>
      </c>
      <c r="R386" s="140">
        <f t="shared" si="193"/>
        <v>0</v>
      </c>
      <c r="S386" s="140">
        <f t="shared" si="193"/>
        <v>55111.3</v>
      </c>
      <c r="T386" s="139">
        <f t="shared" si="193"/>
        <v>129.21</v>
      </c>
      <c r="U386" s="140">
        <f t="shared" si="193"/>
        <v>33115.19999999999</v>
      </c>
      <c r="V386" s="140">
        <f t="shared" si="193"/>
        <v>0</v>
      </c>
      <c r="W386" s="140">
        <f t="shared" si="193"/>
        <v>0</v>
      </c>
      <c r="X386" s="140">
        <f t="shared" si="193"/>
        <v>33115.19999999999</v>
      </c>
      <c r="Y386" s="139">
        <f t="shared" si="193"/>
        <v>171.16999999999996</v>
      </c>
      <c r="Z386" s="141">
        <f t="shared" si="193"/>
        <v>42749.299999999988</v>
      </c>
      <c r="AA386" s="181">
        <f t="shared" si="193"/>
        <v>0</v>
      </c>
      <c r="AB386" s="181">
        <f t="shared" si="193"/>
        <v>0</v>
      </c>
      <c r="AC386" s="141">
        <f t="shared" si="193"/>
        <v>42749.299999999988</v>
      </c>
      <c r="AD386" s="36"/>
      <c r="AE386" s="37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</row>
    <row r="387" spans="1:43" s="27" customFormat="1" ht="33.75" customHeight="1" x14ac:dyDescent="0.2">
      <c r="A387" s="278"/>
      <c r="B387" s="87" t="s">
        <v>247</v>
      </c>
      <c r="C387" s="86"/>
      <c r="D387" s="169">
        <f t="shared" ref="D387:J387" si="194">D42+D56+D66+D84+D134+D138+D386</f>
        <v>6932766.5939999996</v>
      </c>
      <c r="E387" s="168">
        <f t="shared" si="194"/>
        <v>114.093</v>
      </c>
      <c r="F387" s="169">
        <f t="shared" si="194"/>
        <v>778905</v>
      </c>
      <c r="G387" s="169">
        <f t="shared" si="194"/>
        <v>0</v>
      </c>
      <c r="H387" s="169">
        <f t="shared" si="194"/>
        <v>700000.00072000001</v>
      </c>
      <c r="I387" s="169">
        <f t="shared" si="194"/>
        <v>78904.999280000004</v>
      </c>
      <c r="J387" s="168">
        <f t="shared" si="194"/>
        <v>299.05</v>
      </c>
      <c r="K387" s="169">
        <f t="shared" si="185"/>
        <v>749715.0639999999</v>
      </c>
      <c r="L387" s="169">
        <f t="shared" ref="L387:AC387" si="195">L42+L56+L66+L84+L134+L138+L386</f>
        <v>0</v>
      </c>
      <c r="M387" s="169">
        <f t="shared" si="195"/>
        <v>700000.01599999995</v>
      </c>
      <c r="N387" s="169">
        <f>N42+N56+N66+N84+N134+N138+N386</f>
        <v>49715.048000000003</v>
      </c>
      <c r="O387" s="168">
        <f t="shared" si="195"/>
        <v>723.29500000000007</v>
      </c>
      <c r="P387" s="169">
        <f t="shared" si="195"/>
        <v>1521054.12</v>
      </c>
      <c r="Q387" s="169">
        <f t="shared" si="195"/>
        <v>0</v>
      </c>
      <c r="R387" s="169">
        <f t="shared" si="195"/>
        <v>1325315.9534400001</v>
      </c>
      <c r="S387" s="169">
        <f t="shared" si="195"/>
        <v>195738.16655999998</v>
      </c>
      <c r="T387" s="168">
        <f t="shared" si="195"/>
        <v>796.73</v>
      </c>
      <c r="U387" s="169">
        <f t="shared" si="195"/>
        <v>1846091.3099999998</v>
      </c>
      <c r="V387" s="169">
        <f t="shared" si="195"/>
        <v>0</v>
      </c>
      <c r="W387" s="169">
        <f t="shared" si="195"/>
        <v>1667612.5183199998</v>
      </c>
      <c r="X387" s="169">
        <f t="shared" si="195"/>
        <v>178478.79167999997</v>
      </c>
      <c r="Y387" s="168">
        <f t="shared" si="195"/>
        <v>867.74999999999989</v>
      </c>
      <c r="Z387" s="169">
        <f t="shared" si="195"/>
        <v>2037001.1</v>
      </c>
      <c r="AA387" s="169">
        <f t="shared" si="195"/>
        <v>0</v>
      </c>
      <c r="AB387" s="169">
        <f t="shared" si="195"/>
        <v>1867439.1055999999</v>
      </c>
      <c r="AC387" s="169">
        <f t="shared" si="195"/>
        <v>169561.9944</v>
      </c>
    </row>
    <row r="388" spans="1:43" s="6" customFormat="1" x14ac:dyDescent="0.2">
      <c r="A388" s="25"/>
      <c r="D388" s="3"/>
      <c r="E388" s="3"/>
      <c r="F388" s="3"/>
      <c r="G388" s="3"/>
      <c r="H388" s="3"/>
      <c r="I388" s="3"/>
      <c r="J388" s="3"/>
      <c r="K388" s="2"/>
      <c r="L388" s="2"/>
      <c r="M388" s="286"/>
      <c r="N388" s="286"/>
      <c r="O388" s="286"/>
      <c r="P388" s="240"/>
      <c r="Q388" s="4"/>
      <c r="R388" s="286"/>
      <c r="S388" s="286"/>
      <c r="T388" s="286"/>
      <c r="U388" s="4"/>
      <c r="V388" s="4"/>
      <c r="W388" s="286"/>
      <c r="X388" s="286"/>
      <c r="Y388" s="286"/>
      <c r="Z388" s="4"/>
      <c r="AA388" s="286"/>
      <c r="AB388" s="286"/>
      <c r="AC388" s="286"/>
    </row>
    <row r="389" spans="1:43" s="6" customFormat="1" x14ac:dyDescent="0.2">
      <c r="A389" s="25"/>
      <c r="D389" s="3"/>
      <c r="E389" s="3"/>
      <c r="F389" s="3"/>
      <c r="G389" s="3"/>
      <c r="H389" s="3"/>
      <c r="I389" s="3"/>
      <c r="J389" s="3"/>
      <c r="K389" s="2"/>
      <c r="L389" s="2"/>
      <c r="M389" s="197"/>
      <c r="N389" s="197"/>
      <c r="O389" s="197"/>
      <c r="P389" s="198"/>
      <c r="Q389" s="198"/>
      <c r="R389" s="286"/>
      <c r="S389" s="286"/>
      <c r="T389" s="286"/>
      <c r="U389" s="4"/>
      <c r="V389" s="4"/>
      <c r="W389" s="286"/>
      <c r="X389" s="286"/>
      <c r="Y389" s="286"/>
      <c r="Z389" s="4"/>
      <c r="AA389" s="286"/>
      <c r="AB389" s="286"/>
      <c r="AC389" s="286"/>
    </row>
    <row r="390" spans="1:43" s="6" customFormat="1" x14ac:dyDescent="0.2">
      <c r="A390" s="25"/>
      <c r="D390" s="3"/>
      <c r="E390" s="3"/>
      <c r="F390" s="3"/>
      <c r="G390" s="3"/>
      <c r="H390" s="3"/>
      <c r="I390" s="3"/>
      <c r="J390" s="3"/>
      <c r="K390" s="2"/>
      <c r="L390" s="2"/>
      <c r="M390" s="286"/>
      <c r="N390" s="286"/>
      <c r="O390" s="286"/>
      <c r="P390" s="4"/>
      <c r="Q390" s="4"/>
      <c r="R390" s="286"/>
      <c r="S390" s="286"/>
      <c r="T390" s="286"/>
      <c r="U390" s="4"/>
      <c r="V390" s="4"/>
      <c r="W390" s="286"/>
      <c r="X390" s="286"/>
      <c r="Y390" s="286"/>
      <c r="Z390" s="4"/>
      <c r="AA390" s="286"/>
      <c r="AB390" s="286"/>
      <c r="AC390" s="286"/>
    </row>
    <row r="391" spans="1:43" s="6" customFormat="1" x14ac:dyDescent="0.2">
      <c r="A391" s="25"/>
      <c r="D391" s="3"/>
      <c r="E391" s="3"/>
      <c r="F391" s="3"/>
      <c r="G391" s="3"/>
      <c r="H391" s="3"/>
      <c r="I391" s="3"/>
      <c r="J391" s="3"/>
      <c r="K391" s="2"/>
      <c r="L391" s="2"/>
      <c r="M391" s="286"/>
      <c r="N391" s="286"/>
      <c r="O391" s="286"/>
      <c r="P391" s="4"/>
      <c r="Q391" s="4"/>
      <c r="R391" s="286"/>
      <c r="S391" s="286"/>
      <c r="T391" s="286"/>
      <c r="U391" s="4"/>
      <c r="V391" s="4"/>
      <c r="W391" s="286"/>
      <c r="X391" s="286"/>
      <c r="Y391" s="286"/>
      <c r="Z391" s="4"/>
      <c r="AA391" s="286"/>
      <c r="AB391" s="286"/>
      <c r="AC391" s="286"/>
    </row>
    <row r="392" spans="1:43" s="6" customFormat="1" x14ac:dyDescent="0.2">
      <c r="A392" s="25"/>
      <c r="D392" s="3"/>
      <c r="E392" s="3"/>
      <c r="F392" s="3"/>
      <c r="G392" s="3"/>
      <c r="H392" s="3"/>
      <c r="I392" s="3"/>
      <c r="J392" s="3"/>
      <c r="K392" s="2"/>
      <c r="L392" s="2"/>
      <c r="M392" s="286"/>
      <c r="N392" s="286"/>
      <c r="O392" s="286"/>
      <c r="P392" s="4"/>
      <c r="Q392" s="4"/>
      <c r="R392" s="286"/>
      <c r="S392" s="286"/>
      <c r="T392" s="286"/>
      <c r="U392" s="4"/>
      <c r="V392" s="4"/>
      <c r="W392" s="286"/>
      <c r="X392" s="286"/>
      <c r="Y392" s="286"/>
      <c r="Z392" s="4"/>
      <c r="AA392" s="286"/>
      <c r="AB392" s="286"/>
      <c r="AC392" s="286"/>
    </row>
    <row r="393" spans="1:43" s="6" customFormat="1" x14ac:dyDescent="0.2">
      <c r="A393" s="25"/>
      <c r="D393" s="3"/>
      <c r="E393" s="3"/>
      <c r="F393" s="3"/>
      <c r="G393" s="3"/>
      <c r="H393" s="3"/>
      <c r="I393" s="3"/>
      <c r="J393" s="3"/>
      <c r="K393" s="2"/>
      <c r="L393" s="2"/>
      <c r="M393" s="286"/>
      <c r="N393" s="286"/>
      <c r="O393" s="286"/>
      <c r="P393" s="4"/>
      <c r="Q393" s="4"/>
      <c r="R393" s="286"/>
      <c r="S393" s="286"/>
      <c r="T393" s="286"/>
      <c r="U393" s="4"/>
      <c r="V393" s="4"/>
      <c r="W393" s="286"/>
      <c r="X393" s="286"/>
      <c r="Y393" s="286"/>
      <c r="Z393" s="4"/>
      <c r="AA393" s="286"/>
      <c r="AB393" s="286"/>
      <c r="AC393" s="286"/>
    </row>
    <row r="394" spans="1:43" s="6" customFormat="1" x14ac:dyDescent="0.2">
      <c r="A394" s="25"/>
      <c r="D394" s="3"/>
      <c r="E394" s="3"/>
      <c r="F394" s="3"/>
      <c r="G394" s="3"/>
      <c r="H394" s="3"/>
      <c r="I394" s="3"/>
      <c r="J394" s="3"/>
      <c r="K394" s="2"/>
      <c r="L394" s="2"/>
      <c r="M394" s="286"/>
      <c r="N394" s="286"/>
      <c r="O394" s="286"/>
      <c r="P394" s="4"/>
      <c r="Q394" s="4"/>
      <c r="R394" s="286"/>
      <c r="S394" s="286"/>
      <c r="T394" s="286"/>
      <c r="U394" s="4"/>
      <c r="V394" s="4"/>
      <c r="W394" s="286"/>
      <c r="X394" s="286"/>
      <c r="Y394" s="286"/>
      <c r="Z394" s="4"/>
      <c r="AA394" s="286"/>
      <c r="AB394" s="286"/>
      <c r="AC394" s="286"/>
    </row>
    <row r="395" spans="1:43" s="6" customFormat="1" x14ac:dyDescent="0.2">
      <c r="A395" s="25"/>
      <c r="D395" s="3"/>
      <c r="E395" s="3"/>
      <c r="F395" s="3"/>
      <c r="G395" s="3"/>
      <c r="H395" s="3"/>
      <c r="I395" s="3"/>
      <c r="J395" s="3"/>
      <c r="K395" s="2"/>
      <c r="L395" s="2"/>
      <c r="M395" s="286"/>
      <c r="N395" s="286"/>
      <c r="O395" s="286"/>
      <c r="P395" s="4"/>
      <c r="Q395" s="4"/>
      <c r="R395" s="286"/>
      <c r="S395" s="286"/>
      <c r="T395" s="286"/>
      <c r="U395" s="4"/>
      <c r="V395" s="4"/>
      <c r="W395" s="286"/>
      <c r="X395" s="286"/>
      <c r="Y395" s="286"/>
      <c r="Z395" s="4"/>
      <c r="AA395" s="286"/>
      <c r="AB395" s="286"/>
      <c r="AC395" s="286"/>
    </row>
    <row r="396" spans="1:43" s="6" customFormat="1" x14ac:dyDescent="0.2">
      <c r="A396" s="25"/>
      <c r="D396" s="3"/>
      <c r="E396" s="3"/>
      <c r="F396" s="3"/>
      <c r="G396" s="3"/>
      <c r="H396" s="3"/>
      <c r="I396" s="3"/>
      <c r="J396" s="3"/>
      <c r="K396" s="2"/>
      <c r="L396" s="2"/>
      <c r="M396" s="286"/>
      <c r="N396" s="286"/>
      <c r="O396" s="286"/>
      <c r="P396" s="4"/>
      <c r="Q396" s="4"/>
      <c r="R396" s="286"/>
      <c r="S396" s="286"/>
      <c r="T396" s="286"/>
      <c r="U396" s="4"/>
      <c r="V396" s="4"/>
      <c r="W396" s="286"/>
      <c r="X396" s="286"/>
      <c r="Y396" s="286"/>
      <c r="Z396" s="4"/>
      <c r="AA396" s="286"/>
      <c r="AB396" s="286"/>
      <c r="AC396" s="286"/>
    </row>
    <row r="397" spans="1:43" s="6" customFormat="1" x14ac:dyDescent="0.2">
      <c r="A397" s="25"/>
      <c r="D397" s="3"/>
      <c r="E397" s="3"/>
      <c r="F397" s="3"/>
      <c r="G397" s="3"/>
      <c r="H397" s="3"/>
      <c r="I397" s="3"/>
      <c r="J397" s="3"/>
      <c r="K397" s="2"/>
      <c r="L397" s="2"/>
      <c r="M397" s="286"/>
      <c r="N397" s="286"/>
      <c r="O397" s="286"/>
      <c r="P397" s="4"/>
      <c r="Q397" s="4"/>
      <c r="R397" s="286"/>
      <c r="S397" s="286"/>
      <c r="T397" s="286"/>
      <c r="U397" s="4"/>
      <c r="V397" s="4"/>
      <c r="W397" s="286"/>
      <c r="X397" s="286"/>
      <c r="Y397" s="286"/>
      <c r="Z397" s="4"/>
      <c r="AA397" s="286"/>
      <c r="AB397" s="286"/>
      <c r="AC397" s="286"/>
    </row>
    <row r="398" spans="1:43" s="6" customFormat="1" x14ac:dyDescent="0.2">
      <c r="A398" s="25"/>
      <c r="D398" s="3"/>
      <c r="E398" s="3"/>
      <c r="F398" s="3"/>
      <c r="G398" s="3"/>
      <c r="H398" s="3"/>
      <c r="I398" s="3"/>
      <c r="J398" s="3"/>
      <c r="K398" s="2"/>
      <c r="L398" s="2"/>
      <c r="M398" s="286"/>
      <c r="N398" s="286"/>
      <c r="O398" s="286"/>
      <c r="P398" s="4"/>
      <c r="Q398" s="4"/>
      <c r="R398" s="286"/>
      <c r="S398" s="286"/>
      <c r="T398" s="286"/>
      <c r="U398" s="4"/>
      <c r="V398" s="4"/>
      <c r="W398" s="286"/>
      <c r="X398" s="286"/>
      <c r="Y398" s="286"/>
      <c r="Z398" s="4"/>
      <c r="AA398" s="286"/>
      <c r="AB398" s="286"/>
      <c r="AC398" s="286"/>
    </row>
    <row r="399" spans="1:43" s="6" customFormat="1" x14ac:dyDescent="0.2">
      <c r="A399" s="25"/>
      <c r="D399" s="3"/>
      <c r="E399" s="3"/>
      <c r="F399" s="3"/>
      <c r="G399" s="3"/>
      <c r="H399" s="3"/>
      <c r="I399" s="3"/>
      <c r="J399" s="3"/>
      <c r="K399" s="2"/>
      <c r="L399" s="2"/>
      <c r="M399" s="286"/>
      <c r="N399" s="286"/>
      <c r="O399" s="286"/>
      <c r="P399" s="4"/>
      <c r="Q399" s="4"/>
      <c r="R399" s="286"/>
      <c r="S399" s="286"/>
      <c r="T399" s="286"/>
      <c r="U399" s="4"/>
      <c r="V399" s="4"/>
      <c r="W399" s="286"/>
      <c r="X399" s="286"/>
      <c r="Y399" s="286"/>
      <c r="Z399" s="4"/>
      <c r="AA399" s="286"/>
      <c r="AB399" s="286"/>
      <c r="AC399" s="286"/>
    </row>
    <row r="400" spans="1:43" s="6" customFormat="1" x14ac:dyDescent="0.2">
      <c r="A400" s="25"/>
      <c r="D400" s="3"/>
      <c r="E400" s="3"/>
      <c r="F400" s="3"/>
      <c r="G400" s="3"/>
      <c r="H400" s="3"/>
      <c r="I400" s="3"/>
      <c r="J400" s="3"/>
      <c r="K400" s="2"/>
      <c r="L400" s="2"/>
      <c r="M400" s="286"/>
      <c r="N400" s="286"/>
      <c r="O400" s="286"/>
      <c r="P400" s="4"/>
      <c r="Q400" s="4"/>
      <c r="R400" s="286"/>
      <c r="S400" s="286"/>
      <c r="T400" s="286"/>
      <c r="U400" s="4"/>
      <c r="V400" s="4"/>
      <c r="W400" s="286"/>
      <c r="X400" s="286"/>
      <c r="Y400" s="286"/>
      <c r="Z400" s="4"/>
      <c r="AA400" s="286"/>
      <c r="AB400" s="286"/>
      <c r="AC400" s="286"/>
    </row>
    <row r="401" spans="1:29" s="6" customFormat="1" x14ac:dyDescent="0.2">
      <c r="A401" s="25"/>
      <c r="D401" s="3"/>
      <c r="E401" s="3"/>
      <c r="F401" s="3"/>
      <c r="G401" s="3"/>
      <c r="H401" s="3"/>
      <c r="I401" s="3"/>
      <c r="J401" s="3"/>
      <c r="K401" s="2"/>
      <c r="L401" s="2"/>
      <c r="M401" s="286"/>
      <c r="N401" s="286"/>
      <c r="O401" s="286"/>
      <c r="P401" s="4"/>
      <c r="Q401" s="4"/>
      <c r="R401" s="286"/>
      <c r="S401" s="286"/>
      <c r="T401" s="286"/>
      <c r="U401" s="4"/>
      <c r="V401" s="4"/>
      <c r="W401" s="286"/>
      <c r="X401" s="286"/>
      <c r="Y401" s="286"/>
      <c r="Z401" s="4"/>
      <c r="AA401" s="286"/>
      <c r="AB401" s="286"/>
      <c r="AC401" s="286"/>
    </row>
    <row r="402" spans="1:29" s="6" customFormat="1" x14ac:dyDescent="0.2">
      <c r="A402" s="25"/>
      <c r="D402" s="3"/>
      <c r="E402" s="3"/>
      <c r="F402" s="3"/>
      <c r="G402" s="3"/>
      <c r="H402" s="3"/>
      <c r="I402" s="3"/>
      <c r="J402" s="3"/>
      <c r="K402" s="2"/>
      <c r="L402" s="2"/>
      <c r="M402" s="286"/>
      <c r="N402" s="286"/>
      <c r="O402" s="286"/>
      <c r="P402" s="4"/>
      <c r="Q402" s="4"/>
      <c r="R402" s="286"/>
      <c r="S402" s="286"/>
      <c r="T402" s="286"/>
      <c r="U402" s="4"/>
      <c r="V402" s="4"/>
      <c r="W402" s="286"/>
      <c r="X402" s="286"/>
      <c r="Y402" s="286"/>
      <c r="Z402" s="4"/>
      <c r="AA402" s="286"/>
      <c r="AB402" s="286"/>
      <c r="AC402" s="286"/>
    </row>
    <row r="403" spans="1:29" s="6" customFormat="1" x14ac:dyDescent="0.2">
      <c r="A403" s="25"/>
      <c r="D403" s="3"/>
      <c r="E403" s="3"/>
      <c r="F403" s="3"/>
      <c r="G403" s="3"/>
      <c r="H403" s="3"/>
      <c r="I403" s="3"/>
      <c r="J403" s="3"/>
      <c r="K403" s="2"/>
      <c r="L403" s="2"/>
      <c r="M403" s="286"/>
      <c r="N403" s="286"/>
      <c r="O403" s="286"/>
      <c r="P403" s="4"/>
      <c r="Q403" s="4"/>
      <c r="R403" s="286"/>
      <c r="S403" s="286"/>
      <c r="T403" s="286"/>
      <c r="U403" s="4"/>
      <c r="V403" s="4"/>
      <c r="W403" s="286"/>
      <c r="X403" s="286"/>
      <c r="Y403" s="286"/>
      <c r="Z403" s="4"/>
      <c r="AA403" s="286"/>
      <c r="AB403" s="286"/>
      <c r="AC403" s="286"/>
    </row>
    <row r="404" spans="1:29" s="6" customFormat="1" x14ac:dyDescent="0.2">
      <c r="A404" s="25"/>
      <c r="D404" s="3"/>
      <c r="E404" s="3"/>
      <c r="F404" s="3"/>
      <c r="G404" s="3"/>
      <c r="H404" s="3"/>
      <c r="I404" s="3"/>
      <c r="J404" s="3"/>
      <c r="K404" s="2"/>
      <c r="L404" s="2"/>
      <c r="M404" s="286"/>
      <c r="N404" s="286"/>
      <c r="O404" s="286"/>
      <c r="P404" s="4"/>
      <c r="Q404" s="4"/>
      <c r="R404" s="286"/>
      <c r="S404" s="286"/>
      <c r="T404" s="286"/>
      <c r="U404" s="4"/>
      <c r="V404" s="4"/>
      <c r="W404" s="286"/>
      <c r="X404" s="286"/>
      <c r="Y404" s="286"/>
      <c r="Z404" s="4"/>
      <c r="AA404" s="286"/>
      <c r="AB404" s="286"/>
      <c r="AC404" s="286"/>
    </row>
    <row r="405" spans="1:29" s="6" customFormat="1" x14ac:dyDescent="0.2">
      <c r="A405" s="25"/>
      <c r="D405" s="3"/>
      <c r="E405" s="3"/>
      <c r="F405" s="3"/>
      <c r="G405" s="3"/>
      <c r="H405" s="3"/>
      <c r="I405" s="3"/>
      <c r="J405" s="3"/>
      <c r="K405" s="2"/>
      <c r="L405" s="2"/>
      <c r="M405" s="286"/>
      <c r="N405" s="286"/>
      <c r="O405" s="286"/>
      <c r="P405" s="4"/>
      <c r="Q405" s="4"/>
      <c r="R405" s="286"/>
      <c r="S405" s="286"/>
      <c r="T405" s="286"/>
      <c r="U405" s="4"/>
      <c r="V405" s="4"/>
      <c r="W405" s="286"/>
      <c r="X405" s="286"/>
      <c r="Y405" s="286"/>
      <c r="Z405" s="4"/>
      <c r="AA405" s="286"/>
      <c r="AB405" s="286"/>
      <c r="AC405" s="286"/>
    </row>
    <row r="406" spans="1:29" s="6" customFormat="1" x14ac:dyDescent="0.2">
      <c r="A406" s="25"/>
      <c r="D406" s="3"/>
      <c r="E406" s="3"/>
      <c r="F406" s="3"/>
      <c r="G406" s="3"/>
      <c r="H406" s="3"/>
      <c r="I406" s="3"/>
      <c r="J406" s="3"/>
      <c r="K406" s="2"/>
      <c r="L406" s="2"/>
      <c r="M406" s="286"/>
      <c r="N406" s="286"/>
      <c r="O406" s="286"/>
      <c r="P406" s="4"/>
      <c r="Q406" s="4"/>
      <c r="R406" s="286"/>
      <c r="S406" s="286"/>
      <c r="T406" s="286"/>
      <c r="U406" s="4"/>
      <c r="V406" s="4"/>
      <c r="W406" s="286"/>
      <c r="X406" s="286"/>
      <c r="Y406" s="286"/>
      <c r="Z406" s="4"/>
      <c r="AA406" s="286"/>
      <c r="AB406" s="286"/>
      <c r="AC406" s="286"/>
    </row>
    <row r="407" spans="1:29" s="6" customFormat="1" x14ac:dyDescent="0.2">
      <c r="A407" s="25"/>
      <c r="D407" s="3"/>
      <c r="E407" s="3"/>
      <c r="F407" s="3"/>
      <c r="G407" s="3"/>
      <c r="H407" s="3"/>
      <c r="I407" s="3"/>
      <c r="J407" s="3"/>
      <c r="K407" s="2"/>
      <c r="L407" s="2"/>
      <c r="M407" s="286"/>
      <c r="N407" s="286"/>
      <c r="O407" s="286"/>
      <c r="P407" s="4"/>
      <c r="Q407" s="4"/>
      <c r="R407" s="286"/>
      <c r="S407" s="286"/>
      <c r="T407" s="286"/>
      <c r="U407" s="4"/>
      <c r="V407" s="4"/>
      <c r="W407" s="286"/>
      <c r="X407" s="286"/>
      <c r="Y407" s="286"/>
      <c r="Z407" s="4"/>
      <c r="AA407" s="286"/>
      <c r="AB407" s="286"/>
      <c r="AC407" s="286"/>
    </row>
    <row r="408" spans="1:29" s="6" customFormat="1" x14ac:dyDescent="0.2">
      <c r="A408" s="25"/>
      <c r="D408" s="3"/>
      <c r="E408" s="3"/>
      <c r="F408" s="3"/>
      <c r="G408" s="3"/>
      <c r="H408" s="3"/>
      <c r="I408" s="3"/>
      <c r="J408" s="3"/>
      <c r="K408" s="2"/>
      <c r="L408" s="2"/>
      <c r="M408" s="286"/>
      <c r="N408" s="286"/>
      <c r="O408" s="286"/>
      <c r="P408" s="4"/>
      <c r="Q408" s="4"/>
      <c r="R408" s="286"/>
      <c r="S408" s="286"/>
      <c r="T408" s="286"/>
      <c r="U408" s="4"/>
      <c r="V408" s="4"/>
      <c r="W408" s="286"/>
      <c r="X408" s="286"/>
      <c r="Y408" s="286"/>
      <c r="Z408" s="4"/>
      <c r="AA408" s="286"/>
      <c r="AB408" s="286"/>
      <c r="AC408" s="286"/>
    </row>
    <row r="409" spans="1:29" s="6" customFormat="1" x14ac:dyDescent="0.2">
      <c r="A409" s="25"/>
      <c r="D409" s="3"/>
      <c r="E409" s="3"/>
      <c r="F409" s="3"/>
      <c r="G409" s="3"/>
      <c r="H409" s="3"/>
      <c r="I409" s="3"/>
      <c r="J409" s="3"/>
      <c r="K409" s="2"/>
      <c r="L409" s="2"/>
      <c r="M409" s="286"/>
      <c r="N409" s="286"/>
      <c r="O409" s="286"/>
      <c r="P409" s="4"/>
      <c r="Q409" s="4"/>
      <c r="R409" s="286"/>
      <c r="S409" s="286"/>
      <c r="T409" s="286"/>
      <c r="U409" s="4"/>
      <c r="V409" s="4"/>
      <c r="W409" s="286"/>
      <c r="X409" s="286"/>
      <c r="Y409" s="286"/>
      <c r="Z409" s="4"/>
      <c r="AA409" s="286"/>
      <c r="AB409" s="286"/>
      <c r="AC409" s="286"/>
    </row>
    <row r="410" spans="1:29" s="6" customFormat="1" x14ac:dyDescent="0.2">
      <c r="A410" s="25"/>
      <c r="D410" s="3"/>
      <c r="E410" s="3"/>
      <c r="F410" s="3"/>
      <c r="G410" s="3"/>
      <c r="H410" s="3"/>
      <c r="I410" s="3"/>
      <c r="J410" s="3"/>
      <c r="K410" s="2"/>
      <c r="L410" s="2"/>
      <c r="M410" s="286"/>
      <c r="N410" s="286"/>
      <c r="O410" s="286"/>
      <c r="P410" s="4"/>
      <c r="Q410" s="4"/>
      <c r="R410" s="286"/>
      <c r="S410" s="286"/>
      <c r="T410" s="286"/>
      <c r="U410" s="4"/>
      <c r="V410" s="4"/>
      <c r="W410" s="286"/>
      <c r="X410" s="286"/>
      <c r="Y410" s="286"/>
      <c r="Z410" s="4"/>
      <c r="AA410" s="286"/>
      <c r="AB410" s="286"/>
      <c r="AC410" s="286"/>
    </row>
    <row r="411" spans="1:29" s="6" customFormat="1" x14ac:dyDescent="0.2">
      <c r="A411" s="25"/>
      <c r="D411" s="3"/>
      <c r="E411" s="3"/>
      <c r="F411" s="3"/>
      <c r="G411" s="3"/>
      <c r="H411" s="3"/>
      <c r="I411" s="3"/>
      <c r="J411" s="3"/>
      <c r="K411" s="2"/>
      <c r="L411" s="2"/>
      <c r="M411" s="286"/>
      <c r="N411" s="286"/>
      <c r="O411" s="286"/>
      <c r="P411" s="4"/>
      <c r="Q411" s="4"/>
      <c r="R411" s="286"/>
      <c r="S411" s="286"/>
      <c r="T411" s="286"/>
      <c r="U411" s="4"/>
      <c r="V411" s="4"/>
      <c r="W411" s="286"/>
      <c r="X411" s="286"/>
      <c r="Y411" s="286"/>
      <c r="Z411" s="4"/>
      <c r="AA411" s="286"/>
      <c r="AB411" s="286"/>
      <c r="AC411" s="286"/>
    </row>
    <row r="412" spans="1:29" s="6" customFormat="1" x14ac:dyDescent="0.2">
      <c r="A412" s="25"/>
      <c r="D412" s="3"/>
      <c r="E412" s="3"/>
      <c r="F412" s="3"/>
      <c r="G412" s="3"/>
      <c r="H412" s="3"/>
      <c r="I412" s="3"/>
      <c r="J412" s="3"/>
      <c r="K412" s="2"/>
      <c r="L412" s="2"/>
      <c r="M412" s="286"/>
      <c r="N412" s="286"/>
      <c r="O412" s="286"/>
      <c r="P412" s="4"/>
      <c r="Q412" s="4"/>
      <c r="R412" s="286"/>
      <c r="S412" s="286"/>
      <c r="T412" s="286"/>
      <c r="U412" s="4"/>
      <c r="V412" s="4"/>
      <c r="W412" s="286"/>
      <c r="X412" s="286"/>
      <c r="Y412" s="286"/>
      <c r="Z412" s="4"/>
      <c r="AA412" s="286"/>
      <c r="AB412" s="286"/>
      <c r="AC412" s="286"/>
    </row>
    <row r="413" spans="1:29" s="6" customFormat="1" x14ac:dyDescent="0.2">
      <c r="A413" s="25"/>
      <c r="D413" s="3"/>
      <c r="E413" s="3"/>
      <c r="F413" s="3"/>
      <c r="G413" s="3"/>
      <c r="H413" s="3"/>
      <c r="I413" s="3"/>
      <c r="J413" s="3"/>
      <c r="K413" s="2"/>
      <c r="L413" s="2"/>
      <c r="M413" s="286"/>
      <c r="N413" s="286"/>
      <c r="O413" s="286"/>
      <c r="P413" s="4"/>
      <c r="Q413" s="4"/>
      <c r="R413" s="286"/>
      <c r="S413" s="286"/>
      <c r="T413" s="286"/>
      <c r="U413" s="4"/>
      <c r="V413" s="4"/>
      <c r="W413" s="286"/>
      <c r="X413" s="286"/>
      <c r="Y413" s="286"/>
      <c r="Z413" s="4"/>
      <c r="AA413" s="286"/>
      <c r="AB413" s="286"/>
      <c r="AC413" s="286"/>
    </row>
    <row r="414" spans="1:29" s="6" customFormat="1" x14ac:dyDescent="0.2">
      <c r="A414" s="25"/>
      <c r="D414" s="3"/>
      <c r="E414" s="3"/>
      <c r="F414" s="3"/>
      <c r="G414" s="3"/>
      <c r="H414" s="3"/>
      <c r="I414" s="3"/>
      <c r="J414" s="3"/>
      <c r="K414" s="2"/>
      <c r="L414" s="2"/>
      <c r="M414" s="286"/>
      <c r="N414" s="286"/>
      <c r="O414" s="286"/>
      <c r="P414" s="4"/>
      <c r="Q414" s="4"/>
      <c r="R414" s="286"/>
      <c r="S414" s="286"/>
      <c r="T414" s="286"/>
      <c r="U414" s="4"/>
      <c r="V414" s="4"/>
      <c r="W414" s="286"/>
      <c r="X414" s="286"/>
      <c r="Y414" s="286"/>
      <c r="Z414" s="4"/>
      <c r="AA414" s="286"/>
      <c r="AB414" s="286"/>
      <c r="AC414" s="286"/>
    </row>
    <row r="415" spans="1:29" s="6" customFormat="1" x14ac:dyDescent="0.2">
      <c r="A415" s="25"/>
      <c r="D415" s="3"/>
      <c r="E415" s="3"/>
      <c r="F415" s="3"/>
      <c r="G415" s="3"/>
      <c r="H415" s="3"/>
      <c r="I415" s="3"/>
      <c r="J415" s="3"/>
      <c r="K415" s="2"/>
      <c r="L415" s="2"/>
      <c r="M415" s="286"/>
      <c r="N415" s="286"/>
      <c r="O415" s="286"/>
      <c r="P415" s="4"/>
      <c r="Q415" s="4"/>
      <c r="R415" s="286"/>
      <c r="S415" s="286"/>
      <c r="T415" s="286"/>
      <c r="U415" s="4"/>
      <c r="V415" s="4"/>
      <c r="W415" s="286"/>
      <c r="X415" s="286"/>
      <c r="Y415" s="286"/>
      <c r="Z415" s="4"/>
      <c r="AA415" s="286"/>
      <c r="AB415" s="286"/>
      <c r="AC415" s="286"/>
    </row>
    <row r="416" spans="1:29" s="6" customFormat="1" x14ac:dyDescent="0.2">
      <c r="A416" s="25"/>
      <c r="D416" s="3"/>
      <c r="E416" s="3"/>
      <c r="F416" s="3"/>
      <c r="G416" s="3"/>
      <c r="H416" s="3"/>
      <c r="I416" s="3"/>
      <c r="J416" s="3"/>
      <c r="K416" s="2"/>
      <c r="L416" s="2"/>
      <c r="M416" s="286"/>
      <c r="N416" s="286"/>
      <c r="O416" s="286"/>
      <c r="P416" s="4"/>
      <c r="Q416" s="4"/>
      <c r="R416" s="286"/>
      <c r="S416" s="286"/>
      <c r="T416" s="286"/>
      <c r="U416" s="4"/>
      <c r="V416" s="4"/>
      <c r="W416" s="286"/>
      <c r="X416" s="286"/>
      <c r="Y416" s="286"/>
      <c r="Z416" s="4"/>
      <c r="AA416" s="286"/>
      <c r="AB416" s="286"/>
      <c r="AC416" s="286"/>
    </row>
    <row r="417" spans="1:29" s="6" customFormat="1" x14ac:dyDescent="0.2">
      <c r="A417" s="25"/>
      <c r="D417" s="3"/>
      <c r="E417" s="3"/>
      <c r="F417" s="3"/>
      <c r="G417" s="3"/>
      <c r="H417" s="3"/>
      <c r="I417" s="3"/>
      <c r="J417" s="3"/>
      <c r="K417" s="2"/>
      <c r="L417" s="2"/>
      <c r="M417" s="286"/>
      <c r="N417" s="286"/>
      <c r="O417" s="286"/>
      <c r="P417" s="4"/>
      <c r="Q417" s="4"/>
      <c r="R417" s="286"/>
      <c r="S417" s="286"/>
      <c r="T417" s="286"/>
      <c r="U417" s="4"/>
      <c r="V417" s="4"/>
      <c r="W417" s="286"/>
      <c r="X417" s="286"/>
      <c r="Y417" s="286"/>
      <c r="Z417" s="4"/>
      <c r="AA417" s="286"/>
      <c r="AB417" s="286"/>
      <c r="AC417" s="286"/>
    </row>
    <row r="418" spans="1:29" s="6" customFormat="1" x14ac:dyDescent="0.2">
      <c r="A418" s="25"/>
      <c r="D418" s="3"/>
      <c r="E418" s="3"/>
      <c r="F418" s="3"/>
      <c r="G418" s="3"/>
      <c r="H418" s="3"/>
      <c r="I418" s="3"/>
      <c r="J418" s="3"/>
      <c r="K418" s="2"/>
      <c r="L418" s="2"/>
      <c r="M418" s="286"/>
      <c r="N418" s="286"/>
      <c r="O418" s="286"/>
      <c r="P418" s="4"/>
      <c r="Q418" s="4"/>
      <c r="R418" s="286"/>
      <c r="S418" s="286"/>
      <c r="T418" s="286"/>
      <c r="U418" s="4"/>
      <c r="V418" s="4"/>
      <c r="W418" s="286"/>
      <c r="X418" s="286"/>
      <c r="Y418" s="286"/>
      <c r="Z418" s="4"/>
      <c r="AA418" s="286"/>
      <c r="AB418" s="286"/>
      <c r="AC418" s="286"/>
    </row>
    <row r="419" spans="1:29" s="6" customFormat="1" x14ac:dyDescent="0.2">
      <c r="A419" s="25"/>
      <c r="D419" s="3"/>
      <c r="E419" s="3"/>
      <c r="F419" s="3"/>
      <c r="G419" s="3"/>
      <c r="H419" s="3"/>
      <c r="I419" s="3"/>
      <c r="J419" s="3"/>
      <c r="K419" s="2"/>
      <c r="L419" s="2"/>
      <c r="M419" s="286"/>
      <c r="N419" s="286"/>
      <c r="O419" s="286"/>
      <c r="P419" s="4"/>
      <c r="Q419" s="4"/>
      <c r="R419" s="286"/>
      <c r="S419" s="286"/>
      <c r="T419" s="286"/>
      <c r="U419" s="4"/>
      <c r="V419" s="4"/>
      <c r="W419" s="286"/>
      <c r="X419" s="286"/>
      <c r="Y419" s="286"/>
      <c r="Z419" s="4"/>
      <c r="AA419" s="286"/>
      <c r="AB419" s="286"/>
      <c r="AC419" s="286"/>
    </row>
    <row r="420" spans="1:29" s="6" customFormat="1" x14ac:dyDescent="0.2">
      <c r="A420" s="25"/>
      <c r="D420" s="3"/>
      <c r="E420" s="3"/>
      <c r="F420" s="3"/>
      <c r="G420" s="3"/>
      <c r="H420" s="3"/>
      <c r="I420" s="3"/>
      <c r="J420" s="3"/>
      <c r="K420" s="2"/>
      <c r="L420" s="2"/>
      <c r="M420" s="286"/>
      <c r="N420" s="286"/>
      <c r="O420" s="286"/>
      <c r="P420" s="4"/>
      <c r="Q420" s="4"/>
      <c r="R420" s="286"/>
      <c r="S420" s="286"/>
      <c r="T420" s="286"/>
      <c r="U420" s="4"/>
      <c r="V420" s="4"/>
      <c r="W420" s="286"/>
      <c r="X420" s="286"/>
      <c r="Y420" s="286"/>
      <c r="Z420" s="4"/>
      <c r="AA420" s="286"/>
      <c r="AB420" s="286"/>
      <c r="AC420" s="286"/>
    </row>
    <row r="421" spans="1:29" s="6" customFormat="1" x14ac:dyDescent="0.2">
      <c r="A421" s="25"/>
      <c r="D421" s="3"/>
      <c r="E421" s="3"/>
      <c r="F421" s="3"/>
      <c r="G421" s="3"/>
      <c r="H421" s="3"/>
      <c r="I421" s="3"/>
      <c r="J421" s="3"/>
      <c r="K421" s="2"/>
      <c r="L421" s="2"/>
      <c r="M421" s="286"/>
      <c r="N421" s="286"/>
      <c r="O421" s="286"/>
      <c r="P421" s="4"/>
      <c r="Q421" s="4"/>
      <c r="R421" s="286"/>
      <c r="S421" s="286"/>
      <c r="T421" s="286"/>
      <c r="U421" s="4"/>
      <c r="V421" s="4"/>
      <c r="W421" s="286"/>
      <c r="X421" s="286"/>
      <c r="Y421" s="286"/>
      <c r="Z421" s="4"/>
      <c r="AA421" s="286"/>
      <c r="AB421" s="286"/>
      <c r="AC421" s="286"/>
    </row>
    <row r="422" spans="1:29" s="6" customFormat="1" x14ac:dyDescent="0.2">
      <c r="A422" s="25"/>
      <c r="D422" s="3"/>
      <c r="E422" s="3"/>
      <c r="F422" s="3"/>
      <c r="G422" s="3"/>
      <c r="H422" s="3"/>
      <c r="I422" s="3"/>
      <c r="J422" s="3"/>
      <c r="K422" s="2"/>
      <c r="L422" s="2"/>
      <c r="M422" s="286"/>
      <c r="N422" s="286"/>
      <c r="O422" s="286"/>
      <c r="P422" s="4"/>
      <c r="Q422" s="4"/>
      <c r="R422" s="286"/>
      <c r="S422" s="286"/>
      <c r="T422" s="286"/>
      <c r="U422" s="4"/>
      <c r="V422" s="4"/>
      <c r="W422" s="286"/>
      <c r="X422" s="286"/>
      <c r="Y422" s="286"/>
      <c r="Z422" s="4"/>
      <c r="AA422" s="286"/>
      <c r="AB422" s="286"/>
      <c r="AC422" s="286"/>
    </row>
    <row r="423" spans="1:29" s="6" customFormat="1" x14ac:dyDescent="0.2">
      <c r="A423" s="25"/>
      <c r="D423" s="3"/>
      <c r="E423" s="3"/>
      <c r="F423" s="3"/>
      <c r="G423" s="3"/>
      <c r="H423" s="3"/>
      <c r="I423" s="3"/>
      <c r="J423" s="3"/>
      <c r="K423" s="2"/>
      <c r="L423" s="2"/>
      <c r="M423" s="286"/>
      <c r="N423" s="286"/>
      <c r="O423" s="286"/>
      <c r="P423" s="4"/>
      <c r="Q423" s="4"/>
      <c r="R423" s="286"/>
      <c r="S423" s="286"/>
      <c r="T423" s="286"/>
      <c r="U423" s="4"/>
      <c r="V423" s="4"/>
      <c r="W423" s="286"/>
      <c r="X423" s="286"/>
      <c r="Y423" s="286"/>
      <c r="Z423" s="4"/>
      <c r="AA423" s="286"/>
      <c r="AB423" s="286"/>
      <c r="AC423" s="286"/>
    </row>
    <row r="424" spans="1:29" s="6" customFormat="1" x14ac:dyDescent="0.2">
      <c r="A424" s="25"/>
      <c r="D424" s="3"/>
      <c r="E424" s="3"/>
      <c r="F424" s="3"/>
      <c r="G424" s="3"/>
      <c r="H424" s="3"/>
      <c r="I424" s="3"/>
      <c r="J424" s="3"/>
      <c r="K424" s="2"/>
      <c r="L424" s="2"/>
      <c r="M424" s="286"/>
      <c r="N424" s="286"/>
      <c r="O424" s="286"/>
      <c r="P424" s="4"/>
      <c r="Q424" s="4"/>
      <c r="R424" s="286"/>
      <c r="S424" s="286"/>
      <c r="T424" s="286"/>
      <c r="U424" s="4"/>
      <c r="V424" s="4"/>
      <c r="W424" s="286"/>
      <c r="X424" s="286"/>
      <c r="Y424" s="286"/>
      <c r="Z424" s="4"/>
      <c r="AA424" s="286"/>
      <c r="AB424" s="286"/>
      <c r="AC424" s="286"/>
    </row>
    <row r="425" spans="1:29" s="6" customFormat="1" x14ac:dyDescent="0.2">
      <c r="A425" s="25"/>
      <c r="D425" s="3"/>
      <c r="E425" s="3"/>
      <c r="F425" s="3"/>
      <c r="G425" s="3"/>
      <c r="H425" s="3"/>
      <c r="I425" s="3"/>
      <c r="J425" s="3"/>
      <c r="K425" s="2"/>
      <c r="L425" s="2"/>
      <c r="M425" s="286"/>
      <c r="N425" s="286"/>
      <c r="O425" s="286"/>
      <c r="P425" s="4"/>
      <c r="Q425" s="4"/>
      <c r="R425" s="286"/>
      <c r="S425" s="286"/>
      <c r="T425" s="286"/>
      <c r="U425" s="4"/>
      <c r="V425" s="4"/>
      <c r="W425" s="286"/>
      <c r="X425" s="286"/>
      <c r="Y425" s="286"/>
      <c r="Z425" s="4"/>
      <c r="AA425" s="286"/>
      <c r="AB425" s="286"/>
      <c r="AC425" s="286"/>
    </row>
    <row r="426" spans="1:29" s="6" customFormat="1" x14ac:dyDescent="0.2">
      <c r="A426" s="25"/>
      <c r="D426" s="3"/>
      <c r="E426" s="3"/>
      <c r="F426" s="3"/>
      <c r="G426" s="3"/>
      <c r="H426" s="3"/>
      <c r="I426" s="3"/>
      <c r="J426" s="3"/>
      <c r="K426" s="2"/>
      <c r="L426" s="2"/>
      <c r="M426" s="286"/>
      <c r="N426" s="286"/>
      <c r="O426" s="286"/>
      <c r="P426" s="4"/>
      <c r="Q426" s="4"/>
      <c r="R426" s="286"/>
      <c r="S426" s="286"/>
      <c r="T426" s="286"/>
      <c r="U426" s="4"/>
      <c r="V426" s="4"/>
      <c r="W426" s="286"/>
      <c r="X426" s="286"/>
      <c r="Y426" s="286"/>
      <c r="Z426" s="4"/>
      <c r="AA426" s="286"/>
      <c r="AB426" s="286"/>
      <c r="AC426" s="286"/>
    </row>
    <row r="427" spans="1:29" s="26" customFormat="1" x14ac:dyDescent="0.2">
      <c r="A427" s="25"/>
      <c r="B427" s="6"/>
      <c r="C427" s="6"/>
      <c r="D427" s="3"/>
      <c r="E427" s="3"/>
      <c r="F427" s="3"/>
      <c r="G427" s="3"/>
      <c r="H427" s="3"/>
      <c r="I427" s="3"/>
      <c r="J427" s="3"/>
      <c r="K427" s="2"/>
      <c r="L427" s="2"/>
      <c r="M427" s="286"/>
      <c r="N427" s="286"/>
      <c r="O427" s="286"/>
      <c r="P427" s="4"/>
      <c r="Q427" s="4"/>
      <c r="R427" s="286"/>
      <c r="S427" s="286"/>
      <c r="T427" s="286"/>
      <c r="U427" s="4"/>
      <c r="V427" s="4"/>
      <c r="W427" s="286"/>
      <c r="X427" s="286"/>
      <c r="Y427" s="286"/>
      <c r="Z427" s="4"/>
      <c r="AA427" s="286"/>
      <c r="AB427" s="286"/>
      <c r="AC427" s="286"/>
    </row>
    <row r="428" spans="1:29" s="26" customFormat="1" x14ac:dyDescent="0.2">
      <c r="A428" s="25"/>
      <c r="B428" s="6"/>
      <c r="C428" s="6"/>
      <c r="D428" s="3"/>
      <c r="E428" s="3"/>
      <c r="F428" s="3"/>
      <c r="G428" s="3"/>
      <c r="H428" s="3"/>
      <c r="I428" s="3"/>
      <c r="J428" s="3"/>
      <c r="K428" s="2"/>
      <c r="L428" s="2"/>
      <c r="M428" s="286"/>
      <c r="N428" s="286"/>
      <c r="O428" s="286"/>
      <c r="P428" s="4"/>
      <c r="Q428" s="4"/>
      <c r="R428" s="286"/>
      <c r="S428" s="286"/>
      <c r="T428" s="286"/>
      <c r="U428" s="4"/>
      <c r="V428" s="4"/>
      <c r="W428" s="286"/>
      <c r="X428" s="286"/>
      <c r="Y428" s="286"/>
      <c r="Z428" s="4"/>
      <c r="AA428" s="286"/>
      <c r="AB428" s="286"/>
      <c r="AC428" s="286"/>
    </row>
    <row r="429" spans="1:29" s="26" customFormat="1" x14ac:dyDescent="0.2">
      <c r="A429" s="25"/>
      <c r="B429" s="6"/>
      <c r="C429" s="6"/>
      <c r="D429" s="3"/>
      <c r="E429" s="3"/>
      <c r="F429" s="3"/>
      <c r="G429" s="3"/>
      <c r="H429" s="3"/>
      <c r="I429" s="3"/>
      <c r="J429" s="3"/>
      <c r="K429" s="2"/>
      <c r="L429" s="2"/>
      <c r="M429" s="286"/>
      <c r="N429" s="286"/>
      <c r="O429" s="286"/>
      <c r="P429" s="4"/>
      <c r="Q429" s="4"/>
      <c r="R429" s="286"/>
      <c r="S429" s="286"/>
      <c r="T429" s="286"/>
      <c r="U429" s="4"/>
      <c r="V429" s="4"/>
      <c r="W429" s="286"/>
      <c r="X429" s="286"/>
      <c r="Y429" s="286"/>
      <c r="Z429" s="4"/>
      <c r="AA429" s="286"/>
      <c r="AB429" s="286"/>
      <c r="AC429" s="286"/>
    </row>
    <row r="430" spans="1:29" s="26" customFormat="1" x14ac:dyDescent="0.2">
      <c r="A430" s="25"/>
      <c r="B430" s="6"/>
      <c r="C430" s="6"/>
      <c r="D430" s="3"/>
      <c r="E430" s="3"/>
      <c r="F430" s="3"/>
      <c r="G430" s="3"/>
      <c r="H430" s="3"/>
      <c r="I430" s="3"/>
      <c r="J430" s="3"/>
      <c r="K430" s="2"/>
      <c r="L430" s="2"/>
      <c r="M430" s="286"/>
      <c r="N430" s="286"/>
      <c r="O430" s="286"/>
      <c r="P430" s="4"/>
      <c r="Q430" s="4"/>
      <c r="R430" s="286"/>
      <c r="S430" s="286"/>
      <c r="T430" s="286"/>
      <c r="U430" s="4"/>
      <c r="V430" s="4"/>
      <c r="W430" s="286"/>
      <c r="X430" s="286"/>
      <c r="Y430" s="286"/>
      <c r="Z430" s="4"/>
      <c r="AA430" s="286"/>
      <c r="AB430" s="286"/>
      <c r="AC430" s="286"/>
    </row>
    <row r="431" spans="1:29" s="26" customFormat="1" x14ac:dyDescent="0.2">
      <c r="A431" s="25"/>
      <c r="B431" s="6"/>
      <c r="C431" s="6"/>
      <c r="D431" s="3"/>
      <c r="E431" s="3"/>
      <c r="F431" s="3"/>
      <c r="G431" s="3"/>
      <c r="H431" s="3"/>
      <c r="I431" s="3"/>
      <c r="J431" s="3"/>
      <c r="K431" s="2"/>
      <c r="L431" s="2"/>
      <c r="M431" s="286"/>
      <c r="N431" s="286"/>
      <c r="O431" s="286"/>
      <c r="P431" s="4"/>
      <c r="Q431" s="4"/>
      <c r="R431" s="286"/>
      <c r="S431" s="286"/>
      <c r="T431" s="286"/>
      <c r="U431" s="4"/>
      <c r="V431" s="4"/>
      <c r="W431" s="286"/>
      <c r="X431" s="286"/>
      <c r="Y431" s="286"/>
      <c r="Z431" s="4"/>
      <c r="AA431" s="286"/>
      <c r="AB431" s="286"/>
      <c r="AC431" s="286"/>
    </row>
    <row r="432" spans="1:29" s="26" customFormat="1" x14ac:dyDescent="0.2">
      <c r="A432" s="25"/>
      <c r="B432" s="6"/>
      <c r="C432" s="6"/>
      <c r="D432" s="3"/>
      <c r="E432" s="3"/>
      <c r="F432" s="3"/>
      <c r="G432" s="3"/>
      <c r="H432" s="3"/>
      <c r="I432" s="3"/>
      <c r="J432" s="3"/>
      <c r="K432" s="2"/>
      <c r="L432" s="2"/>
      <c r="M432" s="286"/>
      <c r="N432" s="286"/>
      <c r="O432" s="286"/>
      <c r="P432" s="4"/>
      <c r="Q432" s="4"/>
      <c r="R432" s="286"/>
      <c r="S432" s="286"/>
      <c r="T432" s="286"/>
      <c r="U432" s="4"/>
      <c r="V432" s="4"/>
      <c r="W432" s="286"/>
      <c r="X432" s="286"/>
      <c r="Y432" s="286"/>
      <c r="Z432" s="4"/>
      <c r="AA432" s="286"/>
      <c r="AB432" s="286"/>
      <c r="AC432" s="286"/>
    </row>
    <row r="433" spans="1:29" s="26" customFormat="1" x14ac:dyDescent="0.2">
      <c r="A433" s="25"/>
      <c r="B433" s="6"/>
      <c r="C433" s="6"/>
      <c r="D433" s="3"/>
      <c r="E433" s="3"/>
      <c r="F433" s="3"/>
      <c r="G433" s="3"/>
      <c r="H433" s="3"/>
      <c r="I433" s="3"/>
      <c r="J433" s="3"/>
      <c r="K433" s="2"/>
      <c r="L433" s="2"/>
      <c r="M433" s="286"/>
      <c r="N433" s="286"/>
      <c r="O433" s="286"/>
      <c r="P433" s="4"/>
      <c r="Q433" s="4"/>
      <c r="R433" s="286"/>
      <c r="S433" s="286"/>
      <c r="T433" s="286"/>
      <c r="U433" s="4"/>
      <c r="V433" s="4"/>
      <c r="W433" s="286"/>
      <c r="X433" s="286"/>
      <c r="Y433" s="286"/>
      <c r="Z433" s="4"/>
      <c r="AA433" s="286"/>
      <c r="AB433" s="286"/>
      <c r="AC433" s="286"/>
    </row>
    <row r="434" spans="1:29" s="26" customFormat="1" x14ac:dyDescent="0.2">
      <c r="A434" s="25"/>
      <c r="B434" s="6"/>
      <c r="C434" s="6"/>
      <c r="D434" s="3"/>
      <c r="E434" s="3"/>
      <c r="F434" s="3"/>
      <c r="G434" s="3"/>
      <c r="H434" s="3"/>
      <c r="I434" s="3"/>
      <c r="J434" s="3"/>
      <c r="K434" s="2"/>
      <c r="L434" s="2"/>
      <c r="M434" s="286"/>
      <c r="N434" s="286"/>
      <c r="O434" s="286"/>
      <c r="P434" s="4"/>
      <c r="Q434" s="4"/>
      <c r="R434" s="286"/>
      <c r="S434" s="286"/>
      <c r="T434" s="286"/>
      <c r="U434" s="4"/>
      <c r="V434" s="4"/>
      <c r="W434" s="286"/>
      <c r="X434" s="286"/>
      <c r="Y434" s="286"/>
      <c r="Z434" s="4"/>
      <c r="AA434" s="286"/>
      <c r="AB434" s="286"/>
      <c r="AC434" s="286"/>
    </row>
    <row r="435" spans="1:29" s="26" customFormat="1" x14ac:dyDescent="0.2">
      <c r="A435" s="25"/>
      <c r="B435" s="6"/>
      <c r="C435" s="6"/>
      <c r="D435" s="3"/>
      <c r="E435" s="3"/>
      <c r="F435" s="3"/>
      <c r="G435" s="3"/>
      <c r="H435" s="3"/>
      <c r="I435" s="3"/>
      <c r="J435" s="3"/>
      <c r="K435" s="2"/>
      <c r="L435" s="2"/>
      <c r="M435" s="286"/>
      <c r="N435" s="286"/>
      <c r="O435" s="286"/>
      <c r="P435" s="4"/>
      <c r="Q435" s="4"/>
      <c r="R435" s="286"/>
      <c r="S435" s="286"/>
      <c r="T435" s="286"/>
      <c r="U435" s="4"/>
      <c r="V435" s="4"/>
      <c r="W435" s="286"/>
      <c r="X435" s="286"/>
      <c r="Y435" s="286"/>
      <c r="Z435" s="4"/>
      <c r="AA435" s="286"/>
      <c r="AB435" s="286"/>
      <c r="AC435" s="286"/>
    </row>
    <row r="436" spans="1:29" s="26" customFormat="1" x14ac:dyDescent="0.2">
      <c r="A436" s="25"/>
      <c r="B436" s="6"/>
      <c r="C436" s="6"/>
      <c r="D436" s="3"/>
      <c r="E436" s="3"/>
      <c r="F436" s="3"/>
      <c r="G436" s="3"/>
      <c r="H436" s="3"/>
      <c r="I436" s="3"/>
      <c r="J436" s="3"/>
      <c r="K436" s="2"/>
      <c r="L436" s="2"/>
      <c r="M436" s="286"/>
      <c r="N436" s="286"/>
      <c r="O436" s="286"/>
      <c r="P436" s="4"/>
      <c r="Q436" s="4"/>
      <c r="R436" s="286"/>
      <c r="S436" s="286"/>
      <c r="T436" s="286"/>
      <c r="U436" s="4"/>
      <c r="V436" s="4"/>
      <c r="W436" s="286"/>
      <c r="X436" s="286"/>
      <c r="Y436" s="286"/>
      <c r="Z436" s="4"/>
      <c r="AA436" s="286"/>
      <c r="AB436" s="286"/>
      <c r="AC436" s="286"/>
    </row>
    <row r="437" spans="1:29" s="26" customFormat="1" x14ac:dyDescent="0.2">
      <c r="A437" s="25"/>
      <c r="B437" s="6"/>
      <c r="C437" s="6"/>
      <c r="D437" s="3"/>
      <c r="E437" s="3"/>
      <c r="F437" s="3"/>
      <c r="G437" s="3"/>
      <c r="H437" s="3"/>
      <c r="I437" s="3"/>
      <c r="J437" s="3"/>
      <c r="K437" s="2"/>
      <c r="L437" s="2"/>
      <c r="M437" s="286"/>
      <c r="N437" s="286"/>
      <c r="O437" s="286"/>
      <c r="P437" s="4"/>
      <c r="Q437" s="4"/>
      <c r="R437" s="286"/>
      <c r="S437" s="286"/>
      <c r="T437" s="286"/>
      <c r="U437" s="4"/>
      <c r="V437" s="4"/>
      <c r="W437" s="286"/>
      <c r="X437" s="286"/>
      <c r="Y437" s="286"/>
      <c r="Z437" s="4"/>
      <c r="AA437" s="286"/>
      <c r="AB437" s="286"/>
      <c r="AC437" s="286"/>
    </row>
    <row r="438" spans="1:29" s="26" customFormat="1" x14ac:dyDescent="0.2">
      <c r="A438" s="25"/>
      <c r="B438" s="6"/>
      <c r="C438" s="6"/>
      <c r="D438" s="3"/>
      <c r="E438" s="3"/>
      <c r="F438" s="3"/>
      <c r="G438" s="3"/>
      <c r="H438" s="3"/>
      <c r="I438" s="3"/>
      <c r="J438" s="3"/>
      <c r="K438" s="2"/>
      <c r="L438" s="2"/>
      <c r="M438" s="286"/>
      <c r="N438" s="286"/>
      <c r="O438" s="286"/>
      <c r="P438" s="4"/>
      <c r="Q438" s="4"/>
      <c r="R438" s="286"/>
      <c r="S438" s="286"/>
      <c r="T438" s="286"/>
      <c r="U438" s="4"/>
      <c r="V438" s="4"/>
      <c r="W438" s="286"/>
      <c r="X438" s="286"/>
      <c r="Y438" s="286"/>
      <c r="Z438" s="4"/>
      <c r="AA438" s="286"/>
      <c r="AB438" s="286"/>
      <c r="AC438" s="286"/>
    </row>
    <row r="439" spans="1:29" s="26" customFormat="1" x14ac:dyDescent="0.2">
      <c r="A439" s="25"/>
      <c r="B439" s="6"/>
      <c r="C439" s="6"/>
      <c r="D439" s="3"/>
      <c r="E439" s="3"/>
      <c r="F439" s="3"/>
      <c r="G439" s="3"/>
      <c r="H439" s="3"/>
      <c r="I439" s="3"/>
      <c r="J439" s="3"/>
      <c r="K439" s="2"/>
      <c r="L439" s="2"/>
      <c r="M439" s="286"/>
      <c r="N439" s="286"/>
      <c r="O439" s="286"/>
      <c r="P439" s="4"/>
      <c r="Q439" s="4"/>
      <c r="R439" s="286"/>
      <c r="S439" s="286"/>
      <c r="T439" s="286"/>
      <c r="U439" s="4"/>
      <c r="V439" s="4"/>
      <c r="W439" s="286"/>
      <c r="X439" s="286"/>
      <c r="Y439" s="286"/>
      <c r="Z439" s="4"/>
      <c r="AA439" s="286"/>
      <c r="AB439" s="286"/>
      <c r="AC439" s="286"/>
    </row>
    <row r="440" spans="1:29" s="26" customFormat="1" x14ac:dyDescent="0.2">
      <c r="A440" s="25"/>
      <c r="B440" s="6"/>
      <c r="C440" s="6"/>
      <c r="D440" s="3"/>
      <c r="E440" s="3"/>
      <c r="F440" s="3"/>
      <c r="G440" s="3"/>
      <c r="H440" s="3"/>
      <c r="I440" s="3"/>
      <c r="J440" s="3"/>
      <c r="K440" s="2"/>
      <c r="L440" s="2"/>
      <c r="M440" s="286"/>
      <c r="N440" s="286"/>
      <c r="O440" s="286"/>
      <c r="P440" s="4"/>
      <c r="Q440" s="4"/>
      <c r="R440" s="286"/>
      <c r="S440" s="286"/>
      <c r="T440" s="286"/>
      <c r="U440" s="4"/>
      <c r="V440" s="4"/>
      <c r="W440" s="286"/>
      <c r="X440" s="286"/>
      <c r="Y440" s="286"/>
      <c r="Z440" s="4"/>
      <c r="AA440" s="286"/>
      <c r="AB440" s="286"/>
      <c r="AC440" s="286"/>
    </row>
  </sheetData>
  <mergeCells count="23">
    <mergeCell ref="A139:AC139"/>
    <mergeCell ref="A85:AC85"/>
    <mergeCell ref="E9:AC9"/>
    <mergeCell ref="A43:AC43"/>
    <mergeCell ref="A13:AC13"/>
    <mergeCell ref="A57:AC57"/>
    <mergeCell ref="A67:AC67"/>
    <mergeCell ref="D9:D11"/>
    <mergeCell ref="A9:A11"/>
    <mergeCell ref="A135:AC135"/>
    <mergeCell ref="Y7:AC7"/>
    <mergeCell ref="X1:AC1"/>
    <mergeCell ref="X4:AC4"/>
    <mergeCell ref="T10:X10"/>
    <mergeCell ref="B9:B11"/>
    <mergeCell ref="O10:S10"/>
    <mergeCell ref="E10:I10"/>
    <mergeCell ref="Y10:AC10"/>
    <mergeCell ref="C9:C11"/>
    <mergeCell ref="A5:AC5"/>
    <mergeCell ref="A8:AC8"/>
    <mergeCell ref="J10:N10"/>
    <mergeCell ref="Y6:AC6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9" fitToHeight="0" orientation="landscape" r:id="rId1"/>
  <headerFooter alignWithMargins="0"/>
  <rowBreaks count="4" manualBreakCount="4">
    <brk id="33" max="28" man="1"/>
    <brk id="46" max="28" man="1"/>
    <brk id="55" max="28" man="1"/>
    <brk id="82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83"/>
  <sheetViews>
    <sheetView view="pageBreakPreview" topLeftCell="A5" zoomScale="50" zoomScaleSheetLayoutView="50" workbookViewId="0">
      <pane ySplit="6" topLeftCell="A19" activePane="bottomLeft" state="frozen"/>
      <selection activeCell="A5" sqref="A5"/>
      <selection pane="bottomLeft" activeCell="A22" sqref="A22"/>
    </sheetView>
  </sheetViews>
  <sheetFormatPr defaultColWidth="9.140625" defaultRowHeight="42" customHeight="1" outlineLevelRow="1" x14ac:dyDescent="0.2"/>
  <cols>
    <col min="1" max="1" width="6.42578125" style="6" customWidth="1"/>
    <col min="2" max="2" width="21.5703125" style="110" customWidth="1"/>
    <col min="3" max="3" width="21" style="111" customWidth="1"/>
    <col min="4" max="4" width="10.28515625" style="6" customWidth="1"/>
    <col min="5" max="5" width="15.7109375" style="2" customWidth="1"/>
    <col min="6" max="6" width="14.5703125" style="6" customWidth="1"/>
    <col min="7" max="7" width="16.140625" style="6" customWidth="1"/>
    <col min="8" max="8" width="9.28515625" style="6" customWidth="1"/>
    <col min="9" max="9" width="9.85546875" style="6" customWidth="1"/>
    <col min="10" max="10" width="16.28515625" style="2" customWidth="1"/>
    <col min="11" max="11" width="14.5703125" style="6" customWidth="1"/>
    <col min="12" max="12" width="16.5703125" style="6" customWidth="1"/>
    <col min="13" max="13" width="10.7109375" style="6" customWidth="1"/>
    <col min="14" max="14" width="9.85546875" style="6" customWidth="1"/>
    <col min="15" max="15" width="16.28515625" style="2" customWidth="1"/>
    <col min="16" max="16" width="13.85546875" style="6" customWidth="1"/>
    <col min="17" max="17" width="15.42578125" style="6" customWidth="1"/>
    <col min="18" max="18" width="10.28515625" style="6" customWidth="1"/>
    <col min="19" max="19" width="9.42578125" style="6" customWidth="1"/>
    <col min="20" max="20" width="15.7109375" style="2" customWidth="1"/>
    <col min="21" max="21" width="17.42578125" style="6" customWidth="1"/>
    <col min="22" max="22" width="16.85546875" style="6" customWidth="1"/>
    <col min="23" max="23" width="9.7109375" style="6" customWidth="1"/>
    <col min="24" max="24" width="10.7109375" style="6" customWidth="1"/>
    <col min="25" max="25" width="16.28515625" style="2" customWidth="1"/>
    <col min="26" max="26" width="17" style="6" customWidth="1"/>
    <col min="27" max="27" width="16.7109375" style="6" customWidth="1"/>
    <col min="28" max="28" width="9.28515625" style="6" customWidth="1"/>
    <col min="29" max="29" width="8.7109375" style="6" customWidth="1"/>
    <col min="30" max="30" width="18.7109375" style="205" customWidth="1"/>
    <col min="31" max="31" width="14.5703125" style="39" bestFit="1" customWidth="1"/>
    <col min="32" max="32" width="14.7109375" style="80" customWidth="1"/>
    <col min="33" max="16384" width="9.140625" style="80"/>
  </cols>
  <sheetData>
    <row r="1" spans="1:34" ht="74.45" customHeight="1" x14ac:dyDescent="0.2">
      <c r="AD1" s="287"/>
    </row>
    <row r="2" spans="1:34" ht="42" customHeight="1" x14ac:dyDescent="0.2">
      <c r="AD2" s="287"/>
    </row>
    <row r="3" spans="1:34" s="91" customFormat="1" ht="70.900000000000006" customHeight="1" x14ac:dyDescent="0.25">
      <c r="A3" s="96"/>
      <c r="B3" s="112"/>
      <c r="C3" s="113"/>
      <c r="D3" s="114"/>
      <c r="E3" s="115"/>
      <c r="F3" s="116"/>
      <c r="G3" s="116"/>
      <c r="H3" s="116"/>
      <c r="I3" s="116"/>
      <c r="J3" s="390"/>
      <c r="K3" s="391"/>
      <c r="L3" s="391"/>
      <c r="M3" s="391"/>
      <c r="N3" s="391"/>
      <c r="O3" s="94"/>
      <c r="P3" s="94"/>
      <c r="Q3" s="94"/>
      <c r="R3" s="94"/>
      <c r="S3" s="94"/>
      <c r="T3" s="94"/>
      <c r="U3" s="94"/>
      <c r="V3" s="94"/>
      <c r="W3" s="94"/>
      <c r="X3" s="94"/>
      <c r="Y3" s="95"/>
      <c r="Z3" s="94"/>
      <c r="AA3" s="94"/>
      <c r="AB3" s="94"/>
      <c r="AC3" s="392"/>
      <c r="AD3" s="392"/>
      <c r="AE3" s="92"/>
    </row>
    <row r="4" spans="1:34" s="91" customFormat="1" ht="42" customHeight="1" x14ac:dyDescent="0.25">
      <c r="A4" s="96"/>
      <c r="B4" s="112"/>
      <c r="C4" s="113"/>
      <c r="D4" s="114"/>
      <c r="E4" s="115"/>
      <c r="F4" s="116"/>
      <c r="G4" s="116"/>
      <c r="H4" s="116"/>
      <c r="I4" s="116"/>
      <c r="J4" s="285"/>
      <c r="K4" s="286"/>
      <c r="L4" s="286"/>
      <c r="M4" s="286"/>
      <c r="N4" s="286"/>
      <c r="O4" s="94"/>
      <c r="P4" s="94"/>
      <c r="Q4" s="117"/>
      <c r="R4" s="94"/>
      <c r="S4" s="94"/>
      <c r="T4" s="94"/>
      <c r="U4" s="94"/>
      <c r="V4" s="94"/>
      <c r="W4" s="94"/>
      <c r="X4" s="94"/>
      <c r="Y4" s="95"/>
      <c r="Z4" s="94"/>
      <c r="AA4" s="94"/>
      <c r="AB4" s="94"/>
      <c r="AC4" s="94"/>
      <c r="AD4" s="93"/>
      <c r="AE4" s="92"/>
    </row>
    <row r="5" spans="1:34" s="91" customFormat="1" ht="120" customHeight="1" x14ac:dyDescent="0.25">
      <c r="A5" s="96"/>
      <c r="B5" s="112"/>
      <c r="C5" s="113"/>
      <c r="D5" s="114"/>
      <c r="E5" s="115"/>
      <c r="F5" s="116"/>
      <c r="G5" s="116"/>
      <c r="H5" s="116"/>
      <c r="I5" s="116"/>
      <c r="J5" s="285"/>
      <c r="K5" s="286"/>
      <c r="L5" s="286"/>
      <c r="M5" s="286"/>
      <c r="N5" s="286"/>
      <c r="O5" s="94"/>
      <c r="P5" s="94"/>
      <c r="Q5" s="117"/>
      <c r="R5" s="94"/>
      <c r="S5" s="94"/>
      <c r="T5" s="94"/>
      <c r="U5" s="94"/>
      <c r="V5" s="94"/>
      <c r="W5" s="94"/>
      <c r="X5" s="94"/>
      <c r="Y5" s="95"/>
      <c r="Z5" s="94"/>
      <c r="AA5" s="396" t="s">
        <v>904</v>
      </c>
      <c r="AB5" s="396"/>
      <c r="AC5" s="396"/>
      <c r="AD5" s="396"/>
      <c r="AE5" s="92"/>
    </row>
    <row r="6" spans="1:34" ht="42" customHeight="1" x14ac:dyDescent="0.4">
      <c r="A6" s="11"/>
      <c r="B6" s="393" t="s">
        <v>234</v>
      </c>
      <c r="C6" s="393"/>
      <c r="D6" s="393"/>
      <c r="E6" s="394"/>
      <c r="F6" s="394"/>
      <c r="G6" s="394"/>
      <c r="H6" s="394"/>
      <c r="I6" s="394"/>
      <c r="J6" s="394"/>
      <c r="K6" s="394"/>
      <c r="L6" s="394"/>
      <c r="M6" s="394"/>
      <c r="N6" s="394"/>
      <c r="O6" s="394"/>
      <c r="P6" s="394"/>
      <c r="Q6" s="394"/>
      <c r="R6" s="394"/>
      <c r="S6" s="394"/>
      <c r="T6" s="394"/>
      <c r="U6" s="394"/>
      <c r="V6" s="394"/>
      <c r="W6" s="394"/>
      <c r="X6" s="394"/>
      <c r="Y6" s="394"/>
      <c r="Z6" s="394"/>
      <c r="AA6" s="394"/>
      <c r="AB6" s="394"/>
      <c r="AC6" s="394"/>
      <c r="AD6" s="394"/>
    </row>
    <row r="7" spans="1:34" ht="42" customHeight="1" x14ac:dyDescent="0.2">
      <c r="A7" s="348" t="s">
        <v>233</v>
      </c>
      <c r="B7" s="349" t="s">
        <v>232</v>
      </c>
      <c r="C7" s="349" t="s">
        <v>231</v>
      </c>
      <c r="D7" s="349" t="s">
        <v>254</v>
      </c>
      <c r="E7" s="351" t="s">
        <v>230</v>
      </c>
      <c r="F7" s="351"/>
      <c r="G7" s="351"/>
      <c r="H7" s="351"/>
      <c r="I7" s="351"/>
      <c r="J7" s="352"/>
      <c r="K7" s="352"/>
      <c r="L7" s="352"/>
      <c r="M7" s="352"/>
      <c r="N7" s="352"/>
      <c r="O7" s="352"/>
      <c r="P7" s="352"/>
      <c r="Q7" s="352"/>
      <c r="R7" s="352"/>
      <c r="S7" s="352"/>
      <c r="T7" s="352"/>
      <c r="U7" s="352"/>
      <c r="V7" s="352"/>
      <c r="W7" s="352"/>
      <c r="X7" s="352"/>
      <c r="Y7" s="352"/>
      <c r="Z7" s="352"/>
      <c r="AA7" s="352"/>
      <c r="AB7" s="352"/>
      <c r="AC7" s="352"/>
      <c r="AD7" s="382" t="s">
        <v>229</v>
      </c>
    </row>
    <row r="8" spans="1:34" ht="42" customHeight="1" x14ac:dyDescent="0.2">
      <c r="A8" s="348"/>
      <c r="B8" s="350"/>
      <c r="C8" s="349"/>
      <c r="D8" s="395"/>
      <c r="E8" s="345" t="s">
        <v>228</v>
      </c>
      <c r="F8" s="345"/>
      <c r="G8" s="345"/>
      <c r="H8" s="345"/>
      <c r="I8" s="345"/>
      <c r="J8" s="345" t="s">
        <v>227</v>
      </c>
      <c r="K8" s="345"/>
      <c r="L8" s="345"/>
      <c r="M8" s="345"/>
      <c r="N8" s="345"/>
      <c r="O8" s="345" t="s">
        <v>226</v>
      </c>
      <c r="P8" s="345"/>
      <c r="Q8" s="345"/>
      <c r="R8" s="345"/>
      <c r="S8" s="345"/>
      <c r="T8" s="345" t="s">
        <v>225</v>
      </c>
      <c r="U8" s="345"/>
      <c r="V8" s="345"/>
      <c r="W8" s="345"/>
      <c r="X8" s="345"/>
      <c r="Y8" s="345" t="s">
        <v>224</v>
      </c>
      <c r="Z8" s="345"/>
      <c r="AA8" s="345"/>
      <c r="AB8" s="345"/>
      <c r="AC8" s="345"/>
      <c r="AD8" s="382"/>
    </row>
    <row r="9" spans="1:34" ht="57.6" customHeight="1" x14ac:dyDescent="0.2">
      <c r="A9" s="348"/>
      <c r="B9" s="350"/>
      <c r="C9" s="349"/>
      <c r="D9" s="395"/>
      <c r="E9" s="97" t="s">
        <v>223</v>
      </c>
      <c r="F9" s="282" t="s">
        <v>731</v>
      </c>
      <c r="G9" s="282" t="s">
        <v>732</v>
      </c>
      <c r="H9" s="282" t="s">
        <v>236</v>
      </c>
      <c r="I9" s="282" t="s">
        <v>235</v>
      </c>
      <c r="J9" s="97" t="s">
        <v>223</v>
      </c>
      <c r="K9" s="282" t="s">
        <v>731</v>
      </c>
      <c r="L9" s="282" t="s">
        <v>732</v>
      </c>
      <c r="M9" s="282" t="s">
        <v>236</v>
      </c>
      <c r="N9" s="282" t="s">
        <v>235</v>
      </c>
      <c r="O9" s="97" t="s">
        <v>223</v>
      </c>
      <c r="P9" s="282" t="s">
        <v>731</v>
      </c>
      <c r="Q9" s="282" t="s">
        <v>732</v>
      </c>
      <c r="R9" s="282" t="s">
        <v>236</v>
      </c>
      <c r="S9" s="282" t="s">
        <v>235</v>
      </c>
      <c r="T9" s="97" t="s">
        <v>223</v>
      </c>
      <c r="U9" s="282" t="s">
        <v>731</v>
      </c>
      <c r="V9" s="282" t="s">
        <v>732</v>
      </c>
      <c r="W9" s="282" t="s">
        <v>236</v>
      </c>
      <c r="X9" s="282" t="s">
        <v>235</v>
      </c>
      <c r="Y9" s="97" t="s">
        <v>223</v>
      </c>
      <c r="Z9" s="282" t="s">
        <v>731</v>
      </c>
      <c r="AA9" s="282" t="s">
        <v>732</v>
      </c>
      <c r="AB9" s="282" t="s">
        <v>236</v>
      </c>
      <c r="AC9" s="282" t="s">
        <v>235</v>
      </c>
      <c r="AD9" s="382"/>
      <c r="AE9" s="79" t="s">
        <v>222</v>
      </c>
      <c r="AF9" s="79" t="s">
        <v>221</v>
      </c>
      <c r="AG9" s="79" t="s">
        <v>236</v>
      </c>
      <c r="AH9" s="79" t="s">
        <v>235</v>
      </c>
    </row>
    <row r="10" spans="1:34" s="89" customFormat="1" ht="25.15" customHeight="1" x14ac:dyDescent="0.25">
      <c r="A10" s="160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0">
        <v>7</v>
      </c>
      <c r="H10" s="160">
        <v>8</v>
      </c>
      <c r="I10" s="160">
        <v>9</v>
      </c>
      <c r="J10" s="160">
        <v>10</v>
      </c>
      <c r="K10" s="160">
        <v>11</v>
      </c>
      <c r="L10" s="160">
        <v>12</v>
      </c>
      <c r="M10" s="160">
        <v>13</v>
      </c>
      <c r="N10" s="160">
        <v>14</v>
      </c>
      <c r="O10" s="160">
        <v>15</v>
      </c>
      <c r="P10" s="160">
        <v>16</v>
      </c>
      <c r="Q10" s="160">
        <v>17</v>
      </c>
      <c r="R10" s="160">
        <v>18</v>
      </c>
      <c r="S10" s="160">
        <v>19</v>
      </c>
      <c r="T10" s="160">
        <v>20</v>
      </c>
      <c r="U10" s="160">
        <v>21</v>
      </c>
      <c r="V10" s="160">
        <v>22</v>
      </c>
      <c r="W10" s="160">
        <v>23</v>
      </c>
      <c r="X10" s="160">
        <v>24</v>
      </c>
      <c r="Y10" s="160">
        <v>25</v>
      </c>
      <c r="Z10" s="160">
        <v>26</v>
      </c>
      <c r="AA10" s="160">
        <v>27</v>
      </c>
      <c r="AB10" s="160">
        <v>28</v>
      </c>
      <c r="AC10" s="160">
        <v>29</v>
      </c>
      <c r="AD10" s="160">
        <v>30</v>
      </c>
      <c r="AE10" s="90"/>
    </row>
    <row r="11" spans="1:34" s="89" customFormat="1" ht="42" customHeight="1" x14ac:dyDescent="0.25">
      <c r="A11" s="380" t="s">
        <v>255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80"/>
      <c r="W11" s="380"/>
      <c r="X11" s="380"/>
      <c r="Y11" s="380"/>
      <c r="Z11" s="380"/>
      <c r="AA11" s="380"/>
      <c r="AB11" s="380"/>
      <c r="AC11" s="380"/>
      <c r="AD11" s="380"/>
      <c r="AE11" s="90"/>
    </row>
    <row r="12" spans="1:34" s="105" customFormat="1" ht="34.9" customHeight="1" x14ac:dyDescent="0.25">
      <c r="A12" s="380" t="s">
        <v>218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380"/>
      <c r="Z12" s="380"/>
      <c r="AA12" s="380"/>
      <c r="AB12" s="380"/>
      <c r="AC12" s="380"/>
      <c r="AD12" s="380"/>
      <c r="AE12" s="104"/>
    </row>
    <row r="13" spans="1:34" s="103" customFormat="1" ht="34.9" customHeight="1" x14ac:dyDescent="0.2">
      <c r="A13" s="383" t="s">
        <v>240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4"/>
      <c r="X13" s="384"/>
      <c r="Y13" s="384"/>
      <c r="Z13" s="384"/>
      <c r="AA13" s="384"/>
      <c r="AB13" s="384"/>
      <c r="AC13" s="384"/>
      <c r="AD13" s="385"/>
    </row>
    <row r="14" spans="1:34" s="103" customFormat="1" ht="42" customHeight="1" outlineLevel="1" x14ac:dyDescent="0.2">
      <c r="A14" s="386" t="s">
        <v>217</v>
      </c>
      <c r="B14" s="387"/>
      <c r="C14" s="387"/>
      <c r="D14" s="387"/>
      <c r="E14" s="387"/>
      <c r="F14" s="387"/>
      <c r="G14" s="387"/>
      <c r="H14" s="387"/>
      <c r="I14" s="387"/>
      <c r="J14" s="387"/>
      <c r="K14" s="387"/>
      <c r="L14" s="387"/>
      <c r="M14" s="387"/>
      <c r="N14" s="387"/>
      <c r="O14" s="387"/>
      <c r="P14" s="387"/>
      <c r="Q14" s="387"/>
      <c r="R14" s="387"/>
      <c r="S14" s="387"/>
      <c r="T14" s="387"/>
      <c r="U14" s="387"/>
      <c r="V14" s="387"/>
      <c r="W14" s="387"/>
      <c r="X14" s="387"/>
      <c r="Y14" s="387"/>
      <c r="Z14" s="387"/>
      <c r="AA14" s="387"/>
      <c r="AB14" s="387"/>
      <c r="AC14" s="387"/>
      <c r="AD14" s="388"/>
    </row>
    <row r="15" spans="1:34" s="103" customFormat="1" ht="42" customHeight="1" outlineLevel="1" x14ac:dyDescent="0.2">
      <c r="A15" s="386" t="s">
        <v>216</v>
      </c>
      <c r="B15" s="387"/>
      <c r="C15" s="387"/>
      <c r="D15" s="387"/>
      <c r="E15" s="387"/>
      <c r="F15" s="387"/>
      <c r="G15" s="387"/>
      <c r="H15" s="387"/>
      <c r="I15" s="387"/>
      <c r="J15" s="387"/>
      <c r="K15" s="387"/>
      <c r="L15" s="387"/>
      <c r="M15" s="387"/>
      <c r="N15" s="387"/>
      <c r="O15" s="387"/>
      <c r="P15" s="387"/>
      <c r="Q15" s="387"/>
      <c r="R15" s="387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8"/>
    </row>
    <row r="16" spans="1:34" s="215" customFormat="1" ht="104.45" customHeight="1" outlineLevel="1" x14ac:dyDescent="0.2">
      <c r="A16" s="278">
        <v>1</v>
      </c>
      <c r="B16" s="118" t="s">
        <v>784</v>
      </c>
      <c r="C16" s="118" t="s">
        <v>196</v>
      </c>
      <c r="D16" s="222" t="s">
        <v>237</v>
      </c>
      <c r="E16" s="119">
        <f>F16+G16+H16+I16</f>
        <v>63077</v>
      </c>
      <c r="F16" s="120">
        <f>46274+16803</f>
        <v>63077</v>
      </c>
      <c r="G16" s="120">
        <v>0</v>
      </c>
      <c r="H16" s="120">
        <v>0</v>
      </c>
      <c r="I16" s="120">
        <v>0</v>
      </c>
      <c r="J16" s="119">
        <f>K16+L16+M16+N16</f>
        <v>30758</v>
      </c>
      <c r="K16" s="120">
        <v>30758</v>
      </c>
      <c r="L16" s="120">
        <v>0</v>
      </c>
      <c r="M16" s="120">
        <v>0</v>
      </c>
      <c r="N16" s="120">
        <v>0</v>
      </c>
      <c r="O16" s="120">
        <v>0</v>
      </c>
      <c r="P16" s="120">
        <v>0</v>
      </c>
      <c r="Q16" s="120">
        <v>0</v>
      </c>
      <c r="R16" s="120">
        <v>0</v>
      </c>
      <c r="S16" s="120">
        <v>0</v>
      </c>
      <c r="T16" s="120">
        <v>0</v>
      </c>
      <c r="U16" s="120">
        <v>0</v>
      </c>
      <c r="V16" s="120">
        <v>0</v>
      </c>
      <c r="W16" s="120">
        <v>0</v>
      </c>
      <c r="X16" s="120">
        <v>0</v>
      </c>
      <c r="Y16" s="120">
        <v>0</v>
      </c>
      <c r="Z16" s="120">
        <v>0</v>
      </c>
      <c r="AA16" s="120">
        <v>0</v>
      </c>
      <c r="AB16" s="120">
        <v>0</v>
      </c>
      <c r="AC16" s="120">
        <v>0</v>
      </c>
      <c r="AD16" s="119">
        <f t="shared" ref="AD16:AD20" si="0">E16+J16+O16+T16+Y16</f>
        <v>93835</v>
      </c>
    </row>
    <row r="17" spans="1:34" s="208" customFormat="1" ht="115.15" customHeight="1" outlineLevel="1" x14ac:dyDescent="0.2">
      <c r="A17" s="278">
        <v>2</v>
      </c>
      <c r="B17" s="118" t="s">
        <v>215</v>
      </c>
      <c r="C17" s="118" t="s">
        <v>214</v>
      </c>
      <c r="D17" s="222" t="s">
        <v>238</v>
      </c>
      <c r="E17" s="119">
        <f>F17+G17+H17+I17</f>
        <v>0</v>
      </c>
      <c r="F17" s="120">
        <f>2661-2661</f>
        <v>0</v>
      </c>
      <c r="G17" s="120">
        <v>0</v>
      </c>
      <c r="H17" s="120">
        <v>0</v>
      </c>
      <c r="I17" s="120">
        <v>0</v>
      </c>
      <c r="J17" s="119">
        <f>K17+L17+M17+N17</f>
        <v>0</v>
      </c>
      <c r="K17" s="120">
        <f>2661-2661</f>
        <v>0</v>
      </c>
      <c r="L17" s="120">
        <v>0</v>
      </c>
      <c r="M17" s="120">
        <v>0</v>
      </c>
      <c r="N17" s="120">
        <v>0</v>
      </c>
      <c r="O17" s="119">
        <f t="shared" ref="O17" si="1">SUM(P17:S17)</f>
        <v>781</v>
      </c>
      <c r="P17" s="120">
        <v>781</v>
      </c>
      <c r="Q17" s="120">
        <v>0</v>
      </c>
      <c r="R17" s="120">
        <v>0</v>
      </c>
      <c r="S17" s="120">
        <v>0</v>
      </c>
      <c r="T17" s="119">
        <f t="shared" ref="T17" si="2">SUM(U17:X17)</f>
        <v>781</v>
      </c>
      <c r="U17" s="120">
        <v>781</v>
      </c>
      <c r="V17" s="120">
        <v>0</v>
      </c>
      <c r="W17" s="120">
        <v>0</v>
      </c>
      <c r="X17" s="120">
        <v>0</v>
      </c>
      <c r="Y17" s="119">
        <f t="shared" ref="Y17" si="3">SUM(Z17:AC17)</f>
        <v>781</v>
      </c>
      <c r="Z17" s="120">
        <v>781</v>
      </c>
      <c r="AA17" s="120">
        <v>0</v>
      </c>
      <c r="AB17" s="120">
        <v>0</v>
      </c>
      <c r="AC17" s="120">
        <v>0</v>
      </c>
      <c r="AD17" s="119">
        <f t="shared" si="0"/>
        <v>2343</v>
      </c>
    </row>
    <row r="18" spans="1:34" s="208" customFormat="1" ht="119.25" customHeight="1" outlineLevel="1" x14ac:dyDescent="0.2">
      <c r="A18" s="278">
        <v>3</v>
      </c>
      <c r="B18" s="118" t="s">
        <v>213</v>
      </c>
      <c r="C18" s="118" t="s">
        <v>196</v>
      </c>
      <c r="D18" s="223" t="s">
        <v>237</v>
      </c>
      <c r="E18" s="119">
        <f>F18+G18+H18+I18</f>
        <v>1368</v>
      </c>
      <c r="F18" s="120">
        <v>1368</v>
      </c>
      <c r="G18" s="120">
        <v>0</v>
      </c>
      <c r="H18" s="120">
        <v>0</v>
      </c>
      <c r="I18" s="120">
        <v>0</v>
      </c>
      <c r="J18" s="119">
        <f>K18+L18+M18+N18</f>
        <v>1368</v>
      </c>
      <c r="K18" s="120">
        <v>1368</v>
      </c>
      <c r="L18" s="120">
        <v>0</v>
      </c>
      <c r="M18" s="120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  <c r="S18" s="120">
        <v>0</v>
      </c>
      <c r="T18" s="120">
        <v>0</v>
      </c>
      <c r="U18" s="120">
        <v>0</v>
      </c>
      <c r="V18" s="120">
        <v>0</v>
      </c>
      <c r="W18" s="120">
        <v>0</v>
      </c>
      <c r="X18" s="120">
        <v>0</v>
      </c>
      <c r="Y18" s="120">
        <v>0</v>
      </c>
      <c r="Z18" s="120">
        <v>0</v>
      </c>
      <c r="AA18" s="120">
        <v>0</v>
      </c>
      <c r="AB18" s="120">
        <v>0</v>
      </c>
      <c r="AC18" s="120">
        <v>0</v>
      </c>
      <c r="AD18" s="119">
        <f t="shared" si="0"/>
        <v>2736</v>
      </c>
    </row>
    <row r="19" spans="1:34" s="208" customFormat="1" ht="110.45" customHeight="1" outlineLevel="1" x14ac:dyDescent="0.2">
      <c r="A19" s="278">
        <v>4</v>
      </c>
      <c r="B19" s="118" t="s">
        <v>212</v>
      </c>
      <c r="C19" s="118" t="s">
        <v>211</v>
      </c>
      <c r="D19" s="222">
        <v>2021</v>
      </c>
      <c r="E19" s="119">
        <f>F19+G19+H19+I19</f>
        <v>2281</v>
      </c>
      <c r="F19" s="120">
        <v>2281</v>
      </c>
      <c r="G19" s="120">
        <v>0</v>
      </c>
      <c r="H19" s="120">
        <v>0</v>
      </c>
      <c r="I19" s="120">
        <v>0</v>
      </c>
      <c r="J19" s="120">
        <v>0</v>
      </c>
      <c r="K19" s="120">
        <v>0</v>
      </c>
      <c r="L19" s="120">
        <v>0</v>
      </c>
      <c r="M19" s="120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  <c r="S19" s="120">
        <v>0</v>
      </c>
      <c r="T19" s="120">
        <v>0</v>
      </c>
      <c r="U19" s="120">
        <v>0</v>
      </c>
      <c r="V19" s="120">
        <v>0</v>
      </c>
      <c r="W19" s="120">
        <v>0</v>
      </c>
      <c r="X19" s="120">
        <v>0</v>
      </c>
      <c r="Y19" s="120">
        <v>0</v>
      </c>
      <c r="Z19" s="120">
        <v>0</v>
      </c>
      <c r="AA19" s="120">
        <v>0</v>
      </c>
      <c r="AB19" s="120">
        <v>0</v>
      </c>
      <c r="AC19" s="120">
        <v>0</v>
      </c>
      <c r="AD19" s="119">
        <f t="shared" si="0"/>
        <v>2281</v>
      </c>
    </row>
    <row r="20" spans="1:34" s="208" customFormat="1" ht="97.15" customHeight="1" outlineLevel="1" x14ac:dyDescent="0.2">
      <c r="A20" s="278">
        <v>5</v>
      </c>
      <c r="B20" s="118" t="s">
        <v>210</v>
      </c>
      <c r="C20" s="118" t="s">
        <v>196</v>
      </c>
      <c r="D20" s="223" t="s">
        <v>237</v>
      </c>
      <c r="E20" s="119">
        <f>F20+G20+H20+I20</f>
        <v>8219</v>
      </c>
      <c r="F20" s="120">
        <v>8219</v>
      </c>
      <c r="G20" s="120">
        <v>0</v>
      </c>
      <c r="H20" s="120">
        <v>0</v>
      </c>
      <c r="I20" s="120">
        <v>0</v>
      </c>
      <c r="J20" s="119">
        <f>K20+L20+M20+N20</f>
        <v>8219</v>
      </c>
      <c r="K20" s="120">
        <v>8219</v>
      </c>
      <c r="L20" s="120">
        <v>0</v>
      </c>
      <c r="M20" s="120"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v>0</v>
      </c>
      <c r="S20" s="120">
        <v>0</v>
      </c>
      <c r="T20" s="120">
        <v>0</v>
      </c>
      <c r="U20" s="120">
        <v>0</v>
      </c>
      <c r="V20" s="120">
        <v>0</v>
      </c>
      <c r="W20" s="120">
        <v>0</v>
      </c>
      <c r="X20" s="120">
        <v>0</v>
      </c>
      <c r="Y20" s="120">
        <v>0</v>
      </c>
      <c r="Z20" s="120">
        <v>0</v>
      </c>
      <c r="AA20" s="120">
        <v>0</v>
      </c>
      <c r="AB20" s="120">
        <v>0</v>
      </c>
      <c r="AC20" s="120">
        <v>0</v>
      </c>
      <c r="AD20" s="119">
        <f t="shared" si="0"/>
        <v>16438</v>
      </c>
    </row>
    <row r="21" spans="1:34" ht="40.9" customHeight="1" outlineLevel="1" x14ac:dyDescent="0.3">
      <c r="A21" s="380" t="s">
        <v>1056</v>
      </c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  <c r="Y21" s="389"/>
      <c r="Z21" s="389"/>
      <c r="AA21" s="389"/>
      <c r="AB21" s="389"/>
      <c r="AC21" s="389"/>
      <c r="AD21" s="389"/>
    </row>
    <row r="22" spans="1:34" s="216" customFormat="1" ht="120" customHeight="1" outlineLevel="1" x14ac:dyDescent="0.2">
      <c r="A22" s="278">
        <v>6</v>
      </c>
      <c r="B22" s="118" t="s">
        <v>239</v>
      </c>
      <c r="C22" s="118" t="s">
        <v>214</v>
      </c>
      <c r="D22" s="223" t="s">
        <v>190</v>
      </c>
      <c r="E22" s="119">
        <f t="shared" ref="E22" si="4">SUM(F22:I22)</f>
        <v>49639</v>
      </c>
      <c r="F22" s="224">
        <v>49639</v>
      </c>
      <c r="G22" s="120">
        <v>0</v>
      </c>
      <c r="H22" s="120">
        <v>0</v>
      </c>
      <c r="I22" s="120">
        <v>0</v>
      </c>
      <c r="J22" s="119">
        <f t="shared" ref="J22" si="5">SUM(K22:N22)</f>
        <v>12572</v>
      </c>
      <c r="K22" s="224">
        <v>12572</v>
      </c>
      <c r="L22" s="120">
        <v>0</v>
      </c>
      <c r="M22" s="120">
        <v>0</v>
      </c>
      <c r="N22" s="120">
        <v>0</v>
      </c>
      <c r="O22" s="119">
        <v>29000</v>
      </c>
      <c r="P22" s="224">
        <v>29000</v>
      </c>
      <c r="Q22" s="120">
        <v>0</v>
      </c>
      <c r="R22" s="120">
        <v>0</v>
      </c>
      <c r="S22" s="120">
        <v>0</v>
      </c>
      <c r="T22" s="119">
        <v>29000</v>
      </c>
      <c r="U22" s="224">
        <v>29000</v>
      </c>
      <c r="V22" s="120">
        <v>0</v>
      </c>
      <c r="W22" s="120">
        <v>0</v>
      </c>
      <c r="X22" s="120">
        <v>0</v>
      </c>
      <c r="Y22" s="119">
        <v>29000</v>
      </c>
      <c r="Z22" s="224">
        <v>29000</v>
      </c>
      <c r="AA22" s="120">
        <v>0</v>
      </c>
      <c r="AB22" s="120">
        <v>0</v>
      </c>
      <c r="AC22" s="120">
        <v>0</v>
      </c>
      <c r="AD22" s="119">
        <f t="shared" ref="AD22:AD29" si="6">E22+J22+O22+T22+Y22</f>
        <v>149211</v>
      </c>
    </row>
    <row r="23" spans="1:34" s="208" customFormat="1" ht="126" customHeight="1" outlineLevel="1" x14ac:dyDescent="0.2">
      <c r="A23" s="277">
        <v>7</v>
      </c>
      <c r="B23" s="118" t="s">
        <v>209</v>
      </c>
      <c r="C23" s="118" t="s">
        <v>196</v>
      </c>
      <c r="D23" s="222" t="s">
        <v>237</v>
      </c>
      <c r="E23" s="119">
        <f>F23+G23+H23+I23</f>
        <v>1300</v>
      </c>
      <c r="F23" s="120">
        <v>1300</v>
      </c>
      <c r="G23" s="120">
        <v>0</v>
      </c>
      <c r="H23" s="120">
        <v>0</v>
      </c>
      <c r="I23" s="120">
        <v>0</v>
      </c>
      <c r="J23" s="119">
        <f>K23+L23+M23+N23</f>
        <v>1417</v>
      </c>
      <c r="K23" s="120">
        <v>1417</v>
      </c>
      <c r="L23" s="120">
        <v>0</v>
      </c>
      <c r="M23" s="120">
        <v>0</v>
      </c>
      <c r="N23" s="120">
        <v>0</v>
      </c>
      <c r="O23" s="120">
        <v>0</v>
      </c>
      <c r="P23" s="120">
        <v>0</v>
      </c>
      <c r="Q23" s="120">
        <v>0</v>
      </c>
      <c r="R23" s="120">
        <v>0</v>
      </c>
      <c r="S23" s="120">
        <v>0</v>
      </c>
      <c r="T23" s="120">
        <v>0</v>
      </c>
      <c r="U23" s="120">
        <v>0</v>
      </c>
      <c r="V23" s="120">
        <v>0</v>
      </c>
      <c r="W23" s="120">
        <v>0</v>
      </c>
      <c r="X23" s="120">
        <v>0</v>
      </c>
      <c r="Y23" s="120">
        <v>0</v>
      </c>
      <c r="Z23" s="120">
        <v>0</v>
      </c>
      <c r="AA23" s="120">
        <v>0</v>
      </c>
      <c r="AB23" s="120">
        <v>0</v>
      </c>
      <c r="AC23" s="120">
        <v>0</v>
      </c>
      <c r="AD23" s="119">
        <f t="shared" si="6"/>
        <v>2717</v>
      </c>
    </row>
    <row r="24" spans="1:34" s="208" customFormat="1" ht="117.6" customHeight="1" outlineLevel="1" x14ac:dyDescent="0.2">
      <c r="A24" s="278">
        <v>8</v>
      </c>
      <c r="B24" s="118" t="s">
        <v>208</v>
      </c>
      <c r="C24" s="118" t="s">
        <v>196</v>
      </c>
      <c r="D24" s="222" t="s">
        <v>237</v>
      </c>
      <c r="E24" s="119">
        <f>F24+G24+H24+I24</f>
        <v>12265</v>
      </c>
      <c r="F24" s="120">
        <v>12265</v>
      </c>
      <c r="G24" s="120">
        <v>0</v>
      </c>
      <c r="H24" s="120">
        <v>0</v>
      </c>
      <c r="I24" s="120">
        <v>0</v>
      </c>
      <c r="J24" s="119">
        <f>K24+L24+M24+N24</f>
        <v>12265</v>
      </c>
      <c r="K24" s="120">
        <v>12265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0">
        <v>0</v>
      </c>
      <c r="R24" s="120">
        <v>0</v>
      </c>
      <c r="S24" s="120">
        <v>0</v>
      </c>
      <c r="T24" s="120">
        <v>0</v>
      </c>
      <c r="U24" s="120">
        <v>0</v>
      </c>
      <c r="V24" s="120">
        <v>0</v>
      </c>
      <c r="W24" s="120">
        <v>0</v>
      </c>
      <c r="X24" s="120">
        <v>0</v>
      </c>
      <c r="Y24" s="120">
        <v>0</v>
      </c>
      <c r="Z24" s="120">
        <v>0</v>
      </c>
      <c r="AA24" s="120">
        <v>0</v>
      </c>
      <c r="AB24" s="120">
        <v>0</v>
      </c>
      <c r="AC24" s="120">
        <v>0</v>
      </c>
      <c r="AD24" s="119">
        <f t="shared" si="6"/>
        <v>24530</v>
      </c>
    </row>
    <row r="25" spans="1:34" s="208" customFormat="1" ht="98.45" customHeight="1" outlineLevel="1" x14ac:dyDescent="0.2">
      <c r="A25" s="278">
        <v>9</v>
      </c>
      <c r="B25" s="118" t="s">
        <v>207</v>
      </c>
      <c r="C25" s="118" t="s">
        <v>196</v>
      </c>
      <c r="D25" s="222" t="s">
        <v>237</v>
      </c>
      <c r="E25" s="119">
        <f>F25+G25+H25+I25</f>
        <v>2170</v>
      </c>
      <c r="F25" s="120">
        <v>2170</v>
      </c>
      <c r="G25" s="120">
        <v>0</v>
      </c>
      <c r="H25" s="120">
        <v>0</v>
      </c>
      <c r="I25" s="120">
        <v>0</v>
      </c>
      <c r="J25" s="119">
        <f>K25+L25+M25+N25</f>
        <v>2170</v>
      </c>
      <c r="K25" s="120">
        <v>2170</v>
      </c>
      <c r="L25" s="120">
        <v>0</v>
      </c>
      <c r="M25" s="120">
        <v>0</v>
      </c>
      <c r="N25" s="120">
        <v>0</v>
      </c>
      <c r="O25" s="120">
        <v>0</v>
      </c>
      <c r="P25" s="120">
        <v>0</v>
      </c>
      <c r="Q25" s="120">
        <v>0</v>
      </c>
      <c r="R25" s="120">
        <v>0</v>
      </c>
      <c r="S25" s="120">
        <v>0</v>
      </c>
      <c r="T25" s="120">
        <v>0</v>
      </c>
      <c r="U25" s="120">
        <v>0</v>
      </c>
      <c r="V25" s="120">
        <v>0</v>
      </c>
      <c r="W25" s="120">
        <v>0</v>
      </c>
      <c r="X25" s="120">
        <v>0</v>
      </c>
      <c r="Y25" s="120">
        <v>0</v>
      </c>
      <c r="Z25" s="120">
        <v>0</v>
      </c>
      <c r="AA25" s="120">
        <v>0</v>
      </c>
      <c r="AB25" s="120">
        <v>0</v>
      </c>
      <c r="AC25" s="120">
        <v>0</v>
      </c>
      <c r="AD25" s="119">
        <f t="shared" si="6"/>
        <v>4340</v>
      </c>
    </row>
    <row r="26" spans="1:34" s="208" customFormat="1" ht="100.9" customHeight="1" outlineLevel="1" x14ac:dyDescent="0.2">
      <c r="A26" s="278">
        <v>10</v>
      </c>
      <c r="B26" s="118" t="s">
        <v>206</v>
      </c>
      <c r="C26" s="118" t="s">
        <v>196</v>
      </c>
      <c r="D26" s="222" t="s">
        <v>237</v>
      </c>
      <c r="E26" s="119">
        <f>F26+G26+H26+I26</f>
        <v>3486</v>
      </c>
      <c r="F26" s="246">
        <v>3486</v>
      </c>
      <c r="G26" s="246">
        <v>0</v>
      </c>
      <c r="H26" s="246">
        <v>0</v>
      </c>
      <c r="I26" s="246">
        <v>0</v>
      </c>
      <c r="J26" s="247">
        <f>K26+L26+M26+N26</f>
        <v>57</v>
      </c>
      <c r="K26" s="246">
        <v>57</v>
      </c>
      <c r="L26" s="120">
        <v>0</v>
      </c>
      <c r="M26" s="120">
        <v>0</v>
      </c>
      <c r="N26" s="120">
        <v>0</v>
      </c>
      <c r="O26" s="120">
        <v>0</v>
      </c>
      <c r="P26" s="120">
        <v>0</v>
      </c>
      <c r="Q26" s="120">
        <v>0</v>
      </c>
      <c r="R26" s="120">
        <v>0</v>
      </c>
      <c r="S26" s="120">
        <v>0</v>
      </c>
      <c r="T26" s="120">
        <v>0</v>
      </c>
      <c r="U26" s="120">
        <v>0</v>
      </c>
      <c r="V26" s="120">
        <v>0</v>
      </c>
      <c r="W26" s="120">
        <v>0</v>
      </c>
      <c r="X26" s="120">
        <v>0</v>
      </c>
      <c r="Y26" s="120">
        <v>0</v>
      </c>
      <c r="Z26" s="120">
        <v>0</v>
      </c>
      <c r="AA26" s="120">
        <v>0</v>
      </c>
      <c r="AB26" s="120">
        <v>0</v>
      </c>
      <c r="AC26" s="120">
        <v>0</v>
      </c>
      <c r="AD26" s="119">
        <f t="shared" si="6"/>
        <v>3543</v>
      </c>
    </row>
    <row r="27" spans="1:34" s="208" customFormat="1" ht="116.45" customHeight="1" outlineLevel="1" x14ac:dyDescent="0.2">
      <c r="A27" s="278">
        <v>11</v>
      </c>
      <c r="B27" s="245" t="s">
        <v>839</v>
      </c>
      <c r="C27" s="245" t="s">
        <v>204</v>
      </c>
      <c r="D27" s="248" t="s">
        <v>190</v>
      </c>
      <c r="E27" s="247">
        <f t="shared" ref="E27" si="7">SUM(F27:I27)</f>
        <v>1352</v>
      </c>
      <c r="F27" s="246">
        <v>1352</v>
      </c>
      <c r="G27" s="246">
        <v>0</v>
      </c>
      <c r="H27" s="246">
        <v>0</v>
      </c>
      <c r="I27" s="246">
        <v>0</v>
      </c>
      <c r="J27" s="247">
        <f t="shared" ref="J27:J28" si="8">SUM(K27:N27)</f>
        <v>1352</v>
      </c>
      <c r="K27" s="120">
        <v>1352</v>
      </c>
      <c r="L27" s="120">
        <v>0</v>
      </c>
      <c r="M27" s="120">
        <v>0</v>
      </c>
      <c r="N27" s="120">
        <v>0</v>
      </c>
      <c r="O27" s="119">
        <f t="shared" ref="O27:O28" si="9">SUM(P27:S27)</f>
        <v>4500</v>
      </c>
      <c r="P27" s="120">
        <v>4500</v>
      </c>
      <c r="Q27" s="120">
        <v>0</v>
      </c>
      <c r="R27" s="120">
        <v>0</v>
      </c>
      <c r="S27" s="120">
        <v>0</v>
      </c>
      <c r="T27" s="119">
        <f t="shared" ref="T27:T28" si="10">SUM(U27:X27)</f>
        <v>4500</v>
      </c>
      <c r="U27" s="120">
        <v>4500</v>
      </c>
      <c r="V27" s="120">
        <v>0</v>
      </c>
      <c r="W27" s="120">
        <v>0</v>
      </c>
      <c r="X27" s="120">
        <v>0</v>
      </c>
      <c r="Y27" s="119">
        <f t="shared" ref="Y27:Y28" si="11">SUM(Z27:AC27)</f>
        <v>4500</v>
      </c>
      <c r="Z27" s="120">
        <v>4500</v>
      </c>
      <c r="AA27" s="120">
        <v>0</v>
      </c>
      <c r="AB27" s="120">
        <v>0</v>
      </c>
      <c r="AC27" s="120">
        <v>0</v>
      </c>
      <c r="AD27" s="119">
        <f t="shared" si="6"/>
        <v>16204</v>
      </c>
    </row>
    <row r="28" spans="1:34" ht="117.6" customHeight="1" outlineLevel="1" x14ac:dyDescent="0.2">
      <c r="A28" s="278">
        <v>12</v>
      </c>
      <c r="B28" s="118" t="s">
        <v>203</v>
      </c>
      <c r="C28" s="118" t="s">
        <v>202</v>
      </c>
      <c r="D28" s="118" t="s">
        <v>831</v>
      </c>
      <c r="E28" s="119">
        <f t="shared" ref="E28" si="12">SUM(F28:I28)</f>
        <v>0</v>
      </c>
      <c r="F28" s="120">
        <v>0</v>
      </c>
      <c r="G28" s="120">
        <v>0</v>
      </c>
      <c r="H28" s="120">
        <v>0</v>
      </c>
      <c r="I28" s="120">
        <v>0</v>
      </c>
      <c r="J28" s="119">
        <f t="shared" si="8"/>
        <v>0</v>
      </c>
      <c r="K28" s="120">
        <v>0</v>
      </c>
      <c r="L28" s="120">
        <v>0</v>
      </c>
      <c r="M28" s="120">
        <v>0</v>
      </c>
      <c r="N28" s="120">
        <v>0</v>
      </c>
      <c r="O28" s="119">
        <f t="shared" si="9"/>
        <v>892.8</v>
      </c>
      <c r="P28" s="120">
        <v>892.8</v>
      </c>
      <c r="Q28" s="120">
        <v>0</v>
      </c>
      <c r="R28" s="120">
        <v>0</v>
      </c>
      <c r="S28" s="120">
        <v>0</v>
      </c>
      <c r="T28" s="119">
        <f t="shared" si="10"/>
        <v>892.8</v>
      </c>
      <c r="U28" s="120">
        <v>892.8</v>
      </c>
      <c r="V28" s="120">
        <v>0</v>
      </c>
      <c r="W28" s="120">
        <v>0</v>
      </c>
      <c r="X28" s="120">
        <v>0</v>
      </c>
      <c r="Y28" s="119">
        <f t="shared" si="11"/>
        <v>0</v>
      </c>
      <c r="Z28" s="120">
        <v>0</v>
      </c>
      <c r="AA28" s="120">
        <v>0</v>
      </c>
      <c r="AB28" s="120">
        <v>0</v>
      </c>
      <c r="AC28" s="120">
        <v>0</v>
      </c>
      <c r="AD28" s="119">
        <f t="shared" si="6"/>
        <v>1785.6</v>
      </c>
      <c r="AE28" s="80"/>
    </row>
    <row r="29" spans="1:34" s="208" customFormat="1" ht="112.9" customHeight="1" outlineLevel="1" x14ac:dyDescent="0.2">
      <c r="A29" s="278">
        <v>13</v>
      </c>
      <c r="B29" s="118" t="s">
        <v>201</v>
      </c>
      <c r="C29" s="118" t="s">
        <v>200</v>
      </c>
      <c r="D29" s="223" t="s">
        <v>190</v>
      </c>
      <c r="E29" s="119">
        <f t="shared" ref="E29" si="13">SUM(F29:I29)</f>
        <v>4176</v>
      </c>
      <c r="F29" s="120">
        <v>4176</v>
      </c>
      <c r="G29" s="120">
        <v>0</v>
      </c>
      <c r="H29" s="120">
        <v>0</v>
      </c>
      <c r="I29" s="120">
        <v>0</v>
      </c>
      <c r="J29" s="119">
        <f t="shared" ref="J29" si="14">SUM(K29:N29)</f>
        <v>4176</v>
      </c>
      <c r="K29" s="120">
        <v>4176</v>
      </c>
      <c r="L29" s="120">
        <v>0</v>
      </c>
      <c r="M29" s="120">
        <v>0</v>
      </c>
      <c r="N29" s="120">
        <v>0</v>
      </c>
      <c r="O29" s="119">
        <f t="shared" ref="O29" si="15">SUM(P29:S29)</f>
        <v>4176</v>
      </c>
      <c r="P29" s="120">
        <v>4176</v>
      </c>
      <c r="Q29" s="120">
        <v>0</v>
      </c>
      <c r="R29" s="120">
        <v>0</v>
      </c>
      <c r="S29" s="120">
        <v>0</v>
      </c>
      <c r="T29" s="119">
        <f t="shared" ref="T29" si="16">SUM(U29:X29)</f>
        <v>4176</v>
      </c>
      <c r="U29" s="120">
        <v>4176</v>
      </c>
      <c r="V29" s="120">
        <v>0</v>
      </c>
      <c r="W29" s="120">
        <v>0</v>
      </c>
      <c r="X29" s="120">
        <v>0</v>
      </c>
      <c r="Y29" s="119">
        <f t="shared" ref="Y29" si="17">SUM(Z29:AC29)</f>
        <v>4176</v>
      </c>
      <c r="Z29" s="120">
        <v>4176</v>
      </c>
      <c r="AA29" s="120">
        <v>0</v>
      </c>
      <c r="AB29" s="120">
        <v>0</v>
      </c>
      <c r="AC29" s="120">
        <v>0</v>
      </c>
      <c r="AD29" s="119">
        <f t="shared" si="6"/>
        <v>20880</v>
      </c>
    </row>
    <row r="30" spans="1:34" ht="46.9" customHeight="1" outlineLevel="1" x14ac:dyDescent="0.2">
      <c r="A30" s="380" t="s">
        <v>198</v>
      </c>
      <c r="B30" s="380"/>
      <c r="C30" s="380"/>
      <c r="D30" s="380"/>
      <c r="E30" s="380"/>
      <c r="F30" s="380"/>
      <c r="G30" s="380"/>
      <c r="H30" s="380"/>
      <c r="I30" s="380"/>
      <c r="J30" s="380"/>
      <c r="K30" s="380"/>
      <c r="L30" s="380"/>
      <c r="M30" s="380"/>
      <c r="N30" s="380"/>
      <c r="O30" s="380"/>
      <c r="P30" s="380"/>
      <c r="Q30" s="380"/>
      <c r="R30" s="380"/>
      <c r="S30" s="380"/>
      <c r="T30" s="380"/>
      <c r="U30" s="380"/>
      <c r="V30" s="380"/>
      <c r="W30" s="380"/>
      <c r="X30" s="380"/>
      <c r="Y30" s="380"/>
      <c r="Z30" s="380"/>
      <c r="AA30" s="380"/>
      <c r="AB30" s="380"/>
      <c r="AC30" s="380"/>
      <c r="AD30" s="380"/>
      <c r="AE30" s="80"/>
    </row>
    <row r="31" spans="1:34" s="216" customFormat="1" ht="105.6" customHeight="1" outlineLevel="1" x14ac:dyDescent="0.2">
      <c r="A31" s="278">
        <v>14</v>
      </c>
      <c r="B31" s="118" t="s">
        <v>197</v>
      </c>
      <c r="C31" s="118" t="s">
        <v>196</v>
      </c>
      <c r="D31" s="223" t="s">
        <v>190</v>
      </c>
      <c r="E31" s="119">
        <f>F31+G31+H31+I31</f>
        <v>26139</v>
      </c>
      <c r="F31" s="120">
        <v>26139</v>
      </c>
      <c r="G31" s="120">
        <v>0</v>
      </c>
      <c r="H31" s="120">
        <v>0</v>
      </c>
      <c r="I31" s="120">
        <v>0</v>
      </c>
      <c r="J31" s="119">
        <f>K31+L31+M31+N31</f>
        <v>26139</v>
      </c>
      <c r="K31" s="120">
        <v>26139</v>
      </c>
      <c r="L31" s="120">
        <v>0</v>
      </c>
      <c r="M31" s="120">
        <v>0</v>
      </c>
      <c r="N31" s="120">
        <v>0</v>
      </c>
      <c r="O31" s="119">
        <f>P31+Q31+R31+S31</f>
        <v>26839</v>
      </c>
      <c r="P31" s="120">
        <f>26539+300</f>
        <v>26839</v>
      </c>
      <c r="Q31" s="120">
        <v>0</v>
      </c>
      <c r="R31" s="120">
        <v>0</v>
      </c>
      <c r="S31" s="120">
        <v>0</v>
      </c>
      <c r="T31" s="119">
        <f>U31+V31+W31+X31</f>
        <v>26839</v>
      </c>
      <c r="U31" s="120">
        <f>26539+300</f>
        <v>26839</v>
      </c>
      <c r="V31" s="120">
        <v>0</v>
      </c>
      <c r="W31" s="120">
        <v>0</v>
      </c>
      <c r="X31" s="120">
        <v>0</v>
      </c>
      <c r="Y31" s="119">
        <f>Z31+AA31+AB31+AC31</f>
        <v>26839</v>
      </c>
      <c r="Z31" s="120">
        <f>26539+300</f>
        <v>26839</v>
      </c>
      <c r="AA31" s="120">
        <v>0</v>
      </c>
      <c r="AB31" s="120">
        <v>0</v>
      </c>
      <c r="AC31" s="120">
        <v>0</v>
      </c>
      <c r="AD31" s="119">
        <f>E31+J31+O31+T31+Y31</f>
        <v>132795</v>
      </c>
    </row>
    <row r="32" spans="1:34" ht="46.9" customHeight="1" outlineLevel="1" x14ac:dyDescent="0.2">
      <c r="A32" s="397" t="s">
        <v>241</v>
      </c>
      <c r="B32" s="398"/>
      <c r="C32" s="399"/>
      <c r="D32" s="98"/>
      <c r="E32" s="107">
        <f>SUM(E14:E31)</f>
        <v>175472</v>
      </c>
      <c r="F32" s="107">
        <f>SUM(F14:F31)</f>
        <v>175472</v>
      </c>
      <c r="G32" s="107">
        <f t="shared" ref="G32:N32" si="18">SUM(G14:G29)</f>
        <v>0</v>
      </c>
      <c r="H32" s="107">
        <f t="shared" si="18"/>
        <v>0</v>
      </c>
      <c r="I32" s="107">
        <f t="shared" si="18"/>
        <v>0</v>
      </c>
      <c r="J32" s="107">
        <f>SUM(J14:J31)</f>
        <v>100493</v>
      </c>
      <c r="K32" s="107">
        <f>SUM(K14:K31)</f>
        <v>100493</v>
      </c>
      <c r="L32" s="107">
        <f t="shared" si="18"/>
        <v>0</v>
      </c>
      <c r="M32" s="107">
        <f t="shared" si="18"/>
        <v>0</v>
      </c>
      <c r="N32" s="107">
        <f t="shared" si="18"/>
        <v>0</v>
      </c>
      <c r="O32" s="107">
        <f>SUM(O14:O31)</f>
        <v>66188.800000000003</v>
      </c>
      <c r="P32" s="107">
        <f t="shared" ref="P32:AC32" si="19">SUM(P14:P31)</f>
        <v>66188.800000000003</v>
      </c>
      <c r="Q32" s="107">
        <f t="shared" si="19"/>
        <v>0</v>
      </c>
      <c r="R32" s="107">
        <f t="shared" si="19"/>
        <v>0</v>
      </c>
      <c r="S32" s="107">
        <f t="shared" si="19"/>
        <v>0</v>
      </c>
      <c r="T32" s="107">
        <f t="shared" si="19"/>
        <v>66188.800000000003</v>
      </c>
      <c r="U32" s="107">
        <f t="shared" si="19"/>
        <v>66188.800000000003</v>
      </c>
      <c r="V32" s="107">
        <f t="shared" si="19"/>
        <v>0</v>
      </c>
      <c r="W32" s="107">
        <f t="shared" si="19"/>
        <v>0</v>
      </c>
      <c r="X32" s="107">
        <f t="shared" si="19"/>
        <v>0</v>
      </c>
      <c r="Y32" s="107">
        <f t="shared" si="19"/>
        <v>65296</v>
      </c>
      <c r="Z32" s="107">
        <f t="shared" si="19"/>
        <v>65296</v>
      </c>
      <c r="AA32" s="107">
        <f t="shared" si="19"/>
        <v>0</v>
      </c>
      <c r="AB32" s="107">
        <f t="shared" si="19"/>
        <v>0</v>
      </c>
      <c r="AC32" s="107">
        <f t="shared" si="19"/>
        <v>0</v>
      </c>
      <c r="AD32" s="119">
        <f>E32+J32+O32+T32+Y32</f>
        <v>473638.6</v>
      </c>
      <c r="AE32" s="102">
        <f>F32+K32+P32+U32+Z32</f>
        <v>473638.6</v>
      </c>
      <c r="AF32" s="102">
        <f t="shared" ref="AF32" si="20">G32+L32+Q32+V32+AA32</f>
        <v>0</v>
      </c>
      <c r="AG32" s="102">
        <f t="shared" ref="AG32" si="21">H32+M32+R32+W32+AB32</f>
        <v>0</v>
      </c>
      <c r="AH32" s="102">
        <f t="shared" ref="AH32" si="22">I32+N32+S32+X32+AC32</f>
        <v>0</v>
      </c>
    </row>
    <row r="33" spans="1:34" s="85" customFormat="1" ht="55.15" customHeight="1" x14ac:dyDescent="0.2">
      <c r="A33" s="381" t="s">
        <v>910</v>
      </c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381"/>
      <c r="U33" s="381"/>
      <c r="V33" s="381"/>
      <c r="W33" s="381"/>
      <c r="X33" s="381"/>
      <c r="Y33" s="381"/>
      <c r="Z33" s="381"/>
      <c r="AA33" s="381"/>
      <c r="AB33" s="381"/>
      <c r="AC33" s="381"/>
      <c r="AD33" s="381"/>
      <c r="AE33" s="39"/>
      <c r="AF33" s="32"/>
      <c r="AG33" s="32"/>
      <c r="AH33" s="32"/>
    </row>
    <row r="34" spans="1:34" ht="42" customHeight="1" x14ac:dyDescent="0.2">
      <c r="A34" s="382" t="s">
        <v>1055</v>
      </c>
      <c r="B34" s="382"/>
      <c r="C34" s="382"/>
      <c r="D34" s="382"/>
      <c r="E34" s="382"/>
      <c r="F34" s="382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82"/>
      <c r="W34" s="382"/>
      <c r="X34" s="382"/>
      <c r="Y34" s="382"/>
      <c r="Z34" s="382"/>
      <c r="AA34" s="382"/>
      <c r="AB34" s="382"/>
      <c r="AC34" s="382"/>
      <c r="AD34" s="382"/>
      <c r="AF34" s="32"/>
      <c r="AG34" s="32"/>
      <c r="AH34" s="32"/>
    </row>
    <row r="35" spans="1:34" s="101" customFormat="1" ht="43.15" customHeight="1" outlineLevel="1" x14ac:dyDescent="0.2">
      <c r="A35" s="386" t="s">
        <v>909</v>
      </c>
      <c r="B35" s="387"/>
      <c r="C35" s="387"/>
      <c r="D35" s="387"/>
      <c r="E35" s="387"/>
      <c r="F35" s="387"/>
      <c r="G35" s="387"/>
      <c r="H35" s="387"/>
      <c r="I35" s="387"/>
      <c r="J35" s="387"/>
      <c r="K35" s="387"/>
      <c r="L35" s="387"/>
      <c r="M35" s="387"/>
      <c r="N35" s="387"/>
      <c r="O35" s="387"/>
      <c r="P35" s="387"/>
      <c r="Q35" s="387"/>
      <c r="R35" s="387"/>
      <c r="S35" s="387"/>
      <c r="T35" s="387"/>
      <c r="U35" s="387"/>
      <c r="V35" s="387"/>
      <c r="W35" s="387"/>
      <c r="X35" s="387"/>
      <c r="Y35" s="387"/>
      <c r="Z35" s="387"/>
      <c r="AA35" s="387"/>
      <c r="AB35" s="387"/>
      <c r="AC35" s="387"/>
      <c r="AD35" s="388"/>
      <c r="AE35" s="39"/>
      <c r="AF35" s="32"/>
      <c r="AG35" s="32"/>
      <c r="AH35" s="32"/>
    </row>
    <row r="36" spans="1:34" s="101" customFormat="1" ht="64.900000000000006" customHeight="1" outlineLevel="1" x14ac:dyDescent="0.2">
      <c r="A36" s="386" t="s">
        <v>911</v>
      </c>
      <c r="B36" s="387"/>
      <c r="C36" s="387"/>
      <c r="D36" s="387"/>
      <c r="E36" s="387"/>
      <c r="F36" s="387"/>
      <c r="G36" s="387"/>
      <c r="H36" s="387"/>
      <c r="I36" s="387"/>
      <c r="J36" s="387"/>
      <c r="K36" s="387"/>
      <c r="L36" s="387"/>
      <c r="M36" s="387"/>
      <c r="N36" s="387"/>
      <c r="O36" s="387"/>
      <c r="P36" s="387"/>
      <c r="Q36" s="387"/>
      <c r="R36" s="387"/>
      <c r="S36" s="387"/>
      <c r="T36" s="387"/>
      <c r="U36" s="387"/>
      <c r="V36" s="387"/>
      <c r="W36" s="387"/>
      <c r="X36" s="387"/>
      <c r="Y36" s="387"/>
      <c r="Z36" s="387"/>
      <c r="AA36" s="387"/>
      <c r="AB36" s="387"/>
      <c r="AC36" s="387"/>
      <c r="AD36" s="388"/>
      <c r="AE36" s="39"/>
      <c r="AF36" s="32"/>
      <c r="AG36" s="32"/>
      <c r="AH36" s="32"/>
    </row>
    <row r="37" spans="1:34" s="99" customFormat="1" ht="97.9" customHeight="1" outlineLevel="1" x14ac:dyDescent="0.2">
      <c r="A37" s="278">
        <v>15</v>
      </c>
      <c r="B37" s="118" t="s">
        <v>242</v>
      </c>
      <c r="C37" s="118" t="s">
        <v>205</v>
      </c>
      <c r="D37" s="118" t="s">
        <v>832</v>
      </c>
      <c r="E37" s="107">
        <f t="shared" ref="E37:E42" si="23">F37+G37+H37+I37</f>
        <v>0</v>
      </c>
      <c r="F37" s="122">
        <f>'2.переченьМРАД'!$I$42</f>
        <v>0</v>
      </c>
      <c r="G37" s="122">
        <f>'2.переченьМРАД'!$H$42</f>
        <v>0</v>
      </c>
      <c r="H37" s="122">
        <f>'2.переченьМРАД'!G42</f>
        <v>0</v>
      </c>
      <c r="I37" s="121">
        <v>0</v>
      </c>
      <c r="J37" s="107">
        <f t="shared" ref="J37" si="24">K37+L37+M37+N37</f>
        <v>87301</v>
      </c>
      <c r="K37" s="122">
        <f>'2.переченьМРАД'!$N$42</f>
        <v>4190.4480000000003</v>
      </c>
      <c r="L37" s="122">
        <f>'2.переченьМРАД'!$M$42</f>
        <v>83110.551999999996</v>
      </c>
      <c r="M37" s="122">
        <v>0</v>
      </c>
      <c r="N37" s="121">
        <v>0</v>
      </c>
      <c r="O37" s="107">
        <f t="shared" ref="O37" si="25">P37+Q37+R37+S37</f>
        <v>206536.1</v>
      </c>
      <c r="P37" s="122">
        <f>'2.переченьМРАД'!$S$42</f>
        <v>16161.7088</v>
      </c>
      <c r="Q37" s="122">
        <f>'2.переченьМРАД'!$R$42</f>
        <v>190374.39120000001</v>
      </c>
      <c r="R37" s="122">
        <v>0</v>
      </c>
      <c r="S37" s="121">
        <v>0</v>
      </c>
      <c r="T37" s="107">
        <f t="shared" ref="T37" si="26">U37+V37+W37+X37</f>
        <v>451066.91</v>
      </c>
      <c r="U37" s="108">
        <f>'2.переченьМРАД'!$X$42</f>
        <v>25697.21168</v>
      </c>
      <c r="V37" s="108">
        <f>'2.переченьМРАД'!$W$42</f>
        <v>425369.69831999997</v>
      </c>
      <c r="W37" s="108">
        <v>0</v>
      </c>
      <c r="X37" s="108">
        <v>0</v>
      </c>
      <c r="Y37" s="107">
        <f t="shared" ref="Y37" si="27">Z37+AA37+AB37+AC37</f>
        <v>479395.5</v>
      </c>
      <c r="Z37" s="108">
        <f>'2.переченьМРАД'!$AC$42</f>
        <v>25409.200000000001</v>
      </c>
      <c r="AA37" s="108">
        <f>'2.переченьМРАД'!$AB$42</f>
        <v>453986.3</v>
      </c>
      <c r="AB37" s="108">
        <v>0</v>
      </c>
      <c r="AC37" s="108">
        <v>0</v>
      </c>
      <c r="AD37" s="107">
        <f t="shared" ref="AD37:AD42" si="28">E37+J37+O37+T37+Y37</f>
        <v>1224299.51</v>
      </c>
    </row>
    <row r="38" spans="1:34" s="32" customFormat="1" ht="126" customHeight="1" outlineLevel="1" x14ac:dyDescent="0.2">
      <c r="A38" s="278">
        <v>16</v>
      </c>
      <c r="B38" s="118" t="s">
        <v>243</v>
      </c>
      <c r="C38" s="118" t="s">
        <v>191</v>
      </c>
      <c r="D38" s="118" t="s">
        <v>831</v>
      </c>
      <c r="E38" s="107">
        <f t="shared" si="23"/>
        <v>0</v>
      </c>
      <c r="F38" s="122">
        <f>'2.переченьМРАД'!$I$56</f>
        <v>0</v>
      </c>
      <c r="G38" s="122">
        <f>'2.переченьМРАД'!$H$56</f>
        <v>0</v>
      </c>
      <c r="H38" s="122">
        <f>'2.переченьМРАД'!G43</f>
        <v>0</v>
      </c>
      <c r="I38" s="121">
        <v>0</v>
      </c>
      <c r="J38" s="107">
        <f t="shared" ref="J38" si="29">K38+L38+M38+N38</f>
        <v>0</v>
      </c>
      <c r="K38" s="122">
        <f>'2.переченьМРАД'!$N$56</f>
        <v>0</v>
      </c>
      <c r="L38" s="122">
        <f>'2.переченьМРАД'!$M$56</f>
        <v>0</v>
      </c>
      <c r="M38" s="122">
        <v>0</v>
      </c>
      <c r="N38" s="121">
        <v>0</v>
      </c>
      <c r="O38" s="107">
        <f t="shared" ref="O38" si="30">P38+Q38+R38+S38</f>
        <v>104669</v>
      </c>
      <c r="P38" s="122">
        <f>'2.переченьМРАД'!$S$56</f>
        <v>11035.04</v>
      </c>
      <c r="Q38" s="122">
        <f>'2.переченьМРАД'!$R$56</f>
        <v>93633.959999999992</v>
      </c>
      <c r="R38" s="122">
        <v>0</v>
      </c>
      <c r="S38" s="121">
        <v>0</v>
      </c>
      <c r="T38" s="107">
        <f t="shared" ref="T38" si="31">U38+V38+W38+X38</f>
        <v>54455</v>
      </c>
      <c r="U38" s="108">
        <f>'2.переченьМРАД'!$X$56</f>
        <v>4489.2800000000007</v>
      </c>
      <c r="V38" s="108">
        <f>'2.переченьМРАД'!$W$56</f>
        <v>49965.72</v>
      </c>
      <c r="W38" s="108">
        <v>0</v>
      </c>
      <c r="X38" s="108">
        <v>0</v>
      </c>
      <c r="Y38" s="107">
        <f t="shared" ref="Y38" si="32">Z38+AA38+AB38+AC38</f>
        <v>0</v>
      </c>
      <c r="Z38" s="108">
        <f>'2.переченьМРАД'!$AC$56</f>
        <v>0</v>
      </c>
      <c r="AA38" s="108">
        <f>'2.переченьМРАД'!$AB$56</f>
        <v>0</v>
      </c>
      <c r="AB38" s="108">
        <v>0</v>
      </c>
      <c r="AC38" s="108">
        <v>0</v>
      </c>
      <c r="AD38" s="107">
        <f t="shared" si="28"/>
        <v>159124</v>
      </c>
      <c r="AE38" s="99"/>
      <c r="AF38" s="99"/>
      <c r="AG38" s="99"/>
      <c r="AH38" s="99"/>
    </row>
    <row r="39" spans="1:34" s="99" customFormat="1" ht="206.45" customHeight="1" outlineLevel="1" x14ac:dyDescent="0.2">
      <c r="A39" s="278">
        <v>17</v>
      </c>
      <c r="B39" s="123" t="s">
        <v>244</v>
      </c>
      <c r="C39" s="123" t="s">
        <v>205</v>
      </c>
      <c r="D39" s="123" t="s">
        <v>841</v>
      </c>
      <c r="E39" s="124">
        <f t="shared" si="23"/>
        <v>22956</v>
      </c>
      <c r="F39" s="125">
        <f>'2.переченьМРАД'!$I$66</f>
        <v>22956</v>
      </c>
      <c r="G39" s="122">
        <f>'2.переченьМРАД'!$H$66</f>
        <v>0</v>
      </c>
      <c r="H39" s="122">
        <f>'2.переченьМРАД'!G44</f>
        <v>0</v>
      </c>
      <c r="I39" s="121">
        <v>0</v>
      </c>
      <c r="J39" s="107">
        <f t="shared" ref="J39" si="33">K39+L39+M39+N39</f>
        <v>0</v>
      </c>
      <c r="K39" s="122">
        <f>'2.переченьМРАД'!$N$66</f>
        <v>0</v>
      </c>
      <c r="L39" s="122">
        <f>'2.переченьМРАД'!$M$66</f>
        <v>0</v>
      </c>
      <c r="M39" s="122">
        <v>0</v>
      </c>
      <c r="N39" s="121">
        <v>0</v>
      </c>
      <c r="O39" s="107">
        <f t="shared" ref="O39" si="34">P39+Q39+R39+S39</f>
        <v>54728</v>
      </c>
      <c r="P39" s="122">
        <f>'2.переченьМРАД'!$S$66</f>
        <v>54728</v>
      </c>
      <c r="Q39" s="122">
        <f>'2.переченьМРАД'!$R$66</f>
        <v>0</v>
      </c>
      <c r="R39" s="122">
        <v>0</v>
      </c>
      <c r="S39" s="121">
        <v>0</v>
      </c>
      <c r="T39" s="107">
        <f t="shared" ref="T39" si="35">U39+V39+W39+X39</f>
        <v>36976</v>
      </c>
      <c r="U39" s="108">
        <f>'2.переченьМРАД'!$X$66</f>
        <v>36976</v>
      </c>
      <c r="V39" s="108">
        <f>'2.переченьМРАД'!$W$66</f>
        <v>0</v>
      </c>
      <c r="W39" s="108">
        <v>0</v>
      </c>
      <c r="X39" s="108">
        <v>0</v>
      </c>
      <c r="Y39" s="107">
        <f t="shared" ref="Y39" si="36">Z39+AA39+AB39+AC39</f>
        <v>26114</v>
      </c>
      <c r="Z39" s="108">
        <f>'2.переченьМРАД'!$AC$66</f>
        <v>26114</v>
      </c>
      <c r="AA39" s="108">
        <f>'2.переченьМРАД'!$AB$66</f>
        <v>0</v>
      </c>
      <c r="AB39" s="108">
        <v>0</v>
      </c>
      <c r="AC39" s="108">
        <v>0</v>
      </c>
      <c r="AD39" s="107">
        <f t="shared" si="28"/>
        <v>140774</v>
      </c>
    </row>
    <row r="40" spans="1:34" s="99" customFormat="1" ht="146.44999999999999" customHeight="1" outlineLevel="1" x14ac:dyDescent="0.2">
      <c r="A40" s="278">
        <v>18</v>
      </c>
      <c r="B40" s="118" t="s">
        <v>245</v>
      </c>
      <c r="C40" s="118" t="s">
        <v>191</v>
      </c>
      <c r="D40" s="118" t="s">
        <v>190</v>
      </c>
      <c r="E40" s="107">
        <f t="shared" si="23"/>
        <v>220734.36</v>
      </c>
      <c r="F40" s="122">
        <f>'2.переченьМРАД'!$I$84</f>
        <v>10595.24928</v>
      </c>
      <c r="G40" s="122">
        <f>'2.переченьМРАД'!$H$84</f>
        <v>210139.11072</v>
      </c>
      <c r="H40" s="122">
        <f>'2.переченьМРАД'!G45</f>
        <v>0</v>
      </c>
      <c r="I40" s="121">
        <v>0</v>
      </c>
      <c r="J40" s="107">
        <f t="shared" ref="J40" si="37">K40+L40+M40+N40</f>
        <v>239274.84</v>
      </c>
      <c r="K40" s="122">
        <f>'2.переченьМРАД'!$N$84</f>
        <v>11486.04</v>
      </c>
      <c r="L40" s="122">
        <f>'2.переченьМРАД'!$M$84</f>
        <v>227788.79999999999</v>
      </c>
      <c r="M40" s="122">
        <v>0</v>
      </c>
      <c r="N40" s="121">
        <v>0</v>
      </c>
      <c r="O40" s="107">
        <f t="shared" ref="O40" si="38">P40+Q40+R40+S40</f>
        <v>267139.62</v>
      </c>
      <c r="P40" s="122">
        <f>'2.переченьМРАД'!$S$84</f>
        <v>17812.133760000001</v>
      </c>
      <c r="Q40" s="122">
        <f>'2.переченьМРАД'!$R$84</f>
        <v>249327.48624</v>
      </c>
      <c r="R40" s="122">
        <v>0</v>
      </c>
      <c r="S40" s="121">
        <v>0</v>
      </c>
      <c r="T40" s="107">
        <f t="shared" ref="T40" si="39">U40+V40+W40+X40</f>
        <v>221398.9</v>
      </c>
      <c r="U40" s="108">
        <f>'2.переченьМРАД'!$X$84</f>
        <v>21368.9</v>
      </c>
      <c r="V40" s="108">
        <f>'2.переченьМРАД'!$W$84</f>
        <v>200030</v>
      </c>
      <c r="W40" s="108">
        <v>0</v>
      </c>
      <c r="X40" s="108">
        <v>0</v>
      </c>
      <c r="Y40" s="107">
        <f t="shared" ref="Y40" si="40">Z40+AA40+AB40+AC40</f>
        <v>314303.5</v>
      </c>
      <c r="Z40" s="108">
        <f>'2.переченьМРАД'!$AC$84</f>
        <v>18542.9944</v>
      </c>
      <c r="AA40" s="108">
        <f>'2.переченьМРАД'!$AB$84</f>
        <v>295760.50559999997</v>
      </c>
      <c r="AB40" s="108">
        <v>0</v>
      </c>
      <c r="AC40" s="108">
        <v>0</v>
      </c>
      <c r="AD40" s="107">
        <f t="shared" si="28"/>
        <v>1262851.22</v>
      </c>
    </row>
    <row r="41" spans="1:34" s="99" customFormat="1" ht="128.44999999999999" customHeight="1" outlineLevel="1" x14ac:dyDescent="0.2">
      <c r="A41" s="278">
        <v>19</v>
      </c>
      <c r="B41" s="118" t="s">
        <v>246</v>
      </c>
      <c r="C41" s="118" t="s">
        <v>191</v>
      </c>
      <c r="D41" s="118" t="s">
        <v>190</v>
      </c>
      <c r="E41" s="107">
        <f t="shared" si="23"/>
        <v>517794.64</v>
      </c>
      <c r="F41" s="122">
        <f>'2.переченьМРАД'!$I$134</f>
        <v>27933.749999999996</v>
      </c>
      <c r="G41" s="122">
        <f>'2.переченьМРАД'!$H$134</f>
        <v>489860.89</v>
      </c>
      <c r="H41" s="122">
        <f>'2.переченьМРАД'!G46</f>
        <v>0</v>
      </c>
      <c r="I41" s="121">
        <v>0</v>
      </c>
      <c r="J41" s="107">
        <f t="shared" ref="J41" si="41">K41+L41+M41+N41</f>
        <v>408719.22399999999</v>
      </c>
      <c r="K41" s="122">
        <f>'2.переченьМРАД'!$N$134</f>
        <v>19618.560000000001</v>
      </c>
      <c r="L41" s="122">
        <f>'2.переченьМРАД'!$M$134</f>
        <v>389100.66399999999</v>
      </c>
      <c r="M41" s="122">
        <v>0</v>
      </c>
      <c r="N41" s="121">
        <v>0</v>
      </c>
      <c r="O41" s="107">
        <f t="shared" ref="O41" si="42">P41+Q41+R41+S41</f>
        <v>474006.10000000009</v>
      </c>
      <c r="P41" s="122">
        <f>'2.переченьМРАД'!$S$134</f>
        <v>22375.084000000003</v>
      </c>
      <c r="Q41" s="122">
        <f>'2.переченьМРАД'!$R$134</f>
        <v>451631.01600000006</v>
      </c>
      <c r="R41" s="122">
        <v>0</v>
      </c>
      <c r="S41" s="121">
        <v>0</v>
      </c>
      <c r="T41" s="107">
        <f t="shared" ref="T41" si="43">U41+V41+W41+X41</f>
        <v>692478.29999999993</v>
      </c>
      <c r="U41" s="108">
        <f>'2.переченьМРАД'!$X$134</f>
        <v>38450.400000000001</v>
      </c>
      <c r="V41" s="108">
        <f>'2.переченьМРАД'!$W$134</f>
        <v>654027.89999999991</v>
      </c>
      <c r="W41" s="108">
        <v>0</v>
      </c>
      <c r="X41" s="108">
        <v>0</v>
      </c>
      <c r="Y41" s="107">
        <f t="shared" ref="Y41" si="44">Z41+AA41+AB41+AC41</f>
        <v>812077.79999999993</v>
      </c>
      <c r="Z41" s="108">
        <f>'2.переченьМРАД'!$AC$134</f>
        <v>37990.400000000001</v>
      </c>
      <c r="AA41" s="108">
        <f>'2.переченьМРАД'!$AB$134</f>
        <v>774087.39999999991</v>
      </c>
      <c r="AB41" s="108">
        <v>0</v>
      </c>
      <c r="AC41" s="108">
        <v>0</v>
      </c>
      <c r="AD41" s="107">
        <f t="shared" si="28"/>
        <v>2905076.0639999998</v>
      </c>
    </row>
    <row r="42" spans="1:34" s="99" customFormat="1" ht="145.9" customHeight="1" outlineLevel="1" x14ac:dyDescent="0.2">
      <c r="A42" s="278">
        <v>20</v>
      </c>
      <c r="B42" s="118" t="s">
        <v>895</v>
      </c>
      <c r="C42" s="118" t="s">
        <v>205</v>
      </c>
      <c r="D42" s="118" t="s">
        <v>190</v>
      </c>
      <c r="E42" s="107">
        <f t="shared" si="23"/>
        <v>17420</v>
      </c>
      <c r="F42" s="122">
        <f>'2.переченьМРАД'!$I$138</f>
        <v>17420</v>
      </c>
      <c r="G42" s="122">
        <f>'2.переченьМРАД'!$H$138</f>
        <v>0</v>
      </c>
      <c r="H42" s="122">
        <f>'2.переченьМРАД'!G48</f>
        <v>0</v>
      </c>
      <c r="I42" s="121">
        <v>0</v>
      </c>
      <c r="J42" s="107">
        <f t="shared" ref="J42" si="45">K42+L42+M42+N42</f>
        <v>14420</v>
      </c>
      <c r="K42" s="122">
        <f>'2.переченьМРАД'!$N$138</f>
        <v>14420</v>
      </c>
      <c r="L42" s="122">
        <f>'2.переченьМРАД'!$M$138</f>
        <v>0</v>
      </c>
      <c r="M42" s="122">
        <v>0</v>
      </c>
      <c r="N42" s="121">
        <v>0</v>
      </c>
      <c r="O42" s="107">
        <f t="shared" ref="O42" si="46">P42+Q42+R42+S42</f>
        <v>358864</v>
      </c>
      <c r="P42" s="122">
        <f>'2.переченьМРАД'!$S$138</f>
        <v>18514.900000000001</v>
      </c>
      <c r="Q42" s="122">
        <f>'2.переченьМРАД'!$R$138</f>
        <v>340349.1</v>
      </c>
      <c r="R42" s="122">
        <v>0</v>
      </c>
      <c r="S42" s="121">
        <v>0</v>
      </c>
      <c r="T42" s="107">
        <f t="shared" ref="T42" si="47">U42+V42+W42+X42</f>
        <v>356601</v>
      </c>
      <c r="U42" s="108">
        <f>'2.переченьМРАД'!$X$138</f>
        <v>18381.8</v>
      </c>
      <c r="V42" s="108">
        <f>'2.переченьМРАД'!$W$138</f>
        <v>338219.2</v>
      </c>
      <c r="W42" s="108">
        <v>0</v>
      </c>
      <c r="X42" s="108">
        <v>0</v>
      </c>
      <c r="Y42" s="107">
        <f t="shared" ref="Y42" si="48">Z42+AA42+AB42+AC42</f>
        <v>362361</v>
      </c>
      <c r="Z42" s="108">
        <f>'2.переченьМРАД'!$AC$138</f>
        <v>18756.099999999999</v>
      </c>
      <c r="AA42" s="108">
        <f>'2.переченьМРАД'!$AB$138</f>
        <v>343604.9</v>
      </c>
      <c r="AB42" s="108">
        <v>0</v>
      </c>
      <c r="AC42" s="108">
        <v>0</v>
      </c>
      <c r="AD42" s="107">
        <f t="shared" si="28"/>
        <v>1109666</v>
      </c>
    </row>
    <row r="43" spans="1:34" s="100" customFormat="1" ht="297.60000000000002" customHeight="1" outlineLevel="1" x14ac:dyDescent="0.2">
      <c r="A43" s="278">
        <v>21</v>
      </c>
      <c r="B43" s="118" t="s">
        <v>913</v>
      </c>
      <c r="C43" s="118" t="s">
        <v>205</v>
      </c>
      <c r="D43" s="118" t="s">
        <v>238</v>
      </c>
      <c r="E43" s="107">
        <f t="shared" ref="E43" si="49">F43+G43+H43+I43</f>
        <v>0</v>
      </c>
      <c r="F43" s="122">
        <f>'2.переченьМРАД'!$I$386</f>
        <v>0</v>
      </c>
      <c r="G43" s="122">
        <f>'2.переченьМРАД'!$H$386</f>
        <v>0</v>
      </c>
      <c r="H43" s="122">
        <f>'2.переченьМРАД'!G386</f>
        <v>0</v>
      </c>
      <c r="I43" s="121">
        <v>0</v>
      </c>
      <c r="J43" s="107">
        <f t="shared" ref="J43" si="50">K43+L43+M43+N43</f>
        <v>0</v>
      </c>
      <c r="K43" s="122">
        <f>'2.переченьМРАД'!$N$386</f>
        <v>0</v>
      </c>
      <c r="L43" s="122">
        <f>'2.переченьМРАД'!$M$386</f>
        <v>0</v>
      </c>
      <c r="M43" s="122">
        <v>0</v>
      </c>
      <c r="N43" s="121">
        <v>0</v>
      </c>
      <c r="O43" s="107">
        <f t="shared" ref="O43" si="51">P43+Q43+R43+S43</f>
        <v>55111.3</v>
      </c>
      <c r="P43" s="122">
        <f>'2.переченьМРАД'!$S$386</f>
        <v>55111.3</v>
      </c>
      <c r="Q43" s="122">
        <f>'2.переченьМРАД'!$R$386</f>
        <v>0</v>
      </c>
      <c r="R43" s="122">
        <v>0</v>
      </c>
      <c r="S43" s="121">
        <v>0</v>
      </c>
      <c r="T43" s="107">
        <f t="shared" ref="T43" si="52">U43+V43+W43+X43</f>
        <v>33115.19999999999</v>
      </c>
      <c r="U43" s="108">
        <f>'2.переченьМРАД'!$X$386</f>
        <v>33115.19999999999</v>
      </c>
      <c r="V43" s="108">
        <f>'2.переченьМРАД'!$W$386</f>
        <v>0</v>
      </c>
      <c r="W43" s="108">
        <v>0</v>
      </c>
      <c r="X43" s="108">
        <v>0</v>
      </c>
      <c r="Y43" s="107">
        <f t="shared" ref="Y43" si="53">Z43+AA43+AB43+AC43</f>
        <v>42749.299999999988</v>
      </c>
      <c r="Z43" s="108">
        <f>'2.переченьМРАД'!$AC$386</f>
        <v>42749.299999999988</v>
      </c>
      <c r="AA43" s="108">
        <f>'2.переченьМРАД'!$AB$386</f>
        <v>0</v>
      </c>
      <c r="AB43" s="108">
        <v>0</v>
      </c>
      <c r="AC43" s="108">
        <v>0</v>
      </c>
      <c r="AD43" s="107">
        <f t="shared" ref="AD43" si="54">E43+J43+O43+T43+Y43</f>
        <v>130975.79999999999</v>
      </c>
      <c r="AE43" s="99"/>
      <c r="AF43" s="99"/>
      <c r="AG43" s="99"/>
      <c r="AH43" s="99"/>
    </row>
    <row r="44" spans="1:34" s="32" customFormat="1" ht="42" customHeight="1" x14ac:dyDescent="0.2">
      <c r="A44" s="377" t="s">
        <v>247</v>
      </c>
      <c r="B44" s="378"/>
      <c r="C44" s="379"/>
      <c r="D44" s="277"/>
      <c r="E44" s="107">
        <f>SUM(E37:E42)</f>
        <v>778905</v>
      </c>
      <c r="F44" s="107">
        <f t="shared" ref="F44:AC44" si="55">SUM(F37:F42)</f>
        <v>78904.999280000004</v>
      </c>
      <c r="G44" s="107">
        <f t="shared" si="55"/>
        <v>700000.00072000001</v>
      </c>
      <c r="H44" s="107">
        <f t="shared" si="55"/>
        <v>0</v>
      </c>
      <c r="I44" s="107">
        <f t="shared" si="55"/>
        <v>0</v>
      </c>
      <c r="J44" s="107">
        <f t="shared" si="55"/>
        <v>749715.06400000001</v>
      </c>
      <c r="K44" s="107">
        <f t="shared" si="55"/>
        <v>49715.048000000003</v>
      </c>
      <c r="L44" s="107">
        <f t="shared" si="55"/>
        <v>700000.01599999995</v>
      </c>
      <c r="M44" s="107">
        <f t="shared" si="55"/>
        <v>0</v>
      </c>
      <c r="N44" s="107">
        <f t="shared" si="55"/>
        <v>0</v>
      </c>
      <c r="O44" s="107">
        <f>SUM(O37:O43)</f>
        <v>1521054.12</v>
      </c>
      <c r="P44" s="107">
        <f>SUM(P37:P43)</f>
        <v>195738.16655999998</v>
      </c>
      <c r="Q44" s="107">
        <f t="shared" si="55"/>
        <v>1325315.9534400001</v>
      </c>
      <c r="R44" s="107">
        <f t="shared" si="55"/>
        <v>0</v>
      </c>
      <c r="S44" s="107">
        <f t="shared" si="55"/>
        <v>0</v>
      </c>
      <c r="T44" s="107">
        <f>SUM(T37:T43)</f>
        <v>1846091.3099999998</v>
      </c>
      <c r="U44" s="107">
        <f>SUM(U37:U43)</f>
        <v>178478.79167999997</v>
      </c>
      <c r="V44" s="107">
        <f t="shared" si="55"/>
        <v>1667612.5183199998</v>
      </c>
      <c r="W44" s="107">
        <f t="shared" si="55"/>
        <v>0</v>
      </c>
      <c r="X44" s="107">
        <f t="shared" si="55"/>
        <v>0</v>
      </c>
      <c r="Y44" s="107">
        <f>SUM(Y37:Y43)</f>
        <v>2037001.0999999999</v>
      </c>
      <c r="Z44" s="107">
        <f>SUM(Z37:Z43)</f>
        <v>169561.9944</v>
      </c>
      <c r="AA44" s="107">
        <f t="shared" si="55"/>
        <v>1867439.1055999999</v>
      </c>
      <c r="AB44" s="107">
        <f t="shared" si="55"/>
        <v>0</v>
      </c>
      <c r="AC44" s="107">
        <f t="shared" si="55"/>
        <v>0</v>
      </c>
      <c r="AD44" s="107">
        <f>SUM(AD37:AD43)</f>
        <v>6932766.5939999996</v>
      </c>
      <c r="AE44" s="102">
        <f>F44+K44+P44+U44+Z44</f>
        <v>672398.99991999997</v>
      </c>
      <c r="AF44" s="102">
        <f>G44+L44+Q44+V44+AA44</f>
        <v>6260367.5940799993</v>
      </c>
      <c r="AG44" s="102">
        <f t="shared" ref="AG44" si="56">H44+M44+R44+W44+AB44</f>
        <v>0</v>
      </c>
      <c r="AH44" s="102">
        <f t="shared" ref="AH44" si="57">I44+N44+S44+X44+AC44</f>
        <v>0</v>
      </c>
    </row>
    <row r="45" spans="1:34" s="32" customFormat="1" ht="42" customHeight="1" x14ac:dyDescent="0.2">
      <c r="A45" s="381" t="s">
        <v>897</v>
      </c>
      <c r="B45" s="381"/>
      <c r="C45" s="381"/>
      <c r="D45" s="381"/>
      <c r="E45" s="381"/>
      <c r="F45" s="381"/>
      <c r="G45" s="381"/>
      <c r="H45" s="381"/>
      <c r="I45" s="381"/>
      <c r="J45" s="381"/>
      <c r="K45" s="381"/>
      <c r="L45" s="381"/>
      <c r="M45" s="381"/>
      <c r="N45" s="381"/>
      <c r="O45" s="381"/>
      <c r="P45" s="381"/>
      <c r="Q45" s="381"/>
      <c r="R45" s="381"/>
      <c r="S45" s="381"/>
      <c r="T45" s="381"/>
      <c r="U45" s="381"/>
      <c r="V45" s="381"/>
      <c r="W45" s="381"/>
      <c r="X45" s="381"/>
      <c r="Y45" s="381"/>
      <c r="Z45" s="381"/>
      <c r="AA45" s="381"/>
      <c r="AB45" s="381"/>
      <c r="AC45" s="381"/>
      <c r="AD45" s="381"/>
      <c r="AE45" s="39"/>
      <c r="AF45" s="84"/>
      <c r="AG45" s="84"/>
      <c r="AH45" s="84"/>
    </row>
    <row r="46" spans="1:34" s="208" customFormat="1" ht="37.9" customHeight="1" x14ac:dyDescent="0.2">
      <c r="A46" s="382" t="s">
        <v>248</v>
      </c>
      <c r="B46" s="382"/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2"/>
      <c r="S46" s="382"/>
      <c r="T46" s="382"/>
      <c r="U46" s="382"/>
      <c r="V46" s="382"/>
      <c r="W46" s="382"/>
      <c r="X46" s="382"/>
      <c r="Y46" s="382"/>
      <c r="Z46" s="382"/>
      <c r="AA46" s="382"/>
      <c r="AB46" s="382"/>
      <c r="AC46" s="382"/>
      <c r="AD46" s="382"/>
    </row>
    <row r="47" spans="1:34" s="208" customFormat="1" ht="36" customHeight="1" x14ac:dyDescent="0.2">
      <c r="A47" s="380" t="s">
        <v>896</v>
      </c>
      <c r="B47" s="380"/>
      <c r="C47" s="380"/>
      <c r="D47" s="380"/>
      <c r="E47" s="380"/>
      <c r="F47" s="380"/>
      <c r="G47" s="380"/>
      <c r="H47" s="380"/>
      <c r="I47" s="380"/>
      <c r="J47" s="380"/>
      <c r="K47" s="380"/>
      <c r="L47" s="380"/>
      <c r="M47" s="380"/>
      <c r="N47" s="380"/>
      <c r="O47" s="380"/>
      <c r="P47" s="380"/>
      <c r="Q47" s="380"/>
      <c r="R47" s="380"/>
      <c r="S47" s="380"/>
      <c r="T47" s="380"/>
      <c r="U47" s="380"/>
      <c r="V47" s="380"/>
      <c r="W47" s="380"/>
      <c r="X47" s="380"/>
      <c r="Y47" s="380"/>
      <c r="Z47" s="380"/>
      <c r="AA47" s="380"/>
      <c r="AB47" s="380"/>
      <c r="AC47" s="380"/>
      <c r="AD47" s="380"/>
    </row>
    <row r="48" spans="1:34" s="208" customFormat="1" ht="36.6" customHeight="1" outlineLevel="1" x14ac:dyDescent="0.2">
      <c r="A48" s="380" t="s">
        <v>249</v>
      </c>
      <c r="B48" s="380"/>
      <c r="C48" s="380"/>
      <c r="D48" s="380"/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0"/>
      <c r="V48" s="380"/>
      <c r="W48" s="380"/>
      <c r="X48" s="380"/>
      <c r="Y48" s="380"/>
      <c r="Z48" s="380"/>
      <c r="AA48" s="380"/>
      <c r="AB48" s="380"/>
      <c r="AC48" s="380"/>
      <c r="AD48" s="380"/>
    </row>
    <row r="49" spans="1:34" s="208" customFormat="1" ht="181.9" customHeight="1" outlineLevel="1" x14ac:dyDescent="0.2">
      <c r="A49" s="278">
        <v>22</v>
      </c>
      <c r="B49" s="277" t="s">
        <v>822</v>
      </c>
      <c r="C49" s="277" t="s">
        <v>199</v>
      </c>
      <c r="D49" s="118" t="s">
        <v>190</v>
      </c>
      <c r="E49" s="107">
        <f>F49+G49+H49+I49</f>
        <v>355702</v>
      </c>
      <c r="F49" s="108">
        <f>344514+11188</f>
        <v>355702</v>
      </c>
      <c r="G49" s="108">
        <v>0</v>
      </c>
      <c r="H49" s="108">
        <v>0</v>
      </c>
      <c r="I49" s="108">
        <v>0</v>
      </c>
      <c r="J49" s="107">
        <f>K49+L49+M49+N49</f>
        <v>355702</v>
      </c>
      <c r="K49" s="108">
        <f>344514+11188</f>
        <v>355702</v>
      </c>
      <c r="L49" s="108">
        <v>0</v>
      </c>
      <c r="M49" s="108">
        <v>0</v>
      </c>
      <c r="N49" s="108">
        <v>0</v>
      </c>
      <c r="O49" s="107">
        <f>P49+Q49+R49+S49</f>
        <v>369930.1</v>
      </c>
      <c r="P49" s="108">
        <f>ROUND(K49*104%,1)</f>
        <v>369930.1</v>
      </c>
      <c r="Q49" s="108">
        <v>0</v>
      </c>
      <c r="R49" s="108">
        <v>0</v>
      </c>
      <c r="S49" s="108">
        <v>0</v>
      </c>
      <c r="T49" s="107">
        <f>U49+V49+W49+X49</f>
        <v>384727.3</v>
      </c>
      <c r="U49" s="108">
        <f>ROUND(P49*104%,1)</f>
        <v>384727.3</v>
      </c>
      <c r="V49" s="108">
        <v>0</v>
      </c>
      <c r="W49" s="108">
        <v>0</v>
      </c>
      <c r="X49" s="108">
        <v>0</v>
      </c>
      <c r="Y49" s="107">
        <f>Z49+AA49+AB49+AC49</f>
        <v>400116.4</v>
      </c>
      <c r="Z49" s="108">
        <f>ROUND(U49*104%,1)</f>
        <v>400116.4</v>
      </c>
      <c r="AA49" s="108">
        <v>0</v>
      </c>
      <c r="AB49" s="108">
        <v>0</v>
      </c>
      <c r="AC49" s="108">
        <v>0</v>
      </c>
      <c r="AD49" s="107">
        <f>E49+J49+O49+T49+Y49</f>
        <v>1866177.8000000003</v>
      </c>
      <c r="AE49" s="212">
        <f>F49+K49+P49+U49+Z49</f>
        <v>1866177.8000000003</v>
      </c>
      <c r="AF49" s="212">
        <f t="shared" ref="AF49:AF50" si="58">G49+L49+Q49+V49+AA49</f>
        <v>0</v>
      </c>
      <c r="AG49" s="212">
        <f t="shared" ref="AG49:AG50" si="59">H49+M49+R49+W49+AB49</f>
        <v>0</v>
      </c>
      <c r="AH49" s="212">
        <f t="shared" ref="AH49:AH50" si="60">I49+N49+S49+X49+AC49</f>
        <v>0</v>
      </c>
    </row>
    <row r="50" spans="1:34" s="208" customFormat="1" ht="102.6" customHeight="1" outlineLevel="1" x14ac:dyDescent="0.2">
      <c r="A50" s="278">
        <v>23</v>
      </c>
      <c r="B50" s="277" t="s">
        <v>250</v>
      </c>
      <c r="C50" s="277" t="s">
        <v>199</v>
      </c>
      <c r="D50" s="118" t="s">
        <v>190</v>
      </c>
      <c r="E50" s="107">
        <v>846</v>
      </c>
      <c r="F50" s="108">
        <v>846</v>
      </c>
      <c r="G50" s="108">
        <v>0</v>
      </c>
      <c r="H50" s="108">
        <v>0</v>
      </c>
      <c r="I50" s="108">
        <v>0</v>
      </c>
      <c r="J50" s="107">
        <f>K50+L50+M50+N50</f>
        <v>846</v>
      </c>
      <c r="K50" s="108">
        <v>846</v>
      </c>
      <c r="L50" s="108">
        <v>0</v>
      </c>
      <c r="M50" s="108">
        <v>0</v>
      </c>
      <c r="N50" s="108">
        <v>0</v>
      </c>
      <c r="O50" s="107">
        <f>P50+Q50+R50+S50</f>
        <v>879.8</v>
      </c>
      <c r="P50" s="108">
        <f>ROUND(K50*104%,1)</f>
        <v>879.8</v>
      </c>
      <c r="Q50" s="108">
        <v>0</v>
      </c>
      <c r="R50" s="108">
        <v>0</v>
      </c>
      <c r="S50" s="108">
        <v>0</v>
      </c>
      <c r="T50" s="107">
        <f>U50+V50+W50+X50</f>
        <v>915</v>
      </c>
      <c r="U50" s="108">
        <f>ROUND(P50*104%,1)</f>
        <v>915</v>
      </c>
      <c r="V50" s="108">
        <v>0</v>
      </c>
      <c r="W50" s="108">
        <v>0</v>
      </c>
      <c r="X50" s="108">
        <v>0</v>
      </c>
      <c r="Y50" s="107">
        <f>Z50</f>
        <v>951.6</v>
      </c>
      <c r="Z50" s="108">
        <f>ROUND(U50*104%,1)</f>
        <v>951.6</v>
      </c>
      <c r="AA50" s="108">
        <v>0</v>
      </c>
      <c r="AB50" s="108">
        <v>0</v>
      </c>
      <c r="AC50" s="108">
        <v>0</v>
      </c>
      <c r="AD50" s="107">
        <f>E50+J50+O50+T50+Y50</f>
        <v>4438.4000000000005</v>
      </c>
      <c r="AE50" s="212">
        <f>F50+K50+P50+U50+Z50</f>
        <v>4438.4000000000005</v>
      </c>
      <c r="AF50" s="212">
        <f t="shared" si="58"/>
        <v>0</v>
      </c>
      <c r="AG50" s="212">
        <f t="shared" si="59"/>
        <v>0</v>
      </c>
      <c r="AH50" s="212">
        <f t="shared" si="60"/>
        <v>0</v>
      </c>
    </row>
    <row r="51" spans="1:34" s="208" customFormat="1" ht="36.6" customHeight="1" outlineLevel="1" x14ac:dyDescent="0.2">
      <c r="A51" s="380" t="s">
        <v>251</v>
      </c>
      <c r="B51" s="380"/>
      <c r="C51" s="380"/>
      <c r="D51" s="380"/>
      <c r="E51" s="380"/>
      <c r="F51" s="380"/>
      <c r="G51" s="380"/>
      <c r="H51" s="380"/>
      <c r="I51" s="380"/>
      <c r="J51" s="380"/>
      <c r="K51" s="380"/>
      <c r="L51" s="380"/>
      <c r="M51" s="380"/>
      <c r="N51" s="380"/>
      <c r="O51" s="380"/>
      <c r="P51" s="380"/>
      <c r="Q51" s="380"/>
      <c r="R51" s="380"/>
      <c r="S51" s="380"/>
      <c r="T51" s="380"/>
      <c r="U51" s="380"/>
      <c r="V51" s="380"/>
      <c r="W51" s="380"/>
      <c r="X51" s="380"/>
      <c r="Y51" s="380"/>
      <c r="Z51" s="380"/>
      <c r="AA51" s="380"/>
      <c r="AB51" s="380"/>
      <c r="AC51" s="380"/>
      <c r="AD51" s="380"/>
      <c r="AE51" s="214"/>
      <c r="AF51" s="211"/>
      <c r="AG51" s="211"/>
      <c r="AH51" s="211"/>
    </row>
    <row r="52" spans="1:34" s="208" customFormat="1" ht="113.45" customHeight="1" outlineLevel="1" x14ac:dyDescent="0.2">
      <c r="A52" s="278">
        <v>24</v>
      </c>
      <c r="B52" s="277" t="s">
        <v>252</v>
      </c>
      <c r="C52" s="118" t="s">
        <v>199</v>
      </c>
      <c r="D52" s="118" t="s">
        <v>190</v>
      </c>
      <c r="E52" s="107">
        <f>F52+G52+H52+I52</f>
        <v>30000</v>
      </c>
      <c r="F52" s="108">
        <v>30000</v>
      </c>
      <c r="G52" s="108">
        <v>0</v>
      </c>
      <c r="H52" s="108">
        <v>0</v>
      </c>
      <c r="I52" s="108">
        <v>0</v>
      </c>
      <c r="J52" s="107">
        <f>K52+L52+M52+N52</f>
        <v>30000</v>
      </c>
      <c r="K52" s="108">
        <v>30000</v>
      </c>
      <c r="L52" s="108">
        <v>0</v>
      </c>
      <c r="M52" s="108">
        <v>0</v>
      </c>
      <c r="N52" s="108">
        <v>0</v>
      </c>
      <c r="O52" s="107">
        <f>P52+Q52+R52+S52</f>
        <v>31200</v>
      </c>
      <c r="P52" s="108">
        <f>ROUND(K52*104%,1)</f>
        <v>31200</v>
      </c>
      <c r="Q52" s="108">
        <v>0</v>
      </c>
      <c r="R52" s="108">
        <v>0</v>
      </c>
      <c r="S52" s="108">
        <v>0</v>
      </c>
      <c r="T52" s="107">
        <f>U52+V52</f>
        <v>32448</v>
      </c>
      <c r="U52" s="108">
        <f>ROUND(P52*104%,1)</f>
        <v>32448</v>
      </c>
      <c r="V52" s="108">
        <v>0</v>
      </c>
      <c r="W52" s="108">
        <v>0</v>
      </c>
      <c r="X52" s="108">
        <v>0</v>
      </c>
      <c r="Y52" s="107">
        <f>Z52+AA52</f>
        <v>33745.9</v>
      </c>
      <c r="Z52" s="108">
        <f>ROUND(U52*104%,1)</f>
        <v>33745.9</v>
      </c>
      <c r="AA52" s="108">
        <v>0</v>
      </c>
      <c r="AB52" s="108">
        <v>0</v>
      </c>
      <c r="AC52" s="108">
        <v>0</v>
      </c>
      <c r="AD52" s="107">
        <f>E52+J52+O52+T52+Y52</f>
        <v>157393.9</v>
      </c>
      <c r="AE52" s="212">
        <f>F52+K52+P52+U52+Z52</f>
        <v>157393.9</v>
      </c>
      <c r="AF52" s="212">
        <f t="shared" ref="AF52" si="61">G52+L52+Q52+V52+AA52</f>
        <v>0</v>
      </c>
      <c r="AG52" s="212">
        <f t="shared" ref="AG52" si="62">H52+M52+R52+W52+AB52</f>
        <v>0</v>
      </c>
      <c r="AH52" s="212">
        <f t="shared" ref="AH52" si="63">I52+N52+S52+X52+AC52</f>
        <v>0</v>
      </c>
    </row>
    <row r="53" spans="1:34" s="208" customFormat="1" ht="39" customHeight="1" outlineLevel="1" x14ac:dyDescent="0.2">
      <c r="A53" s="377" t="s">
        <v>253</v>
      </c>
      <c r="B53" s="378"/>
      <c r="C53" s="379"/>
      <c r="D53" s="109"/>
      <c r="E53" s="107">
        <f t="shared" ref="E53:AC53" si="64">SUM(E49:E52)</f>
        <v>386548</v>
      </c>
      <c r="F53" s="107">
        <f t="shared" si="64"/>
        <v>386548</v>
      </c>
      <c r="G53" s="107">
        <f t="shared" si="64"/>
        <v>0</v>
      </c>
      <c r="H53" s="107">
        <f t="shared" si="64"/>
        <v>0</v>
      </c>
      <c r="I53" s="107">
        <f t="shared" si="64"/>
        <v>0</v>
      </c>
      <c r="J53" s="107">
        <f t="shared" si="64"/>
        <v>386548</v>
      </c>
      <c r="K53" s="107">
        <f t="shared" si="64"/>
        <v>386548</v>
      </c>
      <c r="L53" s="107">
        <f t="shared" si="64"/>
        <v>0</v>
      </c>
      <c r="M53" s="107">
        <f t="shared" si="64"/>
        <v>0</v>
      </c>
      <c r="N53" s="107">
        <f t="shared" si="64"/>
        <v>0</v>
      </c>
      <c r="O53" s="107">
        <f t="shared" si="64"/>
        <v>402009.89999999997</v>
      </c>
      <c r="P53" s="107">
        <f t="shared" si="64"/>
        <v>402009.89999999997</v>
      </c>
      <c r="Q53" s="107">
        <f t="shared" si="64"/>
        <v>0</v>
      </c>
      <c r="R53" s="107">
        <f t="shared" si="64"/>
        <v>0</v>
      </c>
      <c r="S53" s="107">
        <f t="shared" si="64"/>
        <v>0</v>
      </c>
      <c r="T53" s="107">
        <f t="shared" si="64"/>
        <v>418090.3</v>
      </c>
      <c r="U53" s="107">
        <f t="shared" si="64"/>
        <v>418090.3</v>
      </c>
      <c r="V53" s="107">
        <f t="shared" si="64"/>
        <v>0</v>
      </c>
      <c r="W53" s="107">
        <f t="shared" si="64"/>
        <v>0</v>
      </c>
      <c r="X53" s="107">
        <f t="shared" si="64"/>
        <v>0</v>
      </c>
      <c r="Y53" s="107">
        <f t="shared" si="64"/>
        <v>434813.9</v>
      </c>
      <c r="Z53" s="107">
        <f t="shared" si="64"/>
        <v>434813.9</v>
      </c>
      <c r="AA53" s="107">
        <f t="shared" si="64"/>
        <v>0</v>
      </c>
      <c r="AB53" s="107">
        <f t="shared" si="64"/>
        <v>0</v>
      </c>
      <c r="AC53" s="107">
        <f t="shared" si="64"/>
        <v>0</v>
      </c>
      <c r="AD53" s="107">
        <f>SUM(AD49:AD52)</f>
        <v>2028010.1</v>
      </c>
      <c r="AE53" s="212">
        <f>F53+K53+P53+U53+Z53</f>
        <v>2028010.1</v>
      </c>
      <c r="AF53" s="212">
        <f t="shared" ref="AF53" si="65">G53+L53+Q53+V53+AA53</f>
        <v>0</v>
      </c>
      <c r="AG53" s="212">
        <f t="shared" ref="AG53" si="66">H53+M53+R53+W53+AB53</f>
        <v>0</v>
      </c>
      <c r="AH53" s="212">
        <f t="shared" ref="AH53" si="67">I53+N53+S53+X53+AC53</f>
        <v>0</v>
      </c>
    </row>
    <row r="54" spans="1:34" s="99" customFormat="1" ht="39" customHeight="1" outlineLevel="1" x14ac:dyDescent="0.2">
      <c r="A54" s="381" t="s">
        <v>730</v>
      </c>
      <c r="B54" s="381"/>
      <c r="C54" s="381"/>
      <c r="D54" s="381"/>
      <c r="E54" s="381"/>
      <c r="F54" s="381"/>
      <c r="G54" s="381"/>
      <c r="H54" s="381"/>
      <c r="I54" s="381"/>
      <c r="J54" s="381"/>
      <c r="K54" s="381"/>
      <c r="L54" s="381"/>
      <c r="M54" s="381"/>
      <c r="N54" s="381"/>
      <c r="O54" s="381"/>
      <c r="P54" s="381"/>
      <c r="Q54" s="381"/>
      <c r="R54" s="381"/>
      <c r="S54" s="381"/>
      <c r="T54" s="381"/>
      <c r="U54" s="381"/>
      <c r="V54" s="381"/>
      <c r="W54" s="381"/>
      <c r="X54" s="381"/>
      <c r="Y54" s="381"/>
      <c r="Z54" s="381"/>
      <c r="AA54" s="381"/>
      <c r="AB54" s="381"/>
      <c r="AC54" s="381"/>
      <c r="AD54" s="381"/>
      <c r="AE54" s="88"/>
      <c r="AF54" s="85"/>
      <c r="AG54" s="85"/>
      <c r="AH54" s="85"/>
    </row>
    <row r="55" spans="1:34" s="209" customFormat="1" ht="38.450000000000003" customHeight="1" outlineLevel="1" x14ac:dyDescent="0.2">
      <c r="A55" s="382" t="s">
        <v>819</v>
      </c>
      <c r="B55" s="382"/>
      <c r="C55" s="382"/>
      <c r="D55" s="382"/>
      <c r="E55" s="382"/>
      <c r="F55" s="382"/>
      <c r="G55" s="382"/>
      <c r="H55" s="382"/>
      <c r="I55" s="382"/>
      <c r="J55" s="382"/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208"/>
      <c r="AF55" s="208"/>
      <c r="AG55" s="208"/>
      <c r="AH55" s="208"/>
    </row>
    <row r="56" spans="1:34" s="208" customFormat="1" ht="34.15" customHeight="1" x14ac:dyDescent="0.2">
      <c r="A56" s="380" t="s">
        <v>194</v>
      </c>
      <c r="B56" s="380"/>
      <c r="C56" s="380"/>
      <c r="D56" s="380"/>
      <c r="E56" s="380"/>
      <c r="F56" s="380"/>
      <c r="G56" s="380"/>
      <c r="H56" s="380"/>
      <c r="I56" s="380"/>
      <c r="J56" s="380"/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210"/>
      <c r="AF56" s="210"/>
      <c r="AG56" s="210"/>
      <c r="AH56" s="210"/>
    </row>
    <row r="57" spans="1:34" s="208" customFormat="1" ht="42" customHeight="1" x14ac:dyDescent="0.2">
      <c r="A57" s="380" t="s">
        <v>193</v>
      </c>
      <c r="B57" s="380"/>
      <c r="C57" s="380"/>
      <c r="D57" s="380"/>
      <c r="E57" s="380"/>
      <c r="F57" s="380"/>
      <c r="G57" s="380"/>
      <c r="H57" s="380"/>
      <c r="I57" s="380"/>
      <c r="J57" s="380"/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210"/>
      <c r="AF57" s="210"/>
      <c r="AG57" s="210"/>
      <c r="AH57" s="210"/>
    </row>
    <row r="58" spans="1:34" s="208" customFormat="1" ht="114" customHeight="1" x14ac:dyDescent="0.2">
      <c r="A58" s="278">
        <v>25</v>
      </c>
      <c r="B58" s="118" t="s">
        <v>192</v>
      </c>
      <c r="C58" s="118" t="s">
        <v>191</v>
      </c>
      <c r="D58" s="118" t="s">
        <v>190</v>
      </c>
      <c r="E58" s="107">
        <f>F58+G58+H58+I58</f>
        <v>112</v>
      </c>
      <c r="F58" s="108">
        <v>0</v>
      </c>
      <c r="G58" s="108">
        <v>0</v>
      </c>
      <c r="H58" s="108">
        <v>0</v>
      </c>
      <c r="I58" s="108">
        <v>112</v>
      </c>
      <c r="J58" s="107">
        <f>K58+L58+M58+N58</f>
        <v>112</v>
      </c>
      <c r="K58" s="108">
        <v>0</v>
      </c>
      <c r="L58" s="108">
        <v>0</v>
      </c>
      <c r="M58" s="108">
        <v>0</v>
      </c>
      <c r="N58" s="108">
        <v>112</v>
      </c>
      <c r="O58" s="107">
        <f>P58+Q58+R58+S58</f>
        <v>112</v>
      </c>
      <c r="P58" s="108">
        <v>0</v>
      </c>
      <c r="Q58" s="108">
        <v>0</v>
      </c>
      <c r="R58" s="108">
        <v>0</v>
      </c>
      <c r="S58" s="108">
        <v>112</v>
      </c>
      <c r="T58" s="107">
        <f>U58+V58+W58+X58</f>
        <v>112</v>
      </c>
      <c r="U58" s="108">
        <v>0</v>
      </c>
      <c r="V58" s="108">
        <v>0</v>
      </c>
      <c r="W58" s="108">
        <v>0</v>
      </c>
      <c r="X58" s="108">
        <v>112</v>
      </c>
      <c r="Y58" s="107">
        <f>Z58+AA58+AB58+AC58</f>
        <v>112</v>
      </c>
      <c r="Z58" s="108">
        <v>0</v>
      </c>
      <c r="AA58" s="108">
        <v>0</v>
      </c>
      <c r="AB58" s="108">
        <v>0</v>
      </c>
      <c r="AC58" s="108">
        <v>112</v>
      </c>
      <c r="AD58" s="107">
        <f>E58+J58+O58+T58+Y58</f>
        <v>560</v>
      </c>
    </row>
    <row r="59" spans="1:34" s="208" customFormat="1" ht="42" customHeight="1" x14ac:dyDescent="0.2">
      <c r="A59" s="386" t="s">
        <v>838</v>
      </c>
      <c r="B59" s="387"/>
      <c r="C59" s="387"/>
      <c r="D59" s="387"/>
      <c r="E59" s="387"/>
      <c r="F59" s="387"/>
      <c r="G59" s="387"/>
      <c r="H59" s="387"/>
      <c r="I59" s="387"/>
      <c r="J59" s="387"/>
      <c r="K59" s="387"/>
      <c r="L59" s="387"/>
      <c r="M59" s="387"/>
      <c r="N59" s="387"/>
      <c r="O59" s="387"/>
      <c r="P59" s="387"/>
      <c r="Q59" s="387"/>
      <c r="R59" s="387"/>
      <c r="S59" s="387"/>
      <c r="T59" s="387"/>
      <c r="U59" s="387"/>
      <c r="V59" s="387"/>
      <c r="W59" s="387"/>
      <c r="X59" s="387"/>
      <c r="Y59" s="387"/>
      <c r="Z59" s="387"/>
      <c r="AA59" s="387"/>
      <c r="AB59" s="387"/>
      <c r="AC59" s="387"/>
      <c r="AD59" s="388"/>
    </row>
    <row r="60" spans="1:34" s="211" customFormat="1" ht="151.15" customHeight="1" x14ac:dyDescent="0.2">
      <c r="A60" s="278">
        <v>26</v>
      </c>
      <c r="B60" s="225" t="s">
        <v>817</v>
      </c>
      <c r="C60" s="118" t="s">
        <v>191</v>
      </c>
      <c r="D60" s="118" t="s">
        <v>190</v>
      </c>
      <c r="E60" s="107">
        <f>F60+G60+H60+I60</f>
        <v>26509</v>
      </c>
      <c r="F60" s="108">
        <v>26509</v>
      </c>
      <c r="G60" s="108">
        <v>0</v>
      </c>
      <c r="H60" s="108">
        <v>0</v>
      </c>
      <c r="I60" s="108">
        <v>0</v>
      </c>
      <c r="J60" s="107">
        <f>K60+L60+M60+N60</f>
        <v>26509</v>
      </c>
      <c r="K60" s="108">
        <v>26509</v>
      </c>
      <c r="L60" s="108">
        <v>0</v>
      </c>
      <c r="M60" s="108">
        <v>0</v>
      </c>
      <c r="N60" s="108">
        <v>0</v>
      </c>
      <c r="O60" s="107">
        <f>P60+Q60+R60+S60</f>
        <v>26509</v>
      </c>
      <c r="P60" s="108">
        <v>26509</v>
      </c>
      <c r="Q60" s="108">
        <v>0</v>
      </c>
      <c r="R60" s="108">
        <v>0</v>
      </c>
      <c r="S60" s="108">
        <v>0</v>
      </c>
      <c r="T60" s="107">
        <f>U60+V60+W60+X60</f>
        <v>26509</v>
      </c>
      <c r="U60" s="108">
        <v>26509</v>
      </c>
      <c r="V60" s="108">
        <v>0</v>
      </c>
      <c r="W60" s="108">
        <v>0</v>
      </c>
      <c r="X60" s="108">
        <v>0</v>
      </c>
      <c r="Y60" s="107">
        <f>Z60+AA60+AB60+AC60</f>
        <v>26509</v>
      </c>
      <c r="Z60" s="108">
        <v>26509</v>
      </c>
      <c r="AA60" s="108">
        <v>0</v>
      </c>
      <c r="AB60" s="108">
        <v>0</v>
      </c>
      <c r="AC60" s="108">
        <v>0</v>
      </c>
      <c r="AD60" s="107">
        <f>E60+J60+O60+T60+Y60</f>
        <v>132545</v>
      </c>
      <c r="AE60" s="208"/>
      <c r="AF60" s="208"/>
      <c r="AG60" s="208"/>
      <c r="AH60" s="208"/>
    </row>
    <row r="61" spans="1:34" s="211" customFormat="1" ht="136.9" customHeight="1" x14ac:dyDescent="0.2">
      <c r="A61" s="278">
        <v>27</v>
      </c>
      <c r="B61" s="226" t="s">
        <v>818</v>
      </c>
      <c r="C61" s="118" t="s">
        <v>191</v>
      </c>
      <c r="D61" s="118" t="s">
        <v>190</v>
      </c>
      <c r="E61" s="107">
        <f>F61+G61+H61+I61</f>
        <v>214652</v>
      </c>
      <c r="F61" s="108">
        <v>214652</v>
      </c>
      <c r="G61" s="108">
        <v>0</v>
      </c>
      <c r="H61" s="108">
        <v>0</v>
      </c>
      <c r="I61" s="108">
        <v>0</v>
      </c>
      <c r="J61" s="107">
        <f>K61+L61+M61+N61</f>
        <v>214652</v>
      </c>
      <c r="K61" s="108">
        <v>214652</v>
      </c>
      <c r="L61" s="108">
        <v>0</v>
      </c>
      <c r="M61" s="108">
        <v>0</v>
      </c>
      <c r="N61" s="108">
        <v>0</v>
      </c>
      <c r="O61" s="107">
        <f>P61+Q61+R61+S61</f>
        <v>214652</v>
      </c>
      <c r="P61" s="108">
        <v>214652</v>
      </c>
      <c r="Q61" s="108">
        <v>0</v>
      </c>
      <c r="R61" s="108">
        <v>0</v>
      </c>
      <c r="S61" s="108">
        <v>0</v>
      </c>
      <c r="T61" s="107">
        <f>U61+V61+W61+X61</f>
        <v>214652</v>
      </c>
      <c r="U61" s="108">
        <v>214652</v>
      </c>
      <c r="V61" s="108">
        <v>0</v>
      </c>
      <c r="W61" s="108">
        <v>0</v>
      </c>
      <c r="X61" s="108">
        <v>0</v>
      </c>
      <c r="Y61" s="107">
        <f>Z61+AA61+AB61+AC61</f>
        <v>214652</v>
      </c>
      <c r="Z61" s="108">
        <v>214652</v>
      </c>
      <c r="AA61" s="108">
        <v>0</v>
      </c>
      <c r="AB61" s="108">
        <v>0</v>
      </c>
      <c r="AC61" s="108">
        <v>0</v>
      </c>
      <c r="AD61" s="107">
        <f>E61+J61+O61+T61+Y61</f>
        <v>1073260</v>
      </c>
      <c r="AE61" s="208"/>
      <c r="AF61" s="208"/>
      <c r="AG61" s="208"/>
      <c r="AH61" s="208"/>
    </row>
    <row r="62" spans="1:34" s="213" customFormat="1" ht="42" customHeight="1" x14ac:dyDescent="0.25">
      <c r="A62" s="377" t="s">
        <v>189</v>
      </c>
      <c r="B62" s="378"/>
      <c r="C62" s="379"/>
      <c r="D62" s="86"/>
      <c r="E62" s="107">
        <f t="shared" ref="E62:AD62" si="68">SUM(E58:E61)</f>
        <v>241273</v>
      </c>
      <c r="F62" s="107">
        <f t="shared" si="68"/>
        <v>241161</v>
      </c>
      <c r="G62" s="107">
        <f t="shared" si="68"/>
        <v>0</v>
      </c>
      <c r="H62" s="107">
        <f t="shared" si="68"/>
        <v>0</v>
      </c>
      <c r="I62" s="107">
        <f t="shared" si="68"/>
        <v>112</v>
      </c>
      <c r="J62" s="107">
        <f t="shared" si="68"/>
        <v>241273</v>
      </c>
      <c r="K62" s="107">
        <f t="shared" si="68"/>
        <v>241161</v>
      </c>
      <c r="L62" s="107">
        <f t="shared" si="68"/>
        <v>0</v>
      </c>
      <c r="M62" s="107">
        <f t="shared" si="68"/>
        <v>0</v>
      </c>
      <c r="N62" s="107">
        <f t="shared" si="68"/>
        <v>112</v>
      </c>
      <c r="O62" s="107">
        <f t="shared" si="68"/>
        <v>241273</v>
      </c>
      <c r="P62" s="107">
        <f t="shared" si="68"/>
        <v>241161</v>
      </c>
      <c r="Q62" s="107">
        <f t="shared" si="68"/>
        <v>0</v>
      </c>
      <c r="R62" s="107">
        <f t="shared" si="68"/>
        <v>0</v>
      </c>
      <c r="S62" s="107">
        <f t="shared" si="68"/>
        <v>112</v>
      </c>
      <c r="T62" s="107">
        <f t="shared" si="68"/>
        <v>241273</v>
      </c>
      <c r="U62" s="107">
        <f t="shared" si="68"/>
        <v>241161</v>
      </c>
      <c r="V62" s="107">
        <f t="shared" si="68"/>
        <v>0</v>
      </c>
      <c r="W62" s="107">
        <f t="shared" si="68"/>
        <v>0</v>
      </c>
      <c r="X62" s="107">
        <f t="shared" si="68"/>
        <v>112</v>
      </c>
      <c r="Y62" s="107">
        <f t="shared" si="68"/>
        <v>241273</v>
      </c>
      <c r="Z62" s="107">
        <f t="shared" si="68"/>
        <v>241161</v>
      </c>
      <c r="AA62" s="107">
        <f t="shared" si="68"/>
        <v>0</v>
      </c>
      <c r="AB62" s="107">
        <f t="shared" si="68"/>
        <v>0</v>
      </c>
      <c r="AC62" s="107">
        <f t="shared" si="68"/>
        <v>112</v>
      </c>
      <c r="AD62" s="107">
        <f t="shared" si="68"/>
        <v>1206365</v>
      </c>
      <c r="AE62" s="212">
        <f>F62+K62+P62+U62+Z62</f>
        <v>1205805</v>
      </c>
      <c r="AF62" s="212">
        <f t="shared" ref="AF62" si="69">G62+L62+Q62+V62+AA62</f>
        <v>0</v>
      </c>
      <c r="AG62" s="212">
        <f t="shared" ref="AG62" si="70">H62+M62+R62+W62+AB62</f>
        <v>0</v>
      </c>
      <c r="AH62" s="212">
        <f t="shared" ref="AH62" si="71">I62+N62+S62+X62+AC62</f>
        <v>560</v>
      </c>
    </row>
    <row r="63" spans="1:34" s="106" customFormat="1" ht="42" customHeight="1" x14ac:dyDescent="0.25">
      <c r="A63" s="377" t="s">
        <v>842</v>
      </c>
      <c r="B63" s="378"/>
      <c r="C63" s="379"/>
      <c r="D63" s="109"/>
      <c r="E63" s="107">
        <f t="shared" ref="E63:AH63" si="72">E32+E62+E44+E53</f>
        <v>1582198</v>
      </c>
      <c r="F63" s="107">
        <f t="shared" si="72"/>
        <v>882085.99927999999</v>
      </c>
      <c r="G63" s="107">
        <f t="shared" si="72"/>
        <v>700000.00072000001</v>
      </c>
      <c r="H63" s="107">
        <f t="shared" si="72"/>
        <v>0</v>
      </c>
      <c r="I63" s="107">
        <f t="shared" si="72"/>
        <v>112</v>
      </c>
      <c r="J63" s="107">
        <f t="shared" si="72"/>
        <v>1478029.064</v>
      </c>
      <c r="K63" s="107">
        <f t="shared" si="72"/>
        <v>777917.04799999995</v>
      </c>
      <c r="L63" s="107">
        <f t="shared" si="72"/>
        <v>700000.01599999995</v>
      </c>
      <c r="M63" s="107">
        <f t="shared" si="72"/>
        <v>0</v>
      </c>
      <c r="N63" s="107">
        <f t="shared" si="72"/>
        <v>112</v>
      </c>
      <c r="O63" s="107">
        <f t="shared" si="72"/>
        <v>2230525.8200000003</v>
      </c>
      <c r="P63" s="107">
        <f t="shared" si="72"/>
        <v>905097.86655999999</v>
      </c>
      <c r="Q63" s="107">
        <f t="shared" si="72"/>
        <v>1325315.9534400001</v>
      </c>
      <c r="R63" s="107">
        <f t="shared" si="72"/>
        <v>0</v>
      </c>
      <c r="S63" s="107">
        <f t="shared" si="72"/>
        <v>112</v>
      </c>
      <c r="T63" s="107">
        <f t="shared" si="72"/>
        <v>2571643.4099999997</v>
      </c>
      <c r="U63" s="107">
        <f t="shared" si="72"/>
        <v>903918.89167999988</v>
      </c>
      <c r="V63" s="107">
        <f t="shared" si="72"/>
        <v>1667612.5183199998</v>
      </c>
      <c r="W63" s="107">
        <f t="shared" si="72"/>
        <v>0</v>
      </c>
      <c r="X63" s="107">
        <f t="shared" si="72"/>
        <v>112</v>
      </c>
      <c r="Y63" s="107">
        <f t="shared" si="72"/>
        <v>2778383.9999999995</v>
      </c>
      <c r="Z63" s="107">
        <f t="shared" si="72"/>
        <v>910832.89439999999</v>
      </c>
      <c r="AA63" s="107">
        <f t="shared" si="72"/>
        <v>1867439.1055999999</v>
      </c>
      <c r="AB63" s="107">
        <f t="shared" si="72"/>
        <v>0</v>
      </c>
      <c r="AC63" s="107">
        <f t="shared" si="72"/>
        <v>112</v>
      </c>
      <c r="AD63" s="107">
        <f t="shared" si="72"/>
        <v>10640780.294</v>
      </c>
      <c r="AE63" s="102">
        <f t="shared" si="72"/>
        <v>4379852.6999200005</v>
      </c>
      <c r="AF63" s="102">
        <f t="shared" si="72"/>
        <v>6260367.5940799993</v>
      </c>
      <c r="AG63" s="102">
        <f t="shared" si="72"/>
        <v>0</v>
      </c>
      <c r="AH63" s="102">
        <f t="shared" si="72"/>
        <v>560</v>
      </c>
    </row>
    <row r="64" spans="1:34" s="84" customFormat="1" ht="42" customHeight="1" x14ac:dyDescent="0.2">
      <c r="A64" s="6"/>
      <c r="B64" s="110"/>
      <c r="C64" s="111"/>
      <c r="D64" s="6"/>
      <c r="E64" s="2"/>
      <c r="F64" s="6"/>
      <c r="G64" s="6"/>
      <c r="H64" s="6"/>
      <c r="I64" s="6"/>
      <c r="J64" s="2"/>
      <c r="K64" s="6"/>
      <c r="L64" s="6"/>
      <c r="M64" s="6"/>
      <c r="N64" s="6"/>
      <c r="O64" s="2"/>
      <c r="P64" s="6"/>
      <c r="Q64" s="6"/>
      <c r="R64" s="6"/>
      <c r="S64" s="6"/>
      <c r="T64" s="2"/>
      <c r="U64" s="6"/>
      <c r="V64" s="6"/>
      <c r="W64" s="6"/>
      <c r="X64" s="6"/>
      <c r="Y64" s="2"/>
      <c r="Z64" s="6"/>
      <c r="AA64" s="6"/>
      <c r="AB64" s="6"/>
      <c r="AC64" s="6"/>
      <c r="AD64" s="205"/>
      <c r="AE64" s="39"/>
    </row>
    <row r="65" spans="1:31" s="84" customFormat="1" ht="42" customHeight="1" x14ac:dyDescent="0.2">
      <c r="A65" s="6"/>
      <c r="B65" s="110"/>
      <c r="C65" s="111"/>
      <c r="D65" s="6"/>
      <c r="E65" s="2"/>
      <c r="F65" s="6"/>
      <c r="G65" s="6"/>
      <c r="H65" s="6"/>
      <c r="I65" s="6"/>
      <c r="J65" s="2"/>
      <c r="K65" s="6"/>
      <c r="L65" s="6"/>
      <c r="M65" s="6"/>
      <c r="N65" s="6"/>
      <c r="O65" s="206"/>
      <c r="P65" s="207"/>
      <c r="Q65" s="207"/>
      <c r="R65" s="207"/>
      <c r="S65" s="207"/>
      <c r="T65" s="2"/>
      <c r="U65" s="6"/>
      <c r="V65" s="6"/>
      <c r="W65" s="6"/>
      <c r="X65" s="6"/>
      <c r="Y65" s="2"/>
      <c r="Z65" s="6"/>
      <c r="AA65" s="6"/>
      <c r="AB65" s="6"/>
      <c r="AC65" s="6"/>
      <c r="AD65" s="205"/>
      <c r="AE65" s="39"/>
    </row>
    <row r="66" spans="1:31" s="84" customFormat="1" ht="42" customHeight="1" x14ac:dyDescent="0.2">
      <c r="A66" s="6"/>
      <c r="B66" s="110"/>
      <c r="C66" s="111"/>
      <c r="D66" s="6"/>
      <c r="E66" s="2"/>
      <c r="F66" s="6"/>
      <c r="G66" s="6"/>
      <c r="H66" s="6"/>
      <c r="I66" s="6"/>
      <c r="J66" s="2"/>
      <c r="K66" s="6"/>
      <c r="L66" s="6"/>
      <c r="M66" s="6"/>
      <c r="N66" s="6"/>
      <c r="O66" s="2"/>
      <c r="P66" s="6"/>
      <c r="Q66" s="6"/>
      <c r="R66" s="6"/>
      <c r="S66" s="6"/>
      <c r="T66" s="2"/>
      <c r="U66" s="6"/>
      <c r="V66" s="6"/>
      <c r="W66" s="6"/>
      <c r="X66" s="6"/>
      <c r="Y66" s="2"/>
      <c r="Z66" s="6"/>
      <c r="AA66" s="6"/>
      <c r="AB66" s="6"/>
      <c r="AC66" s="6"/>
      <c r="AD66" s="205"/>
      <c r="AE66" s="39"/>
    </row>
    <row r="67" spans="1:31" s="84" customFormat="1" ht="42" customHeight="1" x14ac:dyDescent="0.2">
      <c r="A67" s="6"/>
      <c r="B67" s="110"/>
      <c r="C67" s="111"/>
      <c r="D67" s="6"/>
      <c r="E67" s="2"/>
      <c r="F67" s="6"/>
      <c r="G67" s="6"/>
      <c r="H67" s="6"/>
      <c r="I67" s="6"/>
      <c r="J67" s="2"/>
      <c r="K67" s="6"/>
      <c r="L67" s="6"/>
      <c r="M67" s="6"/>
      <c r="N67" s="6"/>
      <c r="O67" s="2"/>
      <c r="P67" s="6"/>
      <c r="Q67" s="6"/>
      <c r="R67" s="6"/>
      <c r="S67" s="6"/>
      <c r="T67" s="2"/>
      <c r="U67" s="6"/>
      <c r="V67" s="6"/>
      <c r="W67" s="6"/>
      <c r="X67" s="6"/>
      <c r="Y67" s="2"/>
      <c r="Z67" s="6"/>
      <c r="AA67" s="6"/>
      <c r="AB67" s="6"/>
      <c r="AC67" s="6"/>
      <c r="AD67" s="205"/>
      <c r="AE67" s="39"/>
    </row>
    <row r="68" spans="1:31" s="84" customFormat="1" ht="42" customHeight="1" x14ac:dyDescent="0.2">
      <c r="A68" s="6"/>
      <c r="B68" s="110"/>
      <c r="C68" s="111"/>
      <c r="D68" s="6"/>
      <c r="E68" s="2"/>
      <c r="F68" s="6"/>
      <c r="G68" s="6"/>
      <c r="H68" s="6"/>
      <c r="I68" s="6"/>
      <c r="J68" s="2"/>
      <c r="K68" s="6"/>
      <c r="L68" s="6"/>
      <c r="M68" s="6"/>
      <c r="N68" s="6"/>
      <c r="O68" s="2"/>
      <c r="P68" s="6"/>
      <c r="Q68" s="6"/>
      <c r="R68" s="6"/>
      <c r="S68" s="6"/>
      <c r="T68" s="2"/>
      <c r="U68" s="6"/>
      <c r="V68" s="6"/>
      <c r="W68" s="6"/>
      <c r="X68" s="6"/>
      <c r="Y68" s="2"/>
      <c r="Z68" s="6"/>
      <c r="AA68" s="6"/>
      <c r="AB68" s="6"/>
      <c r="AC68" s="6"/>
      <c r="AD68" s="205"/>
      <c r="AE68" s="39"/>
    </row>
    <row r="69" spans="1:31" s="84" customFormat="1" ht="42" customHeight="1" x14ac:dyDescent="0.2">
      <c r="A69" s="6"/>
      <c r="B69" s="110"/>
      <c r="C69" s="111"/>
      <c r="D69" s="6"/>
      <c r="E69" s="2"/>
      <c r="F69" s="6"/>
      <c r="G69" s="6"/>
      <c r="H69" s="6"/>
      <c r="I69" s="6"/>
      <c r="J69" s="2"/>
      <c r="K69" s="6"/>
      <c r="L69" s="6"/>
      <c r="M69" s="6"/>
      <c r="N69" s="6"/>
      <c r="O69" s="2"/>
      <c r="P69" s="6"/>
      <c r="Q69" s="6"/>
      <c r="R69" s="6"/>
      <c r="S69" s="6"/>
      <c r="T69" s="2"/>
      <c r="U69" s="6"/>
      <c r="V69" s="6"/>
      <c r="W69" s="6"/>
      <c r="X69" s="6"/>
      <c r="Y69" s="2"/>
      <c r="Z69" s="6"/>
      <c r="AA69" s="6"/>
      <c r="AB69" s="6"/>
      <c r="AC69" s="6"/>
      <c r="AD69" s="205"/>
      <c r="AE69" s="39"/>
    </row>
    <row r="70" spans="1:31" s="84" customFormat="1" ht="42" customHeight="1" x14ac:dyDescent="0.2">
      <c r="A70" s="6"/>
      <c r="B70" s="110"/>
      <c r="C70" s="111"/>
      <c r="D70" s="6"/>
      <c r="E70" s="2"/>
      <c r="F70" s="6"/>
      <c r="G70" s="6"/>
      <c r="H70" s="6"/>
      <c r="I70" s="6"/>
      <c r="J70" s="2"/>
      <c r="K70" s="6"/>
      <c r="L70" s="6"/>
      <c r="M70" s="6"/>
      <c r="N70" s="6"/>
      <c r="O70" s="2"/>
      <c r="P70" s="6"/>
      <c r="Q70" s="6"/>
      <c r="R70" s="6"/>
      <c r="S70" s="6"/>
      <c r="T70" s="2"/>
      <c r="U70" s="6"/>
      <c r="V70" s="6"/>
      <c r="W70" s="6"/>
      <c r="X70" s="6"/>
      <c r="Y70" s="2"/>
      <c r="Z70" s="6"/>
      <c r="AA70" s="6"/>
      <c r="AB70" s="6"/>
      <c r="AC70" s="6"/>
      <c r="AD70" s="205"/>
      <c r="AE70" s="39"/>
    </row>
    <row r="71" spans="1:31" s="84" customFormat="1" ht="42" customHeight="1" x14ac:dyDescent="0.2">
      <c r="A71" s="6"/>
      <c r="B71" s="110"/>
      <c r="C71" s="111"/>
      <c r="D71" s="6"/>
      <c r="E71" s="2"/>
      <c r="F71" s="6"/>
      <c r="G71" s="6"/>
      <c r="H71" s="6"/>
      <c r="I71" s="6"/>
      <c r="J71" s="2"/>
      <c r="K71" s="6"/>
      <c r="L71" s="6"/>
      <c r="M71" s="6"/>
      <c r="N71" s="6"/>
      <c r="O71" s="2"/>
      <c r="P71" s="6"/>
      <c r="Q71" s="6"/>
      <c r="R71" s="6"/>
      <c r="S71" s="6"/>
      <c r="T71" s="2"/>
      <c r="U71" s="6"/>
      <c r="V71" s="6"/>
      <c r="W71" s="6"/>
      <c r="X71" s="6"/>
      <c r="Y71" s="2"/>
      <c r="Z71" s="6"/>
      <c r="AA71" s="6"/>
      <c r="AB71" s="6"/>
      <c r="AC71" s="6"/>
      <c r="AD71" s="205"/>
      <c r="AE71" s="39"/>
    </row>
    <row r="72" spans="1:31" s="84" customFormat="1" ht="42" customHeight="1" x14ac:dyDescent="0.2">
      <c r="A72" s="6"/>
      <c r="B72" s="110"/>
      <c r="C72" s="111"/>
      <c r="D72" s="6"/>
      <c r="E72" s="2"/>
      <c r="F72" s="6"/>
      <c r="G72" s="6"/>
      <c r="H72" s="6"/>
      <c r="I72" s="6"/>
      <c r="J72" s="2"/>
      <c r="K72" s="6"/>
      <c r="L72" s="6"/>
      <c r="M72" s="6"/>
      <c r="N72" s="6"/>
      <c r="O72" s="2"/>
      <c r="P72" s="6"/>
      <c r="Q72" s="6"/>
      <c r="R72" s="6"/>
      <c r="S72" s="6"/>
      <c r="T72" s="2"/>
      <c r="U72" s="6"/>
      <c r="V72" s="6"/>
      <c r="W72" s="6"/>
      <c r="X72" s="6"/>
      <c r="Y72" s="2"/>
      <c r="Z72" s="6"/>
      <c r="AA72" s="6"/>
      <c r="AB72" s="6"/>
      <c r="AC72" s="6"/>
      <c r="AD72" s="205"/>
      <c r="AE72" s="39"/>
    </row>
    <row r="73" spans="1:31" s="84" customFormat="1" ht="42" customHeight="1" x14ac:dyDescent="0.2">
      <c r="A73" s="6"/>
      <c r="B73" s="110"/>
      <c r="C73" s="111"/>
      <c r="D73" s="6"/>
      <c r="E73" s="2"/>
      <c r="F73" s="6"/>
      <c r="G73" s="6"/>
      <c r="H73" s="6"/>
      <c r="I73" s="6"/>
      <c r="J73" s="2"/>
      <c r="K73" s="6"/>
      <c r="L73" s="6"/>
      <c r="M73" s="6"/>
      <c r="N73" s="6"/>
      <c r="O73" s="2"/>
      <c r="P73" s="6"/>
      <c r="Q73" s="6"/>
      <c r="R73" s="6"/>
      <c r="S73" s="6"/>
      <c r="T73" s="2"/>
      <c r="U73" s="6"/>
      <c r="V73" s="6"/>
      <c r="W73" s="6"/>
      <c r="X73" s="6"/>
      <c r="Y73" s="2"/>
      <c r="Z73" s="6"/>
      <c r="AA73" s="6"/>
      <c r="AB73" s="6"/>
      <c r="AC73" s="6"/>
      <c r="AD73" s="205"/>
      <c r="AE73" s="39"/>
    </row>
    <row r="74" spans="1:31" s="84" customFormat="1" ht="42" customHeight="1" x14ac:dyDescent="0.2">
      <c r="A74" s="6"/>
      <c r="B74" s="110"/>
      <c r="C74" s="111"/>
      <c r="D74" s="6"/>
      <c r="E74" s="2"/>
      <c r="F74" s="6"/>
      <c r="G74" s="6"/>
      <c r="H74" s="6"/>
      <c r="I74" s="6"/>
      <c r="J74" s="2"/>
      <c r="K74" s="6"/>
      <c r="L74" s="6"/>
      <c r="M74" s="6"/>
      <c r="N74" s="6"/>
      <c r="O74" s="2"/>
      <c r="P74" s="6"/>
      <c r="Q74" s="6"/>
      <c r="R74" s="6"/>
      <c r="S74" s="6"/>
      <c r="T74" s="2"/>
      <c r="U74" s="6"/>
      <c r="V74" s="6"/>
      <c r="W74" s="6"/>
      <c r="X74" s="6"/>
      <c r="Y74" s="2"/>
      <c r="Z74" s="6"/>
      <c r="AA74" s="6"/>
      <c r="AB74" s="6"/>
      <c r="AC74" s="6"/>
      <c r="AD74" s="205"/>
      <c r="AE74" s="39"/>
    </row>
    <row r="75" spans="1:31" s="84" customFormat="1" ht="42" customHeight="1" x14ac:dyDescent="0.2">
      <c r="A75" s="6"/>
      <c r="B75" s="110"/>
      <c r="C75" s="111"/>
      <c r="D75" s="6"/>
      <c r="E75" s="2"/>
      <c r="F75" s="6"/>
      <c r="G75" s="6"/>
      <c r="H75" s="6"/>
      <c r="I75" s="6"/>
      <c r="J75" s="2"/>
      <c r="K75" s="6"/>
      <c r="L75" s="6"/>
      <c r="M75" s="6"/>
      <c r="N75" s="6"/>
      <c r="O75" s="2"/>
      <c r="P75" s="6"/>
      <c r="Q75" s="6"/>
      <c r="R75" s="6"/>
      <c r="S75" s="6"/>
      <c r="T75" s="2"/>
      <c r="U75" s="6"/>
      <c r="V75" s="6"/>
      <c r="W75" s="6"/>
      <c r="X75" s="6"/>
      <c r="Y75" s="2"/>
      <c r="Z75" s="6"/>
      <c r="AA75" s="6"/>
      <c r="AB75" s="6"/>
      <c r="AC75" s="6"/>
      <c r="AD75" s="205"/>
      <c r="AE75" s="39"/>
    </row>
    <row r="76" spans="1:31" s="84" customFormat="1" ht="42" customHeight="1" x14ac:dyDescent="0.2">
      <c r="A76" s="6"/>
      <c r="B76" s="110"/>
      <c r="C76" s="111"/>
      <c r="D76" s="6"/>
      <c r="E76" s="2"/>
      <c r="F76" s="6"/>
      <c r="G76" s="6"/>
      <c r="H76" s="6"/>
      <c r="I76" s="6"/>
      <c r="J76" s="2"/>
      <c r="K76" s="6"/>
      <c r="L76" s="6"/>
      <c r="M76" s="6"/>
      <c r="N76" s="6"/>
      <c r="O76" s="2"/>
      <c r="P76" s="6"/>
      <c r="Q76" s="6"/>
      <c r="R76" s="6"/>
      <c r="S76" s="6"/>
      <c r="T76" s="2"/>
      <c r="U76" s="6"/>
      <c r="V76" s="6"/>
      <c r="W76" s="6"/>
      <c r="X76" s="6"/>
      <c r="Y76" s="2"/>
      <c r="Z76" s="6"/>
      <c r="AA76" s="6"/>
      <c r="AB76" s="6"/>
      <c r="AC76" s="6"/>
      <c r="AD76" s="205"/>
      <c r="AE76" s="39"/>
    </row>
    <row r="77" spans="1:31" s="84" customFormat="1" ht="42" customHeight="1" x14ac:dyDescent="0.2">
      <c r="A77" s="6"/>
      <c r="B77" s="110"/>
      <c r="C77" s="111"/>
      <c r="D77" s="6"/>
      <c r="E77" s="2"/>
      <c r="F77" s="6"/>
      <c r="G77" s="6"/>
      <c r="H77" s="6"/>
      <c r="I77" s="6"/>
      <c r="J77" s="2"/>
      <c r="K77" s="6"/>
      <c r="L77" s="6"/>
      <c r="M77" s="6"/>
      <c r="N77" s="6"/>
      <c r="O77" s="2"/>
      <c r="P77" s="6"/>
      <c r="Q77" s="6"/>
      <c r="R77" s="6"/>
      <c r="S77" s="6"/>
      <c r="T77" s="2"/>
      <c r="U77" s="6"/>
      <c r="V77" s="6"/>
      <c r="W77" s="6"/>
      <c r="X77" s="6"/>
      <c r="Y77" s="2"/>
      <c r="Z77" s="6"/>
      <c r="AA77" s="6"/>
      <c r="AB77" s="6"/>
      <c r="AC77" s="6"/>
      <c r="AD77" s="205"/>
      <c r="AE77" s="39"/>
    </row>
    <row r="78" spans="1:31" s="84" customFormat="1" ht="42" customHeight="1" x14ac:dyDescent="0.2">
      <c r="A78" s="6"/>
      <c r="B78" s="110"/>
      <c r="C78" s="111"/>
      <c r="D78" s="6"/>
      <c r="E78" s="2"/>
      <c r="F78" s="6"/>
      <c r="G78" s="6"/>
      <c r="H78" s="6"/>
      <c r="I78" s="6"/>
      <c r="J78" s="2"/>
      <c r="K78" s="6"/>
      <c r="L78" s="6"/>
      <c r="M78" s="6"/>
      <c r="N78" s="6"/>
      <c r="O78" s="2"/>
      <c r="P78" s="6"/>
      <c r="Q78" s="6"/>
      <c r="R78" s="6"/>
      <c r="S78" s="6"/>
      <c r="T78" s="2"/>
      <c r="U78" s="6"/>
      <c r="V78" s="6"/>
      <c r="W78" s="6"/>
      <c r="X78" s="6"/>
      <c r="Y78" s="2"/>
      <c r="Z78" s="6"/>
      <c r="AA78" s="6"/>
      <c r="AB78" s="6"/>
      <c r="AC78" s="6"/>
      <c r="AD78" s="205"/>
      <c r="AE78" s="39"/>
    </row>
    <row r="79" spans="1:31" s="84" customFormat="1" ht="42" customHeight="1" x14ac:dyDescent="0.2">
      <c r="A79" s="6"/>
      <c r="B79" s="110"/>
      <c r="C79" s="111"/>
      <c r="D79" s="6"/>
      <c r="E79" s="2"/>
      <c r="F79" s="6"/>
      <c r="G79" s="6"/>
      <c r="H79" s="6"/>
      <c r="I79" s="6"/>
      <c r="J79" s="2"/>
      <c r="K79" s="6"/>
      <c r="L79" s="6"/>
      <c r="M79" s="6"/>
      <c r="N79" s="6"/>
      <c r="O79" s="2"/>
      <c r="P79" s="6"/>
      <c r="Q79" s="6"/>
      <c r="R79" s="6"/>
      <c r="S79" s="6"/>
      <c r="T79" s="2"/>
      <c r="U79" s="6"/>
      <c r="V79" s="6"/>
      <c r="W79" s="6"/>
      <c r="X79" s="6"/>
      <c r="Y79" s="2"/>
      <c r="Z79" s="6"/>
      <c r="AA79" s="6"/>
      <c r="AB79" s="6"/>
      <c r="AC79" s="6"/>
      <c r="AD79" s="205"/>
      <c r="AE79" s="39"/>
    </row>
    <row r="80" spans="1:31" s="84" customFormat="1" ht="42" customHeight="1" x14ac:dyDescent="0.2">
      <c r="A80" s="6"/>
      <c r="B80" s="110"/>
      <c r="C80" s="111"/>
      <c r="D80" s="6"/>
      <c r="E80" s="2"/>
      <c r="F80" s="6"/>
      <c r="G80" s="6"/>
      <c r="H80" s="6"/>
      <c r="I80" s="6"/>
      <c r="J80" s="2"/>
      <c r="K80" s="6"/>
      <c r="L80" s="6"/>
      <c r="M80" s="6"/>
      <c r="N80" s="6"/>
      <c r="O80" s="2"/>
      <c r="P80" s="6"/>
      <c r="Q80" s="6"/>
      <c r="R80" s="6"/>
      <c r="S80" s="6"/>
      <c r="T80" s="2"/>
      <c r="U80" s="6"/>
      <c r="V80" s="6"/>
      <c r="W80" s="6"/>
      <c r="X80" s="6"/>
      <c r="Y80" s="2"/>
      <c r="Z80" s="6"/>
      <c r="AA80" s="6"/>
      <c r="AB80" s="6"/>
      <c r="AC80" s="6"/>
      <c r="AD80" s="205"/>
      <c r="AE80" s="39"/>
    </row>
    <row r="81" spans="1:31" s="84" customFormat="1" ht="42" customHeight="1" x14ac:dyDescent="0.2">
      <c r="A81" s="6"/>
      <c r="B81" s="110"/>
      <c r="C81" s="111"/>
      <c r="D81" s="6"/>
      <c r="E81" s="2"/>
      <c r="F81" s="6"/>
      <c r="G81" s="6"/>
      <c r="H81" s="6"/>
      <c r="I81" s="6"/>
      <c r="J81" s="2"/>
      <c r="K81" s="6"/>
      <c r="L81" s="6"/>
      <c r="M81" s="6"/>
      <c r="N81" s="6"/>
      <c r="O81" s="2"/>
      <c r="P81" s="6"/>
      <c r="Q81" s="6"/>
      <c r="R81" s="6"/>
      <c r="S81" s="6"/>
      <c r="T81" s="2"/>
      <c r="U81" s="6"/>
      <c r="V81" s="6"/>
      <c r="W81" s="6"/>
      <c r="X81" s="6"/>
      <c r="Y81" s="2"/>
      <c r="Z81" s="6"/>
      <c r="AA81" s="6"/>
      <c r="AB81" s="6"/>
      <c r="AC81" s="6"/>
      <c r="AD81" s="205"/>
      <c r="AE81" s="39"/>
    </row>
    <row r="82" spans="1:31" s="84" customFormat="1" ht="42" customHeight="1" x14ac:dyDescent="0.2">
      <c r="A82" s="6"/>
      <c r="B82" s="110"/>
      <c r="C82" s="111"/>
      <c r="D82" s="6"/>
      <c r="E82" s="2"/>
      <c r="F82" s="6"/>
      <c r="G82" s="6"/>
      <c r="H82" s="6"/>
      <c r="I82" s="6"/>
      <c r="J82" s="2"/>
      <c r="K82" s="6"/>
      <c r="L82" s="6"/>
      <c r="M82" s="6"/>
      <c r="N82" s="6"/>
      <c r="O82" s="2"/>
      <c r="P82" s="6"/>
      <c r="Q82" s="6"/>
      <c r="R82" s="6"/>
      <c r="S82" s="6"/>
      <c r="T82" s="2"/>
      <c r="U82" s="6"/>
      <c r="V82" s="6"/>
      <c r="W82" s="6"/>
      <c r="X82" s="6"/>
      <c r="Y82" s="2"/>
      <c r="Z82" s="6"/>
      <c r="AA82" s="6"/>
      <c r="AB82" s="6"/>
      <c r="AC82" s="6"/>
      <c r="AD82" s="205"/>
      <c r="AE82" s="39"/>
    </row>
    <row r="83" spans="1:31" s="84" customFormat="1" ht="42" customHeight="1" x14ac:dyDescent="0.2">
      <c r="A83" s="6"/>
      <c r="B83" s="110"/>
      <c r="C83" s="111"/>
      <c r="D83" s="6"/>
      <c r="E83" s="2"/>
      <c r="F83" s="6"/>
      <c r="G83" s="6"/>
      <c r="H83" s="6"/>
      <c r="I83" s="6"/>
      <c r="J83" s="2"/>
      <c r="K83" s="6"/>
      <c r="L83" s="6"/>
      <c r="M83" s="6"/>
      <c r="N83" s="6"/>
      <c r="O83" s="2"/>
      <c r="P83" s="6"/>
      <c r="Q83" s="6"/>
      <c r="R83" s="6"/>
      <c r="S83" s="6"/>
      <c r="T83" s="2"/>
      <c r="U83" s="6"/>
      <c r="V83" s="6"/>
      <c r="W83" s="6"/>
      <c r="X83" s="6"/>
      <c r="Y83" s="2"/>
      <c r="Z83" s="6"/>
      <c r="AA83" s="6"/>
      <c r="AB83" s="6"/>
      <c r="AC83" s="6"/>
      <c r="AD83" s="205"/>
      <c r="AE83" s="39"/>
    </row>
    <row r="84" spans="1:31" s="84" customFormat="1" ht="42" customHeight="1" x14ac:dyDescent="0.2">
      <c r="A84" s="6"/>
      <c r="B84" s="110"/>
      <c r="C84" s="111"/>
      <c r="D84" s="6"/>
      <c r="E84" s="2"/>
      <c r="F84" s="6"/>
      <c r="G84" s="6"/>
      <c r="H84" s="6"/>
      <c r="I84" s="6"/>
      <c r="J84" s="2"/>
      <c r="K84" s="6"/>
      <c r="L84" s="6"/>
      <c r="M84" s="6"/>
      <c r="N84" s="6"/>
      <c r="O84" s="2"/>
      <c r="P84" s="6"/>
      <c r="Q84" s="6"/>
      <c r="R84" s="6"/>
      <c r="S84" s="6"/>
      <c r="T84" s="2"/>
      <c r="U84" s="6"/>
      <c r="V84" s="6"/>
      <c r="W84" s="6"/>
      <c r="X84" s="6"/>
      <c r="Y84" s="2"/>
      <c r="Z84" s="6"/>
      <c r="AA84" s="6"/>
      <c r="AB84" s="6"/>
      <c r="AC84" s="6"/>
      <c r="AD84" s="205"/>
      <c r="AE84" s="39"/>
    </row>
    <row r="85" spans="1:31" s="84" customFormat="1" ht="42" customHeight="1" x14ac:dyDescent="0.2">
      <c r="A85" s="6"/>
      <c r="B85" s="110"/>
      <c r="C85" s="111"/>
      <c r="D85" s="6"/>
      <c r="E85" s="2"/>
      <c r="F85" s="6"/>
      <c r="G85" s="6"/>
      <c r="H85" s="6"/>
      <c r="I85" s="6"/>
      <c r="J85" s="2"/>
      <c r="K85" s="6"/>
      <c r="L85" s="6"/>
      <c r="M85" s="6"/>
      <c r="N85" s="6"/>
      <c r="O85" s="2"/>
      <c r="P85" s="6"/>
      <c r="Q85" s="6"/>
      <c r="R85" s="6"/>
      <c r="S85" s="6"/>
      <c r="T85" s="2"/>
      <c r="U85" s="6"/>
      <c r="V85" s="6"/>
      <c r="W85" s="6"/>
      <c r="X85" s="6"/>
      <c r="Y85" s="2"/>
      <c r="Z85" s="6"/>
      <c r="AA85" s="6"/>
      <c r="AB85" s="6"/>
      <c r="AC85" s="6"/>
      <c r="AD85" s="205"/>
      <c r="AE85" s="39"/>
    </row>
    <row r="86" spans="1:31" s="84" customFormat="1" ht="42" customHeight="1" x14ac:dyDescent="0.2">
      <c r="A86" s="6"/>
      <c r="B86" s="110"/>
      <c r="C86" s="111"/>
      <c r="D86" s="6"/>
      <c r="E86" s="2"/>
      <c r="F86" s="6"/>
      <c r="G86" s="6"/>
      <c r="H86" s="6"/>
      <c r="I86" s="6"/>
      <c r="J86" s="2"/>
      <c r="K86" s="6"/>
      <c r="L86" s="6"/>
      <c r="M86" s="6"/>
      <c r="N86" s="6"/>
      <c r="O86" s="2"/>
      <c r="P86" s="6"/>
      <c r="Q86" s="6"/>
      <c r="R86" s="6"/>
      <c r="S86" s="6"/>
      <c r="T86" s="2"/>
      <c r="U86" s="6"/>
      <c r="V86" s="6"/>
      <c r="W86" s="6"/>
      <c r="X86" s="6"/>
      <c r="Y86" s="2"/>
      <c r="Z86" s="6"/>
      <c r="AA86" s="6"/>
      <c r="AB86" s="6"/>
      <c r="AC86" s="6"/>
      <c r="AD86" s="205"/>
      <c r="AE86" s="39"/>
    </row>
    <row r="87" spans="1:31" s="84" customFormat="1" ht="42" customHeight="1" x14ac:dyDescent="0.2">
      <c r="A87" s="6"/>
      <c r="B87" s="110"/>
      <c r="C87" s="111"/>
      <c r="D87" s="6"/>
      <c r="E87" s="2"/>
      <c r="F87" s="6"/>
      <c r="G87" s="6"/>
      <c r="H87" s="6"/>
      <c r="I87" s="6"/>
      <c r="J87" s="2"/>
      <c r="K87" s="6"/>
      <c r="L87" s="6"/>
      <c r="M87" s="6"/>
      <c r="N87" s="6"/>
      <c r="O87" s="2"/>
      <c r="P87" s="6"/>
      <c r="Q87" s="6"/>
      <c r="R87" s="6"/>
      <c r="S87" s="6"/>
      <c r="T87" s="2"/>
      <c r="U87" s="6"/>
      <c r="V87" s="6"/>
      <c r="W87" s="6"/>
      <c r="X87" s="6"/>
      <c r="Y87" s="2"/>
      <c r="Z87" s="6"/>
      <c r="AA87" s="6"/>
      <c r="AB87" s="6"/>
      <c r="AC87" s="6"/>
      <c r="AD87" s="205"/>
      <c r="AE87" s="39"/>
    </row>
    <row r="88" spans="1:31" s="84" customFormat="1" ht="42" customHeight="1" x14ac:dyDescent="0.2">
      <c r="A88" s="6"/>
      <c r="B88" s="110"/>
      <c r="C88" s="111"/>
      <c r="D88" s="6"/>
      <c r="E88" s="2"/>
      <c r="F88" s="6"/>
      <c r="G88" s="6"/>
      <c r="H88" s="6"/>
      <c r="I88" s="6"/>
      <c r="J88" s="2"/>
      <c r="K88" s="6"/>
      <c r="L88" s="6"/>
      <c r="M88" s="6"/>
      <c r="N88" s="6"/>
      <c r="O88" s="2"/>
      <c r="P88" s="6"/>
      <c r="Q88" s="6"/>
      <c r="R88" s="6"/>
      <c r="S88" s="6"/>
      <c r="T88" s="2"/>
      <c r="U88" s="6"/>
      <c r="V88" s="6"/>
      <c r="W88" s="6"/>
      <c r="X88" s="6"/>
      <c r="Y88" s="2"/>
      <c r="Z88" s="6"/>
      <c r="AA88" s="6"/>
      <c r="AB88" s="6"/>
      <c r="AC88" s="6"/>
      <c r="AD88" s="205"/>
      <c r="AE88" s="39"/>
    </row>
    <row r="89" spans="1:31" s="84" customFormat="1" ht="42" customHeight="1" x14ac:dyDescent="0.2">
      <c r="A89" s="6"/>
      <c r="B89" s="110"/>
      <c r="C89" s="111"/>
      <c r="D89" s="6"/>
      <c r="E89" s="2"/>
      <c r="F89" s="6"/>
      <c r="G89" s="6"/>
      <c r="H89" s="6"/>
      <c r="I89" s="6"/>
      <c r="J89" s="2"/>
      <c r="K89" s="6"/>
      <c r="L89" s="6"/>
      <c r="M89" s="6"/>
      <c r="N89" s="6"/>
      <c r="O89" s="2"/>
      <c r="P89" s="6"/>
      <c r="Q89" s="6"/>
      <c r="R89" s="6"/>
      <c r="S89" s="6"/>
      <c r="T89" s="2"/>
      <c r="U89" s="6"/>
      <c r="V89" s="6"/>
      <c r="W89" s="6"/>
      <c r="X89" s="6"/>
      <c r="Y89" s="2"/>
      <c r="Z89" s="6"/>
      <c r="AA89" s="6"/>
      <c r="AB89" s="6"/>
      <c r="AC89" s="6"/>
      <c r="AD89" s="205"/>
      <c r="AE89" s="39"/>
    </row>
    <row r="90" spans="1:31" s="84" customFormat="1" ht="42" customHeight="1" x14ac:dyDescent="0.2">
      <c r="A90" s="6"/>
      <c r="B90" s="110"/>
      <c r="C90" s="111"/>
      <c r="D90" s="6"/>
      <c r="E90" s="2"/>
      <c r="F90" s="6"/>
      <c r="G90" s="6"/>
      <c r="H90" s="6"/>
      <c r="I90" s="6"/>
      <c r="J90" s="2"/>
      <c r="K90" s="6"/>
      <c r="L90" s="6"/>
      <c r="M90" s="6"/>
      <c r="N90" s="6"/>
      <c r="O90" s="2"/>
      <c r="P90" s="6"/>
      <c r="Q90" s="6"/>
      <c r="R90" s="6"/>
      <c r="S90" s="6"/>
      <c r="T90" s="2"/>
      <c r="U90" s="6"/>
      <c r="V90" s="6"/>
      <c r="W90" s="6"/>
      <c r="X90" s="6"/>
      <c r="Y90" s="2"/>
      <c r="Z90" s="6"/>
      <c r="AA90" s="6"/>
      <c r="AB90" s="6"/>
      <c r="AC90" s="6"/>
      <c r="AD90" s="205"/>
      <c r="AE90" s="39"/>
    </row>
    <row r="91" spans="1:31" s="84" customFormat="1" ht="42" customHeight="1" x14ac:dyDescent="0.2">
      <c r="A91" s="6"/>
      <c r="B91" s="110"/>
      <c r="C91" s="111"/>
      <c r="D91" s="6"/>
      <c r="E91" s="2"/>
      <c r="F91" s="6"/>
      <c r="G91" s="6"/>
      <c r="H91" s="6"/>
      <c r="I91" s="6"/>
      <c r="J91" s="2"/>
      <c r="K91" s="6"/>
      <c r="L91" s="6"/>
      <c r="M91" s="6"/>
      <c r="N91" s="6"/>
      <c r="O91" s="2"/>
      <c r="P91" s="6"/>
      <c r="Q91" s="6"/>
      <c r="R91" s="6"/>
      <c r="S91" s="6"/>
      <c r="T91" s="2"/>
      <c r="U91" s="6"/>
      <c r="V91" s="6"/>
      <c r="W91" s="6"/>
      <c r="X91" s="6"/>
      <c r="Y91" s="2"/>
      <c r="Z91" s="6"/>
      <c r="AA91" s="6"/>
      <c r="AB91" s="6"/>
      <c r="AC91" s="6"/>
      <c r="AD91" s="205"/>
      <c r="AE91" s="39"/>
    </row>
    <row r="92" spans="1:31" s="84" customFormat="1" ht="42" customHeight="1" x14ac:dyDescent="0.2">
      <c r="A92" s="6"/>
      <c r="B92" s="110"/>
      <c r="C92" s="111"/>
      <c r="D92" s="6"/>
      <c r="E92" s="2"/>
      <c r="F92" s="6"/>
      <c r="G92" s="6"/>
      <c r="H92" s="6"/>
      <c r="I92" s="6"/>
      <c r="J92" s="2"/>
      <c r="K92" s="6"/>
      <c r="L92" s="6"/>
      <c r="M92" s="6"/>
      <c r="N92" s="6"/>
      <c r="O92" s="2"/>
      <c r="P92" s="6"/>
      <c r="Q92" s="6"/>
      <c r="R92" s="6"/>
      <c r="S92" s="6"/>
      <c r="T92" s="2"/>
      <c r="U92" s="6"/>
      <c r="V92" s="6"/>
      <c r="W92" s="6"/>
      <c r="X92" s="6"/>
      <c r="Y92" s="2"/>
      <c r="Z92" s="6"/>
      <c r="AA92" s="6"/>
      <c r="AB92" s="6"/>
      <c r="AC92" s="6"/>
      <c r="AD92" s="205"/>
      <c r="AE92" s="39"/>
    </row>
    <row r="93" spans="1:31" s="84" customFormat="1" ht="42" customHeight="1" x14ac:dyDescent="0.2">
      <c r="A93" s="6"/>
      <c r="B93" s="110"/>
      <c r="C93" s="111"/>
      <c r="D93" s="6"/>
      <c r="E93" s="2"/>
      <c r="F93" s="6"/>
      <c r="G93" s="6"/>
      <c r="H93" s="6"/>
      <c r="I93" s="6"/>
      <c r="J93" s="2"/>
      <c r="K93" s="6"/>
      <c r="L93" s="6"/>
      <c r="M93" s="6"/>
      <c r="N93" s="6"/>
      <c r="O93" s="2"/>
      <c r="P93" s="6"/>
      <c r="Q93" s="6"/>
      <c r="R93" s="6"/>
      <c r="S93" s="6"/>
      <c r="T93" s="2"/>
      <c r="U93" s="6"/>
      <c r="V93" s="6"/>
      <c r="W93" s="6"/>
      <c r="X93" s="6"/>
      <c r="Y93" s="2"/>
      <c r="Z93" s="6"/>
      <c r="AA93" s="6"/>
      <c r="AB93" s="6"/>
      <c r="AC93" s="6"/>
      <c r="AD93" s="205"/>
      <c r="AE93" s="39"/>
    </row>
    <row r="94" spans="1:31" s="84" customFormat="1" ht="42" customHeight="1" x14ac:dyDescent="0.2">
      <c r="A94" s="6"/>
      <c r="B94" s="110"/>
      <c r="C94" s="111"/>
      <c r="D94" s="6"/>
      <c r="E94" s="2"/>
      <c r="F94" s="6"/>
      <c r="G94" s="6"/>
      <c r="H94" s="6"/>
      <c r="I94" s="6"/>
      <c r="J94" s="2"/>
      <c r="K94" s="6"/>
      <c r="L94" s="6"/>
      <c r="M94" s="6"/>
      <c r="N94" s="6"/>
      <c r="O94" s="2"/>
      <c r="P94" s="6"/>
      <c r="Q94" s="6"/>
      <c r="R94" s="6"/>
      <c r="S94" s="6"/>
      <c r="T94" s="2"/>
      <c r="U94" s="6"/>
      <c r="V94" s="6"/>
      <c r="W94" s="6"/>
      <c r="X94" s="6"/>
      <c r="Y94" s="2"/>
      <c r="Z94" s="6"/>
      <c r="AA94" s="6"/>
      <c r="AB94" s="6"/>
      <c r="AC94" s="6"/>
      <c r="AD94" s="205"/>
      <c r="AE94" s="39"/>
    </row>
    <row r="95" spans="1:31" s="84" customFormat="1" ht="42" customHeight="1" x14ac:dyDescent="0.2">
      <c r="A95" s="6"/>
      <c r="B95" s="110"/>
      <c r="C95" s="111"/>
      <c r="D95" s="6"/>
      <c r="E95" s="2"/>
      <c r="F95" s="6"/>
      <c r="G95" s="6"/>
      <c r="H95" s="6"/>
      <c r="I95" s="6"/>
      <c r="J95" s="2"/>
      <c r="K95" s="6"/>
      <c r="L95" s="6"/>
      <c r="M95" s="6"/>
      <c r="N95" s="6"/>
      <c r="O95" s="2"/>
      <c r="P95" s="6"/>
      <c r="Q95" s="6"/>
      <c r="R95" s="6"/>
      <c r="S95" s="6"/>
      <c r="T95" s="2"/>
      <c r="U95" s="6"/>
      <c r="V95" s="6"/>
      <c r="W95" s="6"/>
      <c r="X95" s="6"/>
      <c r="Y95" s="2"/>
      <c r="Z95" s="6"/>
      <c r="AA95" s="6"/>
      <c r="AB95" s="6"/>
      <c r="AC95" s="6"/>
      <c r="AD95" s="205"/>
      <c r="AE95" s="39"/>
    </row>
    <row r="96" spans="1:31" s="84" customFormat="1" ht="42" customHeight="1" x14ac:dyDescent="0.2">
      <c r="A96" s="6"/>
      <c r="B96" s="110"/>
      <c r="C96" s="111"/>
      <c r="D96" s="6"/>
      <c r="E96" s="2"/>
      <c r="F96" s="6"/>
      <c r="G96" s="6"/>
      <c r="H96" s="6"/>
      <c r="I96" s="6"/>
      <c r="J96" s="2"/>
      <c r="K96" s="6"/>
      <c r="L96" s="6"/>
      <c r="M96" s="6"/>
      <c r="N96" s="6"/>
      <c r="O96" s="2"/>
      <c r="P96" s="6"/>
      <c r="Q96" s="6"/>
      <c r="R96" s="6"/>
      <c r="S96" s="6"/>
      <c r="T96" s="2"/>
      <c r="U96" s="6"/>
      <c r="V96" s="6"/>
      <c r="W96" s="6"/>
      <c r="X96" s="6"/>
      <c r="Y96" s="2"/>
      <c r="Z96" s="6"/>
      <c r="AA96" s="6"/>
      <c r="AB96" s="6"/>
      <c r="AC96" s="6"/>
      <c r="AD96" s="205"/>
      <c r="AE96" s="39"/>
    </row>
    <row r="97" spans="1:31" s="84" customFormat="1" ht="42" customHeight="1" x14ac:dyDescent="0.2">
      <c r="A97" s="6"/>
      <c r="B97" s="110"/>
      <c r="C97" s="111"/>
      <c r="D97" s="6"/>
      <c r="E97" s="2"/>
      <c r="F97" s="6"/>
      <c r="G97" s="6"/>
      <c r="H97" s="6"/>
      <c r="I97" s="6"/>
      <c r="J97" s="2"/>
      <c r="K97" s="6"/>
      <c r="L97" s="6"/>
      <c r="M97" s="6"/>
      <c r="N97" s="6"/>
      <c r="O97" s="2"/>
      <c r="P97" s="6"/>
      <c r="Q97" s="6"/>
      <c r="R97" s="6"/>
      <c r="S97" s="6"/>
      <c r="T97" s="2"/>
      <c r="U97" s="6"/>
      <c r="V97" s="6"/>
      <c r="W97" s="6"/>
      <c r="X97" s="6"/>
      <c r="Y97" s="2"/>
      <c r="Z97" s="6"/>
      <c r="AA97" s="6"/>
      <c r="AB97" s="6"/>
      <c r="AC97" s="6"/>
      <c r="AD97" s="205"/>
      <c r="AE97" s="39"/>
    </row>
    <row r="98" spans="1:31" s="84" customFormat="1" ht="42" customHeight="1" x14ac:dyDescent="0.2">
      <c r="A98" s="6"/>
      <c r="B98" s="110"/>
      <c r="C98" s="111"/>
      <c r="D98" s="6"/>
      <c r="E98" s="2"/>
      <c r="F98" s="6"/>
      <c r="G98" s="6"/>
      <c r="H98" s="6"/>
      <c r="I98" s="6"/>
      <c r="J98" s="2"/>
      <c r="K98" s="6"/>
      <c r="L98" s="6"/>
      <c r="M98" s="6"/>
      <c r="N98" s="6"/>
      <c r="O98" s="2"/>
      <c r="P98" s="6"/>
      <c r="Q98" s="6"/>
      <c r="R98" s="6"/>
      <c r="S98" s="6"/>
      <c r="T98" s="2"/>
      <c r="U98" s="6"/>
      <c r="V98" s="6"/>
      <c r="W98" s="6"/>
      <c r="X98" s="6"/>
      <c r="Y98" s="2"/>
      <c r="Z98" s="6"/>
      <c r="AA98" s="6"/>
      <c r="AB98" s="6"/>
      <c r="AC98" s="6"/>
      <c r="AD98" s="205"/>
      <c r="AE98" s="39"/>
    </row>
    <row r="99" spans="1:31" s="84" customFormat="1" ht="42" customHeight="1" x14ac:dyDescent="0.2">
      <c r="A99" s="6"/>
      <c r="B99" s="110"/>
      <c r="C99" s="111"/>
      <c r="D99" s="6"/>
      <c r="E99" s="2"/>
      <c r="F99" s="6"/>
      <c r="G99" s="6"/>
      <c r="H99" s="6"/>
      <c r="I99" s="6"/>
      <c r="J99" s="2"/>
      <c r="K99" s="6"/>
      <c r="L99" s="6"/>
      <c r="M99" s="6"/>
      <c r="N99" s="6"/>
      <c r="O99" s="2"/>
      <c r="P99" s="6"/>
      <c r="Q99" s="6"/>
      <c r="R99" s="6"/>
      <c r="S99" s="6"/>
      <c r="T99" s="2"/>
      <c r="U99" s="6"/>
      <c r="V99" s="6"/>
      <c r="W99" s="6"/>
      <c r="X99" s="6"/>
      <c r="Y99" s="2"/>
      <c r="Z99" s="6"/>
      <c r="AA99" s="6"/>
      <c r="AB99" s="6"/>
      <c r="AC99" s="6"/>
      <c r="AD99" s="205"/>
      <c r="AE99" s="39"/>
    </row>
    <row r="100" spans="1:31" s="84" customFormat="1" ht="42" customHeight="1" x14ac:dyDescent="0.2">
      <c r="A100" s="6"/>
      <c r="B100" s="110"/>
      <c r="C100" s="111"/>
      <c r="D100" s="6"/>
      <c r="E100" s="2"/>
      <c r="F100" s="6"/>
      <c r="G100" s="6"/>
      <c r="H100" s="6"/>
      <c r="I100" s="6"/>
      <c r="J100" s="2"/>
      <c r="K100" s="6"/>
      <c r="L100" s="6"/>
      <c r="M100" s="6"/>
      <c r="N100" s="6"/>
      <c r="O100" s="2"/>
      <c r="P100" s="6"/>
      <c r="Q100" s="6"/>
      <c r="R100" s="6"/>
      <c r="S100" s="6"/>
      <c r="T100" s="2"/>
      <c r="U100" s="6"/>
      <c r="V100" s="6"/>
      <c r="W100" s="6"/>
      <c r="X100" s="6"/>
      <c r="Y100" s="2"/>
      <c r="Z100" s="6"/>
      <c r="AA100" s="6"/>
      <c r="AB100" s="6"/>
      <c r="AC100" s="6"/>
      <c r="AD100" s="205"/>
      <c r="AE100" s="39"/>
    </row>
    <row r="101" spans="1:31" s="84" customFormat="1" ht="42" customHeight="1" x14ac:dyDescent="0.2">
      <c r="A101" s="6"/>
      <c r="B101" s="110"/>
      <c r="C101" s="111"/>
      <c r="D101" s="6"/>
      <c r="E101" s="2"/>
      <c r="F101" s="6"/>
      <c r="G101" s="6"/>
      <c r="H101" s="6"/>
      <c r="I101" s="6"/>
      <c r="J101" s="2"/>
      <c r="K101" s="6"/>
      <c r="L101" s="6"/>
      <c r="M101" s="6"/>
      <c r="N101" s="6"/>
      <c r="O101" s="2"/>
      <c r="P101" s="6"/>
      <c r="Q101" s="6"/>
      <c r="R101" s="6"/>
      <c r="S101" s="6"/>
      <c r="T101" s="2"/>
      <c r="U101" s="6"/>
      <c r="V101" s="6"/>
      <c r="W101" s="6"/>
      <c r="X101" s="6"/>
      <c r="Y101" s="2"/>
      <c r="Z101" s="6"/>
      <c r="AA101" s="6"/>
      <c r="AB101" s="6"/>
      <c r="AC101" s="6"/>
      <c r="AD101" s="205"/>
      <c r="AE101" s="39"/>
    </row>
    <row r="102" spans="1:31" s="84" customFormat="1" ht="42" customHeight="1" x14ac:dyDescent="0.2">
      <c r="A102" s="6"/>
      <c r="B102" s="110"/>
      <c r="C102" s="111"/>
      <c r="D102" s="6"/>
      <c r="E102" s="2"/>
      <c r="F102" s="6"/>
      <c r="G102" s="6"/>
      <c r="H102" s="6"/>
      <c r="I102" s="6"/>
      <c r="J102" s="2"/>
      <c r="K102" s="6"/>
      <c r="L102" s="6"/>
      <c r="M102" s="6"/>
      <c r="N102" s="6"/>
      <c r="O102" s="2"/>
      <c r="P102" s="6"/>
      <c r="Q102" s="6"/>
      <c r="R102" s="6"/>
      <c r="S102" s="6"/>
      <c r="T102" s="2"/>
      <c r="U102" s="6"/>
      <c r="V102" s="6"/>
      <c r="W102" s="6"/>
      <c r="X102" s="6"/>
      <c r="Y102" s="2"/>
      <c r="Z102" s="6"/>
      <c r="AA102" s="6"/>
      <c r="AB102" s="6"/>
      <c r="AC102" s="6"/>
      <c r="AD102" s="205"/>
      <c r="AE102" s="39"/>
    </row>
    <row r="103" spans="1:31" s="84" customFormat="1" ht="42" customHeight="1" x14ac:dyDescent="0.2">
      <c r="A103" s="6"/>
      <c r="B103" s="110"/>
      <c r="C103" s="111"/>
      <c r="D103" s="6"/>
      <c r="E103" s="2"/>
      <c r="F103" s="6"/>
      <c r="G103" s="6"/>
      <c r="H103" s="6"/>
      <c r="I103" s="6"/>
      <c r="J103" s="2"/>
      <c r="K103" s="6"/>
      <c r="L103" s="6"/>
      <c r="M103" s="6"/>
      <c r="N103" s="6"/>
      <c r="O103" s="2"/>
      <c r="P103" s="6"/>
      <c r="Q103" s="6"/>
      <c r="R103" s="6"/>
      <c r="S103" s="6"/>
      <c r="T103" s="2"/>
      <c r="U103" s="6"/>
      <c r="V103" s="6"/>
      <c r="W103" s="6"/>
      <c r="X103" s="6"/>
      <c r="Y103" s="2"/>
      <c r="Z103" s="6"/>
      <c r="AA103" s="6"/>
      <c r="AB103" s="6"/>
      <c r="AC103" s="6"/>
      <c r="AD103" s="205"/>
      <c r="AE103" s="39"/>
    </row>
    <row r="104" spans="1:31" s="84" customFormat="1" ht="42" customHeight="1" x14ac:dyDescent="0.2">
      <c r="A104" s="6"/>
      <c r="B104" s="110"/>
      <c r="C104" s="111"/>
      <c r="D104" s="6"/>
      <c r="E104" s="2"/>
      <c r="F104" s="6"/>
      <c r="G104" s="6"/>
      <c r="H104" s="6"/>
      <c r="I104" s="6"/>
      <c r="J104" s="2"/>
      <c r="K104" s="6"/>
      <c r="L104" s="6"/>
      <c r="M104" s="6"/>
      <c r="N104" s="6"/>
      <c r="O104" s="2"/>
      <c r="P104" s="6"/>
      <c r="Q104" s="6"/>
      <c r="R104" s="6"/>
      <c r="S104" s="6"/>
      <c r="T104" s="2"/>
      <c r="U104" s="6"/>
      <c r="V104" s="6"/>
      <c r="W104" s="6"/>
      <c r="X104" s="6"/>
      <c r="Y104" s="2"/>
      <c r="Z104" s="6"/>
      <c r="AA104" s="6"/>
      <c r="AB104" s="6"/>
      <c r="AC104" s="6"/>
      <c r="AD104" s="205"/>
      <c r="AE104" s="39"/>
    </row>
    <row r="105" spans="1:31" s="84" customFormat="1" ht="42" customHeight="1" x14ac:dyDescent="0.2">
      <c r="A105" s="6"/>
      <c r="B105" s="110"/>
      <c r="C105" s="111"/>
      <c r="D105" s="6"/>
      <c r="E105" s="2"/>
      <c r="F105" s="6"/>
      <c r="G105" s="6"/>
      <c r="H105" s="6"/>
      <c r="I105" s="6"/>
      <c r="J105" s="2"/>
      <c r="K105" s="6"/>
      <c r="L105" s="6"/>
      <c r="M105" s="6"/>
      <c r="N105" s="6"/>
      <c r="O105" s="2"/>
      <c r="P105" s="6"/>
      <c r="Q105" s="6"/>
      <c r="R105" s="6"/>
      <c r="S105" s="6"/>
      <c r="T105" s="2"/>
      <c r="U105" s="6"/>
      <c r="V105" s="6"/>
      <c r="W105" s="6"/>
      <c r="X105" s="6"/>
      <c r="Y105" s="2"/>
      <c r="Z105" s="6"/>
      <c r="AA105" s="6"/>
      <c r="AB105" s="6"/>
      <c r="AC105" s="6"/>
      <c r="AD105" s="205"/>
      <c r="AE105" s="39"/>
    </row>
    <row r="106" spans="1:31" s="84" customFormat="1" ht="42" customHeight="1" x14ac:dyDescent="0.2">
      <c r="A106" s="6"/>
      <c r="B106" s="110"/>
      <c r="C106" s="111"/>
      <c r="D106" s="6"/>
      <c r="E106" s="2"/>
      <c r="F106" s="6"/>
      <c r="G106" s="6"/>
      <c r="H106" s="6"/>
      <c r="I106" s="6"/>
      <c r="J106" s="2"/>
      <c r="K106" s="6"/>
      <c r="L106" s="6"/>
      <c r="M106" s="6"/>
      <c r="N106" s="6"/>
      <c r="O106" s="2"/>
      <c r="P106" s="6"/>
      <c r="Q106" s="6"/>
      <c r="R106" s="6"/>
      <c r="S106" s="6"/>
      <c r="T106" s="2"/>
      <c r="U106" s="6"/>
      <c r="V106" s="6"/>
      <c r="W106" s="6"/>
      <c r="X106" s="6"/>
      <c r="Y106" s="2"/>
      <c r="Z106" s="6"/>
      <c r="AA106" s="6"/>
      <c r="AB106" s="6"/>
      <c r="AC106" s="6"/>
      <c r="AD106" s="205"/>
      <c r="AE106" s="39"/>
    </row>
    <row r="107" spans="1:31" s="84" customFormat="1" ht="42" customHeight="1" x14ac:dyDescent="0.2">
      <c r="A107" s="6"/>
      <c r="B107" s="110"/>
      <c r="C107" s="111"/>
      <c r="D107" s="6"/>
      <c r="E107" s="2"/>
      <c r="F107" s="6"/>
      <c r="G107" s="6"/>
      <c r="H107" s="6"/>
      <c r="I107" s="6"/>
      <c r="J107" s="2"/>
      <c r="K107" s="6"/>
      <c r="L107" s="6"/>
      <c r="M107" s="6"/>
      <c r="N107" s="6"/>
      <c r="O107" s="2"/>
      <c r="P107" s="6"/>
      <c r="Q107" s="6"/>
      <c r="R107" s="6"/>
      <c r="S107" s="6"/>
      <c r="T107" s="2"/>
      <c r="U107" s="6"/>
      <c r="V107" s="6"/>
      <c r="W107" s="6"/>
      <c r="X107" s="6"/>
      <c r="Y107" s="2"/>
      <c r="Z107" s="6"/>
      <c r="AA107" s="6"/>
      <c r="AB107" s="6"/>
      <c r="AC107" s="6"/>
      <c r="AD107" s="205"/>
      <c r="AE107" s="39"/>
    </row>
    <row r="108" spans="1:31" s="84" customFormat="1" ht="42" customHeight="1" x14ac:dyDescent="0.2">
      <c r="A108" s="6"/>
      <c r="B108" s="110"/>
      <c r="C108" s="111"/>
      <c r="D108" s="6"/>
      <c r="E108" s="2"/>
      <c r="F108" s="6"/>
      <c r="G108" s="6"/>
      <c r="H108" s="6"/>
      <c r="I108" s="6"/>
      <c r="J108" s="2"/>
      <c r="K108" s="6"/>
      <c r="L108" s="6"/>
      <c r="M108" s="6"/>
      <c r="N108" s="6"/>
      <c r="O108" s="2"/>
      <c r="P108" s="6"/>
      <c r="Q108" s="6"/>
      <c r="R108" s="6"/>
      <c r="S108" s="6"/>
      <c r="T108" s="2"/>
      <c r="U108" s="6"/>
      <c r="V108" s="6"/>
      <c r="W108" s="6"/>
      <c r="X108" s="6"/>
      <c r="Y108" s="2"/>
      <c r="Z108" s="6"/>
      <c r="AA108" s="6"/>
      <c r="AB108" s="6"/>
      <c r="AC108" s="6"/>
      <c r="AD108" s="205"/>
      <c r="AE108" s="39"/>
    </row>
    <row r="109" spans="1:31" s="84" customFormat="1" ht="42" customHeight="1" x14ac:dyDescent="0.2">
      <c r="A109" s="6"/>
      <c r="B109" s="110"/>
      <c r="C109" s="111"/>
      <c r="D109" s="6"/>
      <c r="E109" s="2"/>
      <c r="F109" s="6"/>
      <c r="G109" s="6"/>
      <c r="H109" s="6"/>
      <c r="I109" s="6"/>
      <c r="J109" s="2"/>
      <c r="K109" s="6"/>
      <c r="L109" s="6"/>
      <c r="M109" s="6"/>
      <c r="N109" s="6"/>
      <c r="O109" s="2"/>
      <c r="P109" s="6"/>
      <c r="Q109" s="6"/>
      <c r="R109" s="6"/>
      <c r="S109" s="6"/>
      <c r="T109" s="2"/>
      <c r="U109" s="6"/>
      <c r="V109" s="6"/>
      <c r="W109" s="6"/>
      <c r="X109" s="6"/>
      <c r="Y109" s="2"/>
      <c r="Z109" s="6"/>
      <c r="AA109" s="6"/>
      <c r="AB109" s="6"/>
      <c r="AC109" s="6"/>
      <c r="AD109" s="205"/>
      <c r="AE109" s="39"/>
    </row>
    <row r="110" spans="1:31" s="84" customFormat="1" ht="42" customHeight="1" x14ac:dyDescent="0.2">
      <c r="A110" s="6"/>
      <c r="B110" s="110"/>
      <c r="C110" s="111"/>
      <c r="D110" s="6"/>
      <c r="E110" s="2"/>
      <c r="F110" s="6"/>
      <c r="G110" s="6"/>
      <c r="H110" s="6"/>
      <c r="I110" s="6"/>
      <c r="J110" s="2"/>
      <c r="K110" s="6"/>
      <c r="L110" s="6"/>
      <c r="M110" s="6"/>
      <c r="N110" s="6"/>
      <c r="O110" s="2"/>
      <c r="P110" s="6"/>
      <c r="Q110" s="6"/>
      <c r="R110" s="6"/>
      <c r="S110" s="6"/>
      <c r="T110" s="2"/>
      <c r="U110" s="6"/>
      <c r="V110" s="6"/>
      <c r="W110" s="6"/>
      <c r="X110" s="6"/>
      <c r="Y110" s="2"/>
      <c r="Z110" s="6"/>
      <c r="AA110" s="6"/>
      <c r="AB110" s="6"/>
      <c r="AC110" s="6"/>
      <c r="AD110" s="205"/>
      <c r="AE110" s="39"/>
    </row>
    <row r="111" spans="1:31" s="84" customFormat="1" ht="42" customHeight="1" x14ac:dyDescent="0.2">
      <c r="A111" s="6"/>
      <c r="B111" s="110"/>
      <c r="C111" s="111"/>
      <c r="D111" s="6"/>
      <c r="E111" s="2"/>
      <c r="F111" s="6"/>
      <c r="G111" s="6"/>
      <c r="H111" s="6"/>
      <c r="I111" s="6"/>
      <c r="J111" s="2"/>
      <c r="K111" s="6"/>
      <c r="L111" s="6"/>
      <c r="M111" s="6"/>
      <c r="N111" s="6"/>
      <c r="O111" s="2"/>
      <c r="P111" s="6"/>
      <c r="Q111" s="6"/>
      <c r="R111" s="6"/>
      <c r="S111" s="6"/>
      <c r="T111" s="2"/>
      <c r="U111" s="6"/>
      <c r="V111" s="6"/>
      <c r="W111" s="6"/>
      <c r="X111" s="6"/>
      <c r="Y111" s="2"/>
      <c r="Z111" s="6"/>
      <c r="AA111" s="6"/>
      <c r="AB111" s="6"/>
      <c r="AC111" s="6"/>
      <c r="AD111" s="205"/>
      <c r="AE111" s="39"/>
    </row>
    <row r="112" spans="1:31" s="84" customFormat="1" ht="42" customHeight="1" x14ac:dyDescent="0.2">
      <c r="A112" s="6"/>
      <c r="B112" s="110"/>
      <c r="C112" s="111"/>
      <c r="D112" s="6"/>
      <c r="E112" s="2"/>
      <c r="F112" s="6"/>
      <c r="G112" s="6"/>
      <c r="H112" s="6"/>
      <c r="I112" s="6"/>
      <c r="J112" s="2"/>
      <c r="K112" s="6"/>
      <c r="L112" s="6"/>
      <c r="M112" s="6"/>
      <c r="N112" s="6"/>
      <c r="O112" s="2"/>
      <c r="P112" s="6"/>
      <c r="Q112" s="6"/>
      <c r="R112" s="6"/>
      <c r="S112" s="6"/>
      <c r="T112" s="2"/>
      <c r="U112" s="6"/>
      <c r="V112" s="6"/>
      <c r="W112" s="6"/>
      <c r="X112" s="6"/>
      <c r="Y112" s="2"/>
      <c r="Z112" s="6"/>
      <c r="AA112" s="6"/>
      <c r="AB112" s="6"/>
      <c r="AC112" s="6"/>
      <c r="AD112" s="205"/>
      <c r="AE112" s="39"/>
    </row>
    <row r="113" spans="1:31" s="84" customFormat="1" ht="42" customHeight="1" x14ac:dyDescent="0.2">
      <c r="A113" s="6"/>
      <c r="B113" s="110"/>
      <c r="C113" s="111"/>
      <c r="D113" s="6"/>
      <c r="E113" s="2"/>
      <c r="F113" s="6"/>
      <c r="G113" s="6"/>
      <c r="H113" s="6"/>
      <c r="I113" s="6"/>
      <c r="J113" s="2"/>
      <c r="K113" s="6"/>
      <c r="L113" s="6"/>
      <c r="M113" s="6"/>
      <c r="N113" s="6"/>
      <c r="O113" s="2"/>
      <c r="P113" s="6"/>
      <c r="Q113" s="6"/>
      <c r="R113" s="6"/>
      <c r="S113" s="6"/>
      <c r="T113" s="2"/>
      <c r="U113" s="6"/>
      <c r="V113" s="6"/>
      <c r="W113" s="6"/>
      <c r="X113" s="6"/>
      <c r="Y113" s="2"/>
      <c r="Z113" s="6"/>
      <c r="AA113" s="6"/>
      <c r="AB113" s="6"/>
      <c r="AC113" s="6"/>
      <c r="AD113" s="205"/>
      <c r="AE113" s="39"/>
    </row>
    <row r="114" spans="1:31" s="84" customFormat="1" ht="42" customHeight="1" x14ac:dyDescent="0.2">
      <c r="A114" s="6"/>
      <c r="B114" s="110"/>
      <c r="C114" s="111"/>
      <c r="D114" s="6"/>
      <c r="E114" s="2"/>
      <c r="F114" s="6"/>
      <c r="G114" s="6"/>
      <c r="H114" s="6"/>
      <c r="I114" s="6"/>
      <c r="J114" s="2"/>
      <c r="K114" s="6"/>
      <c r="L114" s="6"/>
      <c r="M114" s="6"/>
      <c r="N114" s="6"/>
      <c r="O114" s="2"/>
      <c r="P114" s="6"/>
      <c r="Q114" s="6"/>
      <c r="R114" s="6"/>
      <c r="S114" s="6"/>
      <c r="T114" s="2"/>
      <c r="U114" s="6"/>
      <c r="V114" s="6"/>
      <c r="W114" s="6"/>
      <c r="X114" s="6"/>
      <c r="Y114" s="2"/>
      <c r="Z114" s="6"/>
      <c r="AA114" s="6"/>
      <c r="AB114" s="6"/>
      <c r="AC114" s="6"/>
      <c r="AD114" s="205"/>
      <c r="AE114" s="39"/>
    </row>
    <row r="115" spans="1:31" s="84" customFormat="1" ht="42" customHeight="1" x14ac:dyDescent="0.2">
      <c r="A115" s="6"/>
      <c r="B115" s="110"/>
      <c r="C115" s="111"/>
      <c r="D115" s="6"/>
      <c r="E115" s="2"/>
      <c r="F115" s="6"/>
      <c r="G115" s="6"/>
      <c r="H115" s="6"/>
      <c r="I115" s="6"/>
      <c r="J115" s="2"/>
      <c r="K115" s="6"/>
      <c r="L115" s="6"/>
      <c r="M115" s="6"/>
      <c r="N115" s="6"/>
      <c r="O115" s="2"/>
      <c r="P115" s="6"/>
      <c r="Q115" s="6"/>
      <c r="R115" s="6"/>
      <c r="S115" s="6"/>
      <c r="T115" s="2"/>
      <c r="U115" s="6"/>
      <c r="V115" s="6"/>
      <c r="W115" s="6"/>
      <c r="X115" s="6"/>
      <c r="Y115" s="2"/>
      <c r="Z115" s="6"/>
      <c r="AA115" s="6"/>
      <c r="AB115" s="6"/>
      <c r="AC115" s="6"/>
      <c r="AD115" s="205"/>
      <c r="AE115" s="39"/>
    </row>
    <row r="116" spans="1:31" s="84" customFormat="1" ht="42" customHeight="1" x14ac:dyDescent="0.2">
      <c r="A116" s="6"/>
      <c r="B116" s="110"/>
      <c r="C116" s="111"/>
      <c r="D116" s="6"/>
      <c r="E116" s="2"/>
      <c r="F116" s="6"/>
      <c r="G116" s="6"/>
      <c r="H116" s="6"/>
      <c r="I116" s="6"/>
      <c r="J116" s="2"/>
      <c r="K116" s="6"/>
      <c r="L116" s="6"/>
      <c r="M116" s="6"/>
      <c r="N116" s="6"/>
      <c r="O116" s="2"/>
      <c r="P116" s="6"/>
      <c r="Q116" s="6"/>
      <c r="R116" s="6"/>
      <c r="S116" s="6"/>
      <c r="T116" s="2"/>
      <c r="U116" s="6"/>
      <c r="V116" s="6"/>
      <c r="W116" s="6"/>
      <c r="X116" s="6"/>
      <c r="Y116" s="2"/>
      <c r="Z116" s="6"/>
      <c r="AA116" s="6"/>
      <c r="AB116" s="6"/>
      <c r="AC116" s="6"/>
      <c r="AD116" s="205"/>
      <c r="AE116" s="39"/>
    </row>
    <row r="117" spans="1:31" s="84" customFormat="1" ht="42" customHeight="1" x14ac:dyDescent="0.2">
      <c r="A117" s="6"/>
      <c r="B117" s="110"/>
      <c r="C117" s="111"/>
      <c r="D117" s="6"/>
      <c r="E117" s="2"/>
      <c r="F117" s="6"/>
      <c r="G117" s="6"/>
      <c r="H117" s="6"/>
      <c r="I117" s="6"/>
      <c r="J117" s="2"/>
      <c r="K117" s="6"/>
      <c r="L117" s="6"/>
      <c r="M117" s="6"/>
      <c r="N117" s="6"/>
      <c r="O117" s="2"/>
      <c r="P117" s="6"/>
      <c r="Q117" s="6"/>
      <c r="R117" s="6"/>
      <c r="S117" s="6"/>
      <c r="T117" s="2"/>
      <c r="U117" s="6"/>
      <c r="V117" s="6"/>
      <c r="W117" s="6"/>
      <c r="X117" s="6"/>
      <c r="Y117" s="2"/>
      <c r="Z117" s="6"/>
      <c r="AA117" s="6"/>
      <c r="AB117" s="6"/>
      <c r="AC117" s="6"/>
      <c r="AD117" s="205"/>
      <c r="AE117" s="39"/>
    </row>
    <row r="118" spans="1:31" s="84" customFormat="1" ht="42" customHeight="1" x14ac:dyDescent="0.2">
      <c r="A118" s="6"/>
      <c r="B118" s="110"/>
      <c r="C118" s="111"/>
      <c r="D118" s="6"/>
      <c r="E118" s="2"/>
      <c r="F118" s="6"/>
      <c r="G118" s="6"/>
      <c r="H118" s="6"/>
      <c r="I118" s="6"/>
      <c r="J118" s="2"/>
      <c r="K118" s="6"/>
      <c r="L118" s="6"/>
      <c r="M118" s="6"/>
      <c r="N118" s="6"/>
      <c r="O118" s="2"/>
      <c r="P118" s="6"/>
      <c r="Q118" s="6"/>
      <c r="R118" s="6"/>
      <c r="S118" s="6"/>
      <c r="T118" s="2"/>
      <c r="U118" s="6"/>
      <c r="V118" s="6"/>
      <c r="W118" s="6"/>
      <c r="X118" s="6"/>
      <c r="Y118" s="2"/>
      <c r="Z118" s="6"/>
      <c r="AA118" s="6"/>
      <c r="AB118" s="6"/>
      <c r="AC118" s="6"/>
      <c r="AD118" s="205"/>
      <c r="AE118" s="39"/>
    </row>
    <row r="119" spans="1:31" s="84" customFormat="1" ht="42" customHeight="1" x14ac:dyDescent="0.2">
      <c r="A119" s="6"/>
      <c r="B119" s="110"/>
      <c r="C119" s="111"/>
      <c r="D119" s="6"/>
      <c r="E119" s="2"/>
      <c r="F119" s="6"/>
      <c r="G119" s="6"/>
      <c r="H119" s="6"/>
      <c r="I119" s="6"/>
      <c r="J119" s="2"/>
      <c r="K119" s="6"/>
      <c r="L119" s="6"/>
      <c r="M119" s="6"/>
      <c r="N119" s="6"/>
      <c r="O119" s="2"/>
      <c r="P119" s="6"/>
      <c r="Q119" s="6"/>
      <c r="R119" s="6"/>
      <c r="S119" s="6"/>
      <c r="T119" s="2"/>
      <c r="U119" s="6"/>
      <c r="V119" s="6"/>
      <c r="W119" s="6"/>
      <c r="X119" s="6"/>
      <c r="Y119" s="2"/>
      <c r="Z119" s="6"/>
      <c r="AA119" s="6"/>
      <c r="AB119" s="6"/>
      <c r="AC119" s="6"/>
      <c r="AD119" s="205"/>
      <c r="AE119" s="39"/>
    </row>
    <row r="120" spans="1:31" s="84" customFormat="1" ht="42" customHeight="1" x14ac:dyDescent="0.2">
      <c r="A120" s="6"/>
      <c r="B120" s="110"/>
      <c r="C120" s="111"/>
      <c r="D120" s="6"/>
      <c r="E120" s="2"/>
      <c r="F120" s="6"/>
      <c r="G120" s="6"/>
      <c r="H120" s="6"/>
      <c r="I120" s="6"/>
      <c r="J120" s="2"/>
      <c r="K120" s="6"/>
      <c r="L120" s="6"/>
      <c r="M120" s="6"/>
      <c r="N120" s="6"/>
      <c r="O120" s="2"/>
      <c r="P120" s="6"/>
      <c r="Q120" s="6"/>
      <c r="R120" s="6"/>
      <c r="S120" s="6"/>
      <c r="T120" s="2"/>
      <c r="U120" s="6"/>
      <c r="V120" s="6"/>
      <c r="W120" s="6"/>
      <c r="X120" s="6"/>
      <c r="Y120" s="2"/>
      <c r="Z120" s="6"/>
      <c r="AA120" s="6"/>
      <c r="AB120" s="6"/>
      <c r="AC120" s="6"/>
      <c r="AD120" s="205"/>
      <c r="AE120" s="39"/>
    </row>
    <row r="121" spans="1:31" s="84" customFormat="1" ht="42" customHeight="1" x14ac:dyDescent="0.2">
      <c r="A121" s="6"/>
      <c r="B121" s="110"/>
      <c r="C121" s="111"/>
      <c r="D121" s="6"/>
      <c r="E121" s="2"/>
      <c r="F121" s="6"/>
      <c r="G121" s="6"/>
      <c r="H121" s="6"/>
      <c r="I121" s="6"/>
      <c r="J121" s="2"/>
      <c r="K121" s="6"/>
      <c r="L121" s="6"/>
      <c r="M121" s="6"/>
      <c r="N121" s="6"/>
      <c r="O121" s="2"/>
      <c r="P121" s="6"/>
      <c r="Q121" s="6"/>
      <c r="R121" s="6"/>
      <c r="S121" s="6"/>
      <c r="T121" s="2"/>
      <c r="U121" s="6"/>
      <c r="V121" s="6"/>
      <c r="W121" s="6"/>
      <c r="X121" s="6"/>
      <c r="Y121" s="2"/>
      <c r="Z121" s="6"/>
      <c r="AA121" s="6"/>
      <c r="AB121" s="6"/>
      <c r="AC121" s="6"/>
      <c r="AD121" s="205"/>
      <c r="AE121" s="39"/>
    </row>
    <row r="122" spans="1:31" s="84" customFormat="1" ht="42" customHeight="1" x14ac:dyDescent="0.2">
      <c r="A122" s="6"/>
      <c r="B122" s="110"/>
      <c r="C122" s="111"/>
      <c r="D122" s="6"/>
      <c r="E122" s="2"/>
      <c r="F122" s="6"/>
      <c r="G122" s="6"/>
      <c r="H122" s="6"/>
      <c r="I122" s="6"/>
      <c r="J122" s="2"/>
      <c r="K122" s="6"/>
      <c r="L122" s="6"/>
      <c r="M122" s="6"/>
      <c r="N122" s="6"/>
      <c r="O122" s="2"/>
      <c r="P122" s="6"/>
      <c r="Q122" s="6"/>
      <c r="R122" s="6"/>
      <c r="S122" s="6"/>
      <c r="T122" s="2"/>
      <c r="U122" s="6"/>
      <c r="V122" s="6"/>
      <c r="W122" s="6"/>
      <c r="X122" s="6"/>
      <c r="Y122" s="2"/>
      <c r="Z122" s="6"/>
      <c r="AA122" s="6"/>
      <c r="AB122" s="6"/>
      <c r="AC122" s="6"/>
      <c r="AD122" s="205"/>
      <c r="AE122" s="39"/>
    </row>
    <row r="123" spans="1:31" s="84" customFormat="1" ht="42" customHeight="1" x14ac:dyDescent="0.2">
      <c r="A123" s="6"/>
      <c r="B123" s="110"/>
      <c r="C123" s="111"/>
      <c r="D123" s="6"/>
      <c r="E123" s="2"/>
      <c r="F123" s="6"/>
      <c r="G123" s="6"/>
      <c r="H123" s="6"/>
      <c r="I123" s="6"/>
      <c r="J123" s="2"/>
      <c r="K123" s="6"/>
      <c r="L123" s="6"/>
      <c r="M123" s="6"/>
      <c r="N123" s="6"/>
      <c r="O123" s="2"/>
      <c r="P123" s="6"/>
      <c r="Q123" s="6"/>
      <c r="R123" s="6"/>
      <c r="S123" s="6"/>
      <c r="T123" s="2"/>
      <c r="U123" s="6"/>
      <c r="V123" s="6"/>
      <c r="W123" s="6"/>
      <c r="X123" s="6"/>
      <c r="Y123" s="2"/>
      <c r="Z123" s="6"/>
      <c r="AA123" s="6"/>
      <c r="AB123" s="6"/>
      <c r="AC123" s="6"/>
      <c r="AD123" s="205"/>
      <c r="AE123" s="39"/>
    </row>
    <row r="124" spans="1:31" s="84" customFormat="1" ht="42" customHeight="1" x14ac:dyDescent="0.2">
      <c r="A124" s="6"/>
      <c r="B124" s="110"/>
      <c r="C124" s="111"/>
      <c r="D124" s="6"/>
      <c r="E124" s="2"/>
      <c r="F124" s="6"/>
      <c r="G124" s="6"/>
      <c r="H124" s="6"/>
      <c r="I124" s="6"/>
      <c r="J124" s="2"/>
      <c r="K124" s="6"/>
      <c r="L124" s="6"/>
      <c r="M124" s="6"/>
      <c r="N124" s="6"/>
      <c r="O124" s="2"/>
      <c r="P124" s="6"/>
      <c r="Q124" s="6"/>
      <c r="R124" s="6"/>
      <c r="S124" s="6"/>
      <c r="T124" s="2"/>
      <c r="U124" s="6"/>
      <c r="V124" s="6"/>
      <c r="W124" s="6"/>
      <c r="X124" s="6"/>
      <c r="Y124" s="2"/>
      <c r="Z124" s="6"/>
      <c r="AA124" s="6"/>
      <c r="AB124" s="6"/>
      <c r="AC124" s="6"/>
      <c r="AD124" s="205"/>
      <c r="AE124" s="39"/>
    </row>
    <row r="125" spans="1:31" s="84" customFormat="1" ht="42" customHeight="1" x14ac:dyDescent="0.2">
      <c r="A125" s="6"/>
      <c r="B125" s="110"/>
      <c r="C125" s="111"/>
      <c r="D125" s="6"/>
      <c r="E125" s="2"/>
      <c r="F125" s="6"/>
      <c r="G125" s="6"/>
      <c r="H125" s="6"/>
      <c r="I125" s="6"/>
      <c r="J125" s="2"/>
      <c r="K125" s="6"/>
      <c r="L125" s="6"/>
      <c r="M125" s="6"/>
      <c r="N125" s="6"/>
      <c r="O125" s="2"/>
      <c r="P125" s="6"/>
      <c r="Q125" s="6"/>
      <c r="R125" s="6"/>
      <c r="S125" s="6"/>
      <c r="T125" s="2"/>
      <c r="U125" s="6"/>
      <c r="V125" s="6"/>
      <c r="W125" s="6"/>
      <c r="X125" s="6"/>
      <c r="Y125" s="2"/>
      <c r="Z125" s="6"/>
      <c r="AA125" s="6"/>
      <c r="AB125" s="6"/>
      <c r="AC125" s="6"/>
      <c r="AD125" s="205"/>
      <c r="AE125" s="39"/>
    </row>
    <row r="126" spans="1:31" s="84" customFormat="1" ht="42" customHeight="1" x14ac:dyDescent="0.2">
      <c r="A126" s="6"/>
      <c r="B126" s="110"/>
      <c r="C126" s="111"/>
      <c r="D126" s="6"/>
      <c r="E126" s="2"/>
      <c r="F126" s="6"/>
      <c r="G126" s="6"/>
      <c r="H126" s="6"/>
      <c r="I126" s="6"/>
      <c r="J126" s="2"/>
      <c r="K126" s="6"/>
      <c r="L126" s="6"/>
      <c r="M126" s="6"/>
      <c r="N126" s="6"/>
      <c r="O126" s="2"/>
      <c r="P126" s="6"/>
      <c r="Q126" s="6"/>
      <c r="R126" s="6"/>
      <c r="S126" s="6"/>
      <c r="T126" s="2"/>
      <c r="U126" s="6"/>
      <c r="V126" s="6"/>
      <c r="W126" s="6"/>
      <c r="X126" s="6"/>
      <c r="Y126" s="2"/>
      <c r="Z126" s="6"/>
      <c r="AA126" s="6"/>
      <c r="AB126" s="6"/>
      <c r="AC126" s="6"/>
      <c r="AD126" s="205"/>
      <c r="AE126" s="39"/>
    </row>
    <row r="127" spans="1:31" s="84" customFormat="1" ht="42" customHeight="1" x14ac:dyDescent="0.2">
      <c r="A127" s="6"/>
      <c r="B127" s="110"/>
      <c r="C127" s="111"/>
      <c r="D127" s="6"/>
      <c r="E127" s="2"/>
      <c r="F127" s="6"/>
      <c r="G127" s="6"/>
      <c r="H127" s="6"/>
      <c r="I127" s="6"/>
      <c r="J127" s="2"/>
      <c r="K127" s="6"/>
      <c r="L127" s="6"/>
      <c r="M127" s="6"/>
      <c r="N127" s="6"/>
      <c r="O127" s="2"/>
      <c r="P127" s="6"/>
      <c r="Q127" s="6"/>
      <c r="R127" s="6"/>
      <c r="S127" s="6"/>
      <c r="T127" s="2"/>
      <c r="U127" s="6"/>
      <c r="V127" s="6"/>
      <c r="W127" s="6"/>
      <c r="X127" s="6"/>
      <c r="Y127" s="2"/>
      <c r="Z127" s="6"/>
      <c r="AA127" s="6"/>
      <c r="AB127" s="6"/>
      <c r="AC127" s="6"/>
      <c r="AD127" s="205"/>
      <c r="AE127" s="39"/>
    </row>
    <row r="128" spans="1:31" s="84" customFormat="1" ht="42" customHeight="1" x14ac:dyDescent="0.2">
      <c r="A128" s="6"/>
      <c r="B128" s="110"/>
      <c r="C128" s="111"/>
      <c r="D128" s="6"/>
      <c r="E128" s="2"/>
      <c r="F128" s="6"/>
      <c r="G128" s="6"/>
      <c r="H128" s="6"/>
      <c r="I128" s="6"/>
      <c r="J128" s="2"/>
      <c r="K128" s="6"/>
      <c r="L128" s="6"/>
      <c r="M128" s="6"/>
      <c r="N128" s="6"/>
      <c r="O128" s="2"/>
      <c r="P128" s="6"/>
      <c r="Q128" s="6"/>
      <c r="R128" s="6"/>
      <c r="S128" s="6"/>
      <c r="T128" s="2"/>
      <c r="U128" s="6"/>
      <c r="V128" s="6"/>
      <c r="W128" s="6"/>
      <c r="X128" s="6"/>
      <c r="Y128" s="2"/>
      <c r="Z128" s="6"/>
      <c r="AA128" s="6"/>
      <c r="AB128" s="6"/>
      <c r="AC128" s="6"/>
      <c r="AD128" s="205"/>
      <c r="AE128" s="39"/>
    </row>
    <row r="129" spans="1:31" s="84" customFormat="1" ht="42" customHeight="1" x14ac:dyDescent="0.2">
      <c r="A129" s="6"/>
      <c r="B129" s="110"/>
      <c r="C129" s="111"/>
      <c r="D129" s="6"/>
      <c r="E129" s="2"/>
      <c r="F129" s="6"/>
      <c r="G129" s="6"/>
      <c r="H129" s="6"/>
      <c r="I129" s="6"/>
      <c r="J129" s="2"/>
      <c r="K129" s="6"/>
      <c r="L129" s="6"/>
      <c r="M129" s="6"/>
      <c r="N129" s="6"/>
      <c r="O129" s="2"/>
      <c r="P129" s="6"/>
      <c r="Q129" s="6"/>
      <c r="R129" s="6"/>
      <c r="S129" s="6"/>
      <c r="T129" s="2"/>
      <c r="U129" s="6"/>
      <c r="V129" s="6"/>
      <c r="W129" s="6"/>
      <c r="X129" s="6"/>
      <c r="Y129" s="2"/>
      <c r="Z129" s="6"/>
      <c r="AA129" s="6"/>
      <c r="AB129" s="6"/>
      <c r="AC129" s="6"/>
      <c r="AD129" s="205"/>
      <c r="AE129" s="39"/>
    </row>
    <row r="130" spans="1:31" s="84" customFormat="1" ht="42" customHeight="1" x14ac:dyDescent="0.2">
      <c r="A130" s="6"/>
      <c r="B130" s="110"/>
      <c r="C130" s="111"/>
      <c r="D130" s="6"/>
      <c r="E130" s="2"/>
      <c r="F130" s="6"/>
      <c r="G130" s="6"/>
      <c r="H130" s="6"/>
      <c r="I130" s="6"/>
      <c r="J130" s="2"/>
      <c r="K130" s="6"/>
      <c r="L130" s="6"/>
      <c r="M130" s="6"/>
      <c r="N130" s="6"/>
      <c r="O130" s="2"/>
      <c r="P130" s="6"/>
      <c r="Q130" s="6"/>
      <c r="R130" s="6"/>
      <c r="S130" s="6"/>
      <c r="T130" s="2"/>
      <c r="U130" s="6"/>
      <c r="V130" s="6"/>
      <c r="W130" s="6"/>
      <c r="X130" s="6"/>
      <c r="Y130" s="2"/>
      <c r="Z130" s="6"/>
      <c r="AA130" s="6"/>
      <c r="AB130" s="6"/>
      <c r="AC130" s="6"/>
      <c r="AD130" s="205"/>
      <c r="AE130" s="39"/>
    </row>
    <row r="131" spans="1:31" s="84" customFormat="1" ht="42" customHeight="1" x14ac:dyDescent="0.2">
      <c r="A131" s="6"/>
      <c r="B131" s="110"/>
      <c r="C131" s="111"/>
      <c r="D131" s="6"/>
      <c r="E131" s="2"/>
      <c r="F131" s="6"/>
      <c r="G131" s="6"/>
      <c r="H131" s="6"/>
      <c r="I131" s="6"/>
      <c r="J131" s="2"/>
      <c r="K131" s="6"/>
      <c r="L131" s="6"/>
      <c r="M131" s="6"/>
      <c r="N131" s="6"/>
      <c r="O131" s="2"/>
      <c r="P131" s="6"/>
      <c r="Q131" s="6"/>
      <c r="R131" s="6"/>
      <c r="S131" s="6"/>
      <c r="T131" s="2"/>
      <c r="U131" s="6"/>
      <c r="V131" s="6"/>
      <c r="W131" s="6"/>
      <c r="X131" s="6"/>
      <c r="Y131" s="2"/>
      <c r="Z131" s="6"/>
      <c r="AA131" s="6"/>
      <c r="AB131" s="6"/>
      <c r="AC131" s="6"/>
      <c r="AD131" s="205"/>
      <c r="AE131" s="39"/>
    </row>
    <row r="132" spans="1:31" s="84" customFormat="1" ht="42" customHeight="1" x14ac:dyDescent="0.2">
      <c r="A132" s="6"/>
      <c r="B132" s="110"/>
      <c r="C132" s="111"/>
      <c r="D132" s="6"/>
      <c r="E132" s="2"/>
      <c r="F132" s="6"/>
      <c r="G132" s="6"/>
      <c r="H132" s="6"/>
      <c r="I132" s="6"/>
      <c r="J132" s="2"/>
      <c r="K132" s="6"/>
      <c r="L132" s="6"/>
      <c r="M132" s="6"/>
      <c r="N132" s="6"/>
      <c r="O132" s="2"/>
      <c r="P132" s="6"/>
      <c r="Q132" s="6"/>
      <c r="R132" s="6"/>
      <c r="S132" s="6"/>
      <c r="T132" s="2"/>
      <c r="U132" s="6"/>
      <c r="V132" s="6"/>
      <c r="W132" s="6"/>
      <c r="X132" s="6"/>
      <c r="Y132" s="2"/>
      <c r="Z132" s="6"/>
      <c r="AA132" s="6"/>
      <c r="AB132" s="6"/>
      <c r="AC132" s="6"/>
      <c r="AD132" s="205"/>
      <c r="AE132" s="39"/>
    </row>
    <row r="133" spans="1:31" s="84" customFormat="1" ht="42" customHeight="1" x14ac:dyDescent="0.2">
      <c r="A133" s="6"/>
      <c r="B133" s="110"/>
      <c r="C133" s="111"/>
      <c r="D133" s="6"/>
      <c r="E133" s="2"/>
      <c r="F133" s="6"/>
      <c r="G133" s="6"/>
      <c r="H133" s="6"/>
      <c r="I133" s="6"/>
      <c r="J133" s="2"/>
      <c r="K133" s="6"/>
      <c r="L133" s="6"/>
      <c r="M133" s="6"/>
      <c r="N133" s="6"/>
      <c r="O133" s="2"/>
      <c r="P133" s="6"/>
      <c r="Q133" s="6"/>
      <c r="R133" s="6"/>
      <c r="S133" s="6"/>
      <c r="T133" s="2"/>
      <c r="U133" s="6"/>
      <c r="V133" s="6"/>
      <c r="W133" s="6"/>
      <c r="X133" s="6"/>
      <c r="Y133" s="2"/>
      <c r="Z133" s="6"/>
      <c r="AA133" s="6"/>
      <c r="AB133" s="6"/>
      <c r="AC133" s="6"/>
      <c r="AD133" s="205"/>
      <c r="AE133" s="39"/>
    </row>
    <row r="134" spans="1:31" s="84" customFormat="1" ht="42" customHeight="1" x14ac:dyDescent="0.2">
      <c r="A134" s="6"/>
      <c r="B134" s="110"/>
      <c r="C134" s="111"/>
      <c r="D134" s="6"/>
      <c r="E134" s="2"/>
      <c r="F134" s="6"/>
      <c r="G134" s="6"/>
      <c r="H134" s="6"/>
      <c r="I134" s="6"/>
      <c r="J134" s="2"/>
      <c r="K134" s="6"/>
      <c r="L134" s="6"/>
      <c r="M134" s="6"/>
      <c r="N134" s="6"/>
      <c r="O134" s="2"/>
      <c r="P134" s="6"/>
      <c r="Q134" s="6"/>
      <c r="R134" s="6"/>
      <c r="S134" s="6"/>
      <c r="T134" s="2"/>
      <c r="U134" s="6"/>
      <c r="V134" s="6"/>
      <c r="W134" s="6"/>
      <c r="X134" s="6"/>
      <c r="Y134" s="2"/>
      <c r="Z134" s="6"/>
      <c r="AA134" s="6"/>
      <c r="AB134" s="6"/>
      <c r="AC134" s="6"/>
      <c r="AD134" s="205"/>
      <c r="AE134" s="39"/>
    </row>
    <row r="135" spans="1:31" s="84" customFormat="1" ht="42" customHeight="1" x14ac:dyDescent="0.2">
      <c r="A135" s="6"/>
      <c r="B135" s="110"/>
      <c r="C135" s="111"/>
      <c r="D135" s="6"/>
      <c r="E135" s="2"/>
      <c r="F135" s="6"/>
      <c r="G135" s="6"/>
      <c r="H135" s="6"/>
      <c r="I135" s="6"/>
      <c r="J135" s="2"/>
      <c r="K135" s="6"/>
      <c r="L135" s="6"/>
      <c r="M135" s="6"/>
      <c r="N135" s="6"/>
      <c r="O135" s="2"/>
      <c r="P135" s="6"/>
      <c r="Q135" s="6"/>
      <c r="R135" s="6"/>
      <c r="S135" s="6"/>
      <c r="T135" s="2"/>
      <c r="U135" s="6"/>
      <c r="V135" s="6"/>
      <c r="W135" s="6"/>
      <c r="X135" s="6"/>
      <c r="Y135" s="2"/>
      <c r="Z135" s="6"/>
      <c r="AA135" s="6"/>
      <c r="AB135" s="6"/>
      <c r="AC135" s="6"/>
      <c r="AD135" s="205"/>
      <c r="AE135" s="39"/>
    </row>
    <row r="136" spans="1:31" s="84" customFormat="1" ht="42" customHeight="1" x14ac:dyDescent="0.2">
      <c r="A136" s="6"/>
      <c r="B136" s="110"/>
      <c r="C136" s="111"/>
      <c r="D136" s="6"/>
      <c r="E136" s="2"/>
      <c r="F136" s="6"/>
      <c r="G136" s="6"/>
      <c r="H136" s="6"/>
      <c r="I136" s="6"/>
      <c r="J136" s="2"/>
      <c r="K136" s="6"/>
      <c r="L136" s="6"/>
      <c r="M136" s="6"/>
      <c r="N136" s="6"/>
      <c r="O136" s="2"/>
      <c r="P136" s="6"/>
      <c r="Q136" s="6"/>
      <c r="R136" s="6"/>
      <c r="S136" s="6"/>
      <c r="T136" s="2"/>
      <c r="U136" s="6"/>
      <c r="V136" s="6"/>
      <c r="W136" s="6"/>
      <c r="X136" s="6"/>
      <c r="Y136" s="2"/>
      <c r="Z136" s="6"/>
      <c r="AA136" s="6"/>
      <c r="AB136" s="6"/>
      <c r="AC136" s="6"/>
      <c r="AD136" s="205"/>
      <c r="AE136" s="39"/>
    </row>
    <row r="137" spans="1:31" s="84" customFormat="1" ht="42" customHeight="1" x14ac:dyDescent="0.2">
      <c r="A137" s="6"/>
      <c r="B137" s="110"/>
      <c r="C137" s="111"/>
      <c r="D137" s="6"/>
      <c r="E137" s="2"/>
      <c r="F137" s="6"/>
      <c r="G137" s="6"/>
      <c r="H137" s="6"/>
      <c r="I137" s="6"/>
      <c r="J137" s="2"/>
      <c r="K137" s="6"/>
      <c r="L137" s="6"/>
      <c r="M137" s="6"/>
      <c r="N137" s="6"/>
      <c r="O137" s="2"/>
      <c r="P137" s="6"/>
      <c r="Q137" s="6"/>
      <c r="R137" s="6"/>
      <c r="S137" s="6"/>
      <c r="T137" s="2"/>
      <c r="U137" s="6"/>
      <c r="V137" s="6"/>
      <c r="W137" s="6"/>
      <c r="X137" s="6"/>
      <c r="Y137" s="2"/>
      <c r="Z137" s="6"/>
      <c r="AA137" s="6"/>
      <c r="AB137" s="6"/>
      <c r="AC137" s="6"/>
      <c r="AD137" s="205"/>
      <c r="AE137" s="39"/>
    </row>
    <row r="138" spans="1:31" s="84" customFormat="1" ht="42" customHeight="1" x14ac:dyDescent="0.2">
      <c r="A138" s="6"/>
      <c r="B138" s="110"/>
      <c r="C138" s="111"/>
      <c r="D138" s="6"/>
      <c r="E138" s="2"/>
      <c r="F138" s="6"/>
      <c r="G138" s="6"/>
      <c r="H138" s="6"/>
      <c r="I138" s="6"/>
      <c r="J138" s="2"/>
      <c r="K138" s="6"/>
      <c r="L138" s="6"/>
      <c r="M138" s="6"/>
      <c r="N138" s="6"/>
      <c r="O138" s="2"/>
      <c r="P138" s="6"/>
      <c r="Q138" s="6"/>
      <c r="R138" s="6"/>
      <c r="S138" s="6"/>
      <c r="T138" s="2"/>
      <c r="U138" s="6"/>
      <c r="V138" s="6"/>
      <c r="W138" s="6"/>
      <c r="X138" s="6"/>
      <c r="Y138" s="2"/>
      <c r="Z138" s="6"/>
      <c r="AA138" s="6"/>
      <c r="AB138" s="6"/>
      <c r="AC138" s="6"/>
      <c r="AD138" s="205"/>
      <c r="AE138" s="39"/>
    </row>
    <row r="139" spans="1:31" s="84" customFormat="1" ht="42" customHeight="1" x14ac:dyDescent="0.2">
      <c r="A139" s="6"/>
      <c r="B139" s="110"/>
      <c r="C139" s="111"/>
      <c r="D139" s="6"/>
      <c r="E139" s="2"/>
      <c r="F139" s="6"/>
      <c r="G139" s="6"/>
      <c r="H139" s="6"/>
      <c r="I139" s="6"/>
      <c r="J139" s="2"/>
      <c r="K139" s="6"/>
      <c r="L139" s="6"/>
      <c r="M139" s="6"/>
      <c r="N139" s="6"/>
      <c r="O139" s="2"/>
      <c r="P139" s="6"/>
      <c r="Q139" s="6"/>
      <c r="R139" s="6"/>
      <c r="S139" s="6"/>
      <c r="T139" s="2"/>
      <c r="U139" s="6"/>
      <c r="V139" s="6"/>
      <c r="W139" s="6"/>
      <c r="X139" s="6"/>
      <c r="Y139" s="2"/>
      <c r="Z139" s="6"/>
      <c r="AA139" s="6"/>
      <c r="AB139" s="6"/>
      <c r="AC139" s="6"/>
      <c r="AD139" s="205"/>
      <c r="AE139" s="39"/>
    </row>
    <row r="140" spans="1:31" s="84" customFormat="1" ht="42" customHeight="1" x14ac:dyDescent="0.2">
      <c r="A140" s="6"/>
      <c r="B140" s="110"/>
      <c r="C140" s="111"/>
      <c r="D140" s="6"/>
      <c r="E140" s="2"/>
      <c r="F140" s="6"/>
      <c r="G140" s="6"/>
      <c r="H140" s="6"/>
      <c r="I140" s="6"/>
      <c r="J140" s="2"/>
      <c r="K140" s="6"/>
      <c r="L140" s="6"/>
      <c r="M140" s="6"/>
      <c r="N140" s="6"/>
      <c r="O140" s="2"/>
      <c r="P140" s="6"/>
      <c r="Q140" s="6"/>
      <c r="R140" s="6"/>
      <c r="S140" s="6"/>
      <c r="T140" s="2"/>
      <c r="U140" s="6"/>
      <c r="V140" s="6"/>
      <c r="W140" s="6"/>
      <c r="X140" s="6"/>
      <c r="Y140" s="2"/>
      <c r="Z140" s="6"/>
      <c r="AA140" s="6"/>
      <c r="AB140" s="6"/>
      <c r="AC140" s="6"/>
      <c r="AD140" s="205"/>
      <c r="AE140" s="39"/>
    </row>
    <row r="141" spans="1:31" s="84" customFormat="1" ht="42" customHeight="1" x14ac:dyDescent="0.2">
      <c r="A141" s="6"/>
      <c r="B141" s="110"/>
      <c r="C141" s="111"/>
      <c r="D141" s="6"/>
      <c r="E141" s="2"/>
      <c r="F141" s="6"/>
      <c r="G141" s="6"/>
      <c r="H141" s="6"/>
      <c r="I141" s="6"/>
      <c r="J141" s="2"/>
      <c r="K141" s="6"/>
      <c r="L141" s="6"/>
      <c r="M141" s="6"/>
      <c r="N141" s="6"/>
      <c r="O141" s="2"/>
      <c r="P141" s="6"/>
      <c r="Q141" s="6"/>
      <c r="R141" s="6"/>
      <c r="S141" s="6"/>
      <c r="T141" s="2"/>
      <c r="U141" s="6"/>
      <c r="V141" s="6"/>
      <c r="W141" s="6"/>
      <c r="X141" s="6"/>
      <c r="Y141" s="2"/>
      <c r="Z141" s="6"/>
      <c r="AA141" s="6"/>
      <c r="AB141" s="6"/>
      <c r="AC141" s="6"/>
      <c r="AD141" s="205"/>
      <c r="AE141" s="39"/>
    </row>
    <row r="142" spans="1:31" s="84" customFormat="1" ht="42" customHeight="1" x14ac:dyDescent="0.2">
      <c r="A142" s="6"/>
      <c r="B142" s="110"/>
      <c r="C142" s="111"/>
      <c r="D142" s="6"/>
      <c r="E142" s="2"/>
      <c r="F142" s="6"/>
      <c r="G142" s="6"/>
      <c r="H142" s="6"/>
      <c r="I142" s="6"/>
      <c r="J142" s="2"/>
      <c r="K142" s="6"/>
      <c r="L142" s="6"/>
      <c r="M142" s="6"/>
      <c r="N142" s="6"/>
      <c r="O142" s="2"/>
      <c r="P142" s="6"/>
      <c r="Q142" s="6"/>
      <c r="R142" s="6"/>
      <c r="S142" s="6"/>
      <c r="T142" s="2"/>
      <c r="U142" s="6"/>
      <c r="V142" s="6"/>
      <c r="W142" s="6"/>
      <c r="X142" s="6"/>
      <c r="Y142" s="2"/>
      <c r="Z142" s="6"/>
      <c r="AA142" s="6"/>
      <c r="AB142" s="6"/>
      <c r="AC142" s="6"/>
      <c r="AD142" s="205"/>
      <c r="AE142" s="39"/>
    </row>
    <row r="143" spans="1:31" s="84" customFormat="1" ht="42" customHeight="1" x14ac:dyDescent="0.2">
      <c r="A143" s="6"/>
      <c r="B143" s="110"/>
      <c r="C143" s="111"/>
      <c r="D143" s="6"/>
      <c r="E143" s="2"/>
      <c r="F143" s="6"/>
      <c r="G143" s="6"/>
      <c r="H143" s="6"/>
      <c r="I143" s="6"/>
      <c r="J143" s="2"/>
      <c r="K143" s="6"/>
      <c r="L143" s="6"/>
      <c r="M143" s="6"/>
      <c r="N143" s="6"/>
      <c r="O143" s="2"/>
      <c r="P143" s="6"/>
      <c r="Q143" s="6"/>
      <c r="R143" s="6"/>
      <c r="S143" s="6"/>
      <c r="T143" s="2"/>
      <c r="U143" s="6"/>
      <c r="V143" s="6"/>
      <c r="W143" s="6"/>
      <c r="X143" s="6"/>
      <c r="Y143" s="2"/>
      <c r="Z143" s="6"/>
      <c r="AA143" s="6"/>
      <c r="AB143" s="6"/>
      <c r="AC143" s="6"/>
      <c r="AD143" s="205"/>
      <c r="AE143" s="39"/>
    </row>
    <row r="144" spans="1:31" s="84" customFormat="1" ht="42" customHeight="1" x14ac:dyDescent="0.2">
      <c r="A144" s="6"/>
      <c r="B144" s="110"/>
      <c r="C144" s="111"/>
      <c r="D144" s="6"/>
      <c r="E144" s="2"/>
      <c r="F144" s="6"/>
      <c r="G144" s="6"/>
      <c r="H144" s="6"/>
      <c r="I144" s="6"/>
      <c r="J144" s="2"/>
      <c r="K144" s="6"/>
      <c r="L144" s="6"/>
      <c r="M144" s="6"/>
      <c r="N144" s="6"/>
      <c r="O144" s="2"/>
      <c r="P144" s="6"/>
      <c r="Q144" s="6"/>
      <c r="R144" s="6"/>
      <c r="S144" s="6"/>
      <c r="T144" s="2"/>
      <c r="U144" s="6"/>
      <c r="V144" s="6"/>
      <c r="W144" s="6"/>
      <c r="X144" s="6"/>
      <c r="Y144" s="2"/>
      <c r="Z144" s="6"/>
      <c r="AA144" s="6"/>
      <c r="AB144" s="6"/>
      <c r="AC144" s="6"/>
      <c r="AD144" s="205"/>
      <c r="AE144" s="39"/>
    </row>
    <row r="145" spans="1:31" s="84" customFormat="1" ht="42" customHeight="1" x14ac:dyDescent="0.2">
      <c r="A145" s="6"/>
      <c r="B145" s="110"/>
      <c r="C145" s="111"/>
      <c r="D145" s="6"/>
      <c r="E145" s="2"/>
      <c r="F145" s="6"/>
      <c r="G145" s="6"/>
      <c r="H145" s="6"/>
      <c r="I145" s="6"/>
      <c r="J145" s="2"/>
      <c r="K145" s="6"/>
      <c r="L145" s="6"/>
      <c r="M145" s="6"/>
      <c r="N145" s="6"/>
      <c r="O145" s="2"/>
      <c r="P145" s="6"/>
      <c r="Q145" s="6"/>
      <c r="R145" s="6"/>
      <c r="S145" s="6"/>
      <c r="T145" s="2"/>
      <c r="U145" s="6"/>
      <c r="V145" s="6"/>
      <c r="W145" s="6"/>
      <c r="X145" s="6"/>
      <c r="Y145" s="2"/>
      <c r="Z145" s="6"/>
      <c r="AA145" s="6"/>
      <c r="AB145" s="6"/>
      <c r="AC145" s="6"/>
      <c r="AD145" s="205"/>
      <c r="AE145" s="39"/>
    </row>
    <row r="146" spans="1:31" s="84" customFormat="1" ht="42" customHeight="1" x14ac:dyDescent="0.2">
      <c r="A146" s="6"/>
      <c r="B146" s="110"/>
      <c r="C146" s="111"/>
      <c r="D146" s="6"/>
      <c r="E146" s="2"/>
      <c r="F146" s="6"/>
      <c r="G146" s="6"/>
      <c r="H146" s="6"/>
      <c r="I146" s="6"/>
      <c r="J146" s="2"/>
      <c r="K146" s="6"/>
      <c r="L146" s="6"/>
      <c r="M146" s="6"/>
      <c r="N146" s="6"/>
      <c r="O146" s="2"/>
      <c r="P146" s="6"/>
      <c r="Q146" s="6"/>
      <c r="R146" s="6"/>
      <c r="S146" s="6"/>
      <c r="T146" s="2"/>
      <c r="U146" s="6"/>
      <c r="V146" s="6"/>
      <c r="W146" s="6"/>
      <c r="X146" s="6"/>
      <c r="Y146" s="2"/>
      <c r="Z146" s="6"/>
      <c r="AA146" s="6"/>
      <c r="AB146" s="6"/>
      <c r="AC146" s="6"/>
      <c r="AD146" s="205"/>
      <c r="AE146" s="39"/>
    </row>
    <row r="147" spans="1:31" s="84" customFormat="1" ht="42" customHeight="1" x14ac:dyDescent="0.2">
      <c r="A147" s="6"/>
      <c r="B147" s="110"/>
      <c r="C147" s="111"/>
      <c r="D147" s="6"/>
      <c r="E147" s="2"/>
      <c r="F147" s="6"/>
      <c r="G147" s="6"/>
      <c r="H147" s="6"/>
      <c r="I147" s="6"/>
      <c r="J147" s="2"/>
      <c r="K147" s="6"/>
      <c r="L147" s="6"/>
      <c r="M147" s="6"/>
      <c r="N147" s="6"/>
      <c r="O147" s="2"/>
      <c r="P147" s="6"/>
      <c r="Q147" s="6"/>
      <c r="R147" s="6"/>
      <c r="S147" s="6"/>
      <c r="T147" s="2"/>
      <c r="U147" s="6"/>
      <c r="V147" s="6"/>
      <c r="W147" s="6"/>
      <c r="X147" s="6"/>
      <c r="Y147" s="2"/>
      <c r="Z147" s="6"/>
      <c r="AA147" s="6"/>
      <c r="AB147" s="6"/>
      <c r="AC147" s="6"/>
      <c r="AD147" s="205"/>
      <c r="AE147" s="39"/>
    </row>
    <row r="148" spans="1:31" s="84" customFormat="1" ht="42" customHeight="1" x14ac:dyDescent="0.2">
      <c r="A148" s="6"/>
      <c r="B148" s="110"/>
      <c r="C148" s="111"/>
      <c r="D148" s="6"/>
      <c r="E148" s="2"/>
      <c r="F148" s="6"/>
      <c r="G148" s="6"/>
      <c r="H148" s="6"/>
      <c r="I148" s="6"/>
      <c r="J148" s="2"/>
      <c r="K148" s="6"/>
      <c r="L148" s="6"/>
      <c r="M148" s="6"/>
      <c r="N148" s="6"/>
      <c r="O148" s="2"/>
      <c r="P148" s="6"/>
      <c r="Q148" s="6"/>
      <c r="R148" s="6"/>
      <c r="S148" s="6"/>
      <c r="T148" s="2"/>
      <c r="U148" s="6"/>
      <c r="V148" s="6"/>
      <c r="W148" s="6"/>
      <c r="X148" s="6"/>
      <c r="Y148" s="2"/>
      <c r="Z148" s="6"/>
      <c r="AA148" s="6"/>
      <c r="AB148" s="6"/>
      <c r="AC148" s="6"/>
      <c r="AD148" s="205"/>
      <c r="AE148" s="39"/>
    </row>
    <row r="149" spans="1:31" s="84" customFormat="1" ht="42" customHeight="1" x14ac:dyDescent="0.2">
      <c r="A149" s="6"/>
      <c r="B149" s="110"/>
      <c r="C149" s="111"/>
      <c r="D149" s="6"/>
      <c r="E149" s="2"/>
      <c r="F149" s="6"/>
      <c r="G149" s="6"/>
      <c r="H149" s="6"/>
      <c r="I149" s="6"/>
      <c r="J149" s="2"/>
      <c r="K149" s="6"/>
      <c r="L149" s="6"/>
      <c r="M149" s="6"/>
      <c r="N149" s="6"/>
      <c r="O149" s="2"/>
      <c r="P149" s="6"/>
      <c r="Q149" s="6"/>
      <c r="R149" s="6"/>
      <c r="S149" s="6"/>
      <c r="T149" s="2"/>
      <c r="U149" s="6"/>
      <c r="V149" s="6"/>
      <c r="W149" s="6"/>
      <c r="X149" s="6"/>
      <c r="Y149" s="2"/>
      <c r="Z149" s="6"/>
      <c r="AA149" s="6"/>
      <c r="AB149" s="6"/>
      <c r="AC149" s="6"/>
      <c r="AD149" s="205"/>
      <c r="AE149" s="39"/>
    </row>
    <row r="150" spans="1:31" s="84" customFormat="1" ht="42" customHeight="1" x14ac:dyDescent="0.2">
      <c r="A150" s="6"/>
      <c r="B150" s="110"/>
      <c r="C150" s="111"/>
      <c r="D150" s="6"/>
      <c r="E150" s="2"/>
      <c r="F150" s="6"/>
      <c r="G150" s="6"/>
      <c r="H150" s="6"/>
      <c r="I150" s="6"/>
      <c r="J150" s="2"/>
      <c r="K150" s="6"/>
      <c r="L150" s="6"/>
      <c r="M150" s="6"/>
      <c r="N150" s="6"/>
      <c r="O150" s="2"/>
      <c r="P150" s="6"/>
      <c r="Q150" s="6"/>
      <c r="R150" s="6"/>
      <c r="S150" s="6"/>
      <c r="T150" s="2"/>
      <c r="U150" s="6"/>
      <c r="V150" s="6"/>
      <c r="W150" s="6"/>
      <c r="X150" s="6"/>
      <c r="Y150" s="2"/>
      <c r="Z150" s="6"/>
      <c r="AA150" s="6"/>
      <c r="AB150" s="6"/>
      <c r="AC150" s="6"/>
      <c r="AD150" s="205"/>
      <c r="AE150" s="39"/>
    </row>
    <row r="151" spans="1:31" s="84" customFormat="1" ht="42" customHeight="1" x14ac:dyDescent="0.2">
      <c r="A151" s="6"/>
      <c r="B151" s="110"/>
      <c r="C151" s="111"/>
      <c r="D151" s="6"/>
      <c r="E151" s="2"/>
      <c r="F151" s="6"/>
      <c r="G151" s="6"/>
      <c r="H151" s="6"/>
      <c r="I151" s="6"/>
      <c r="J151" s="2"/>
      <c r="K151" s="6"/>
      <c r="L151" s="6"/>
      <c r="M151" s="6"/>
      <c r="N151" s="6"/>
      <c r="O151" s="2"/>
      <c r="P151" s="6"/>
      <c r="Q151" s="6"/>
      <c r="R151" s="6"/>
      <c r="S151" s="6"/>
      <c r="T151" s="2"/>
      <c r="U151" s="6"/>
      <c r="V151" s="6"/>
      <c r="W151" s="6"/>
      <c r="X151" s="6"/>
      <c r="Y151" s="2"/>
      <c r="Z151" s="6"/>
      <c r="AA151" s="6"/>
      <c r="AB151" s="6"/>
      <c r="AC151" s="6"/>
      <c r="AD151" s="205"/>
      <c r="AE151" s="39"/>
    </row>
    <row r="152" spans="1:31" s="84" customFormat="1" ht="42" customHeight="1" x14ac:dyDescent="0.2">
      <c r="A152" s="6"/>
      <c r="B152" s="110"/>
      <c r="C152" s="111"/>
      <c r="D152" s="6"/>
      <c r="E152" s="2"/>
      <c r="F152" s="6"/>
      <c r="G152" s="6"/>
      <c r="H152" s="6"/>
      <c r="I152" s="6"/>
      <c r="J152" s="2"/>
      <c r="K152" s="6"/>
      <c r="L152" s="6"/>
      <c r="M152" s="6"/>
      <c r="N152" s="6"/>
      <c r="O152" s="2"/>
      <c r="P152" s="6"/>
      <c r="Q152" s="6"/>
      <c r="R152" s="6"/>
      <c r="S152" s="6"/>
      <c r="T152" s="2"/>
      <c r="U152" s="6"/>
      <c r="V152" s="6"/>
      <c r="W152" s="6"/>
      <c r="X152" s="6"/>
      <c r="Y152" s="2"/>
      <c r="Z152" s="6"/>
      <c r="AA152" s="6"/>
      <c r="AB152" s="6"/>
      <c r="AC152" s="6"/>
      <c r="AD152" s="205"/>
      <c r="AE152" s="39"/>
    </row>
    <row r="153" spans="1:31" s="84" customFormat="1" ht="42" customHeight="1" x14ac:dyDescent="0.2">
      <c r="A153" s="6"/>
      <c r="B153" s="110"/>
      <c r="C153" s="111"/>
      <c r="D153" s="6"/>
      <c r="E153" s="2"/>
      <c r="F153" s="6"/>
      <c r="G153" s="6"/>
      <c r="H153" s="6"/>
      <c r="I153" s="6"/>
      <c r="J153" s="2"/>
      <c r="K153" s="6"/>
      <c r="L153" s="6"/>
      <c r="M153" s="6"/>
      <c r="N153" s="6"/>
      <c r="O153" s="2"/>
      <c r="P153" s="6"/>
      <c r="Q153" s="6"/>
      <c r="R153" s="6"/>
      <c r="S153" s="6"/>
      <c r="T153" s="2"/>
      <c r="U153" s="6"/>
      <c r="V153" s="6"/>
      <c r="W153" s="6"/>
      <c r="X153" s="6"/>
      <c r="Y153" s="2"/>
      <c r="Z153" s="6"/>
      <c r="AA153" s="6"/>
      <c r="AB153" s="6"/>
      <c r="AC153" s="6"/>
      <c r="AD153" s="205"/>
      <c r="AE153" s="39"/>
    </row>
    <row r="154" spans="1:31" s="84" customFormat="1" ht="42" customHeight="1" x14ac:dyDescent="0.2">
      <c r="A154" s="6"/>
      <c r="B154" s="110"/>
      <c r="C154" s="111"/>
      <c r="D154" s="6"/>
      <c r="E154" s="2"/>
      <c r="F154" s="6"/>
      <c r="G154" s="6"/>
      <c r="H154" s="6"/>
      <c r="I154" s="6"/>
      <c r="J154" s="2"/>
      <c r="K154" s="6"/>
      <c r="L154" s="6"/>
      <c r="M154" s="6"/>
      <c r="N154" s="6"/>
      <c r="O154" s="2"/>
      <c r="P154" s="6"/>
      <c r="Q154" s="6"/>
      <c r="R154" s="6"/>
      <c r="S154" s="6"/>
      <c r="T154" s="2"/>
      <c r="U154" s="6"/>
      <c r="V154" s="6"/>
      <c r="W154" s="6"/>
      <c r="X154" s="6"/>
      <c r="Y154" s="2"/>
      <c r="Z154" s="6"/>
      <c r="AA154" s="6"/>
      <c r="AB154" s="6"/>
      <c r="AC154" s="6"/>
      <c r="AD154" s="205"/>
      <c r="AE154" s="39"/>
    </row>
    <row r="155" spans="1:31" s="84" customFormat="1" ht="42" customHeight="1" x14ac:dyDescent="0.2">
      <c r="A155" s="6"/>
      <c r="B155" s="110"/>
      <c r="C155" s="111"/>
      <c r="D155" s="6"/>
      <c r="E155" s="2"/>
      <c r="F155" s="6"/>
      <c r="G155" s="6"/>
      <c r="H155" s="6"/>
      <c r="I155" s="6"/>
      <c r="J155" s="2"/>
      <c r="K155" s="6"/>
      <c r="L155" s="6"/>
      <c r="M155" s="6"/>
      <c r="N155" s="6"/>
      <c r="O155" s="2"/>
      <c r="P155" s="6"/>
      <c r="Q155" s="6"/>
      <c r="R155" s="6"/>
      <c r="S155" s="6"/>
      <c r="T155" s="2"/>
      <c r="U155" s="6"/>
      <c r="V155" s="6"/>
      <c r="W155" s="6"/>
      <c r="X155" s="6"/>
      <c r="Y155" s="2"/>
      <c r="Z155" s="6"/>
      <c r="AA155" s="6"/>
      <c r="AB155" s="6"/>
      <c r="AC155" s="6"/>
      <c r="AD155" s="205"/>
      <c r="AE155" s="39"/>
    </row>
    <row r="156" spans="1:31" s="84" customFormat="1" ht="42" customHeight="1" x14ac:dyDescent="0.2">
      <c r="A156" s="6"/>
      <c r="B156" s="110"/>
      <c r="C156" s="111"/>
      <c r="D156" s="6"/>
      <c r="E156" s="2"/>
      <c r="F156" s="6"/>
      <c r="G156" s="6"/>
      <c r="H156" s="6"/>
      <c r="I156" s="6"/>
      <c r="J156" s="2"/>
      <c r="K156" s="6"/>
      <c r="L156" s="6"/>
      <c r="M156" s="6"/>
      <c r="N156" s="6"/>
      <c r="O156" s="2"/>
      <c r="P156" s="6"/>
      <c r="Q156" s="6"/>
      <c r="R156" s="6"/>
      <c r="S156" s="6"/>
      <c r="T156" s="2"/>
      <c r="U156" s="6"/>
      <c r="V156" s="6"/>
      <c r="W156" s="6"/>
      <c r="X156" s="6"/>
      <c r="Y156" s="2"/>
      <c r="Z156" s="6"/>
      <c r="AA156" s="6"/>
      <c r="AB156" s="6"/>
      <c r="AC156" s="6"/>
      <c r="AD156" s="205"/>
      <c r="AE156" s="39"/>
    </row>
    <row r="157" spans="1:31" s="84" customFormat="1" ht="42" customHeight="1" x14ac:dyDescent="0.2">
      <c r="A157" s="6"/>
      <c r="B157" s="110"/>
      <c r="C157" s="111"/>
      <c r="D157" s="6"/>
      <c r="E157" s="2"/>
      <c r="F157" s="6"/>
      <c r="G157" s="6"/>
      <c r="H157" s="6"/>
      <c r="I157" s="6"/>
      <c r="J157" s="2"/>
      <c r="K157" s="6"/>
      <c r="L157" s="6"/>
      <c r="M157" s="6"/>
      <c r="N157" s="6"/>
      <c r="O157" s="2"/>
      <c r="P157" s="6"/>
      <c r="Q157" s="6"/>
      <c r="R157" s="6"/>
      <c r="S157" s="6"/>
      <c r="T157" s="2"/>
      <c r="U157" s="6"/>
      <c r="V157" s="6"/>
      <c r="W157" s="6"/>
      <c r="X157" s="6"/>
      <c r="Y157" s="2"/>
      <c r="Z157" s="6"/>
      <c r="AA157" s="6"/>
      <c r="AB157" s="6"/>
      <c r="AC157" s="6"/>
      <c r="AD157" s="205"/>
      <c r="AE157" s="39"/>
    </row>
    <row r="158" spans="1:31" s="84" customFormat="1" ht="42" customHeight="1" x14ac:dyDescent="0.2">
      <c r="A158" s="6"/>
      <c r="B158" s="110"/>
      <c r="C158" s="111"/>
      <c r="D158" s="6"/>
      <c r="E158" s="2"/>
      <c r="F158" s="6"/>
      <c r="G158" s="6"/>
      <c r="H158" s="6"/>
      <c r="I158" s="6"/>
      <c r="J158" s="2"/>
      <c r="K158" s="6"/>
      <c r="L158" s="6"/>
      <c r="M158" s="6"/>
      <c r="N158" s="6"/>
      <c r="O158" s="2"/>
      <c r="P158" s="6"/>
      <c r="Q158" s="6"/>
      <c r="R158" s="6"/>
      <c r="S158" s="6"/>
      <c r="T158" s="2"/>
      <c r="U158" s="6"/>
      <c r="V158" s="6"/>
      <c r="W158" s="6"/>
      <c r="X158" s="6"/>
      <c r="Y158" s="2"/>
      <c r="Z158" s="6"/>
      <c r="AA158" s="6"/>
      <c r="AB158" s="6"/>
      <c r="AC158" s="6"/>
      <c r="AD158" s="205"/>
      <c r="AE158" s="39"/>
    </row>
    <row r="159" spans="1:31" s="84" customFormat="1" ht="42" customHeight="1" x14ac:dyDescent="0.2">
      <c r="A159" s="6"/>
      <c r="B159" s="110"/>
      <c r="C159" s="111"/>
      <c r="D159" s="6"/>
      <c r="E159" s="2"/>
      <c r="F159" s="6"/>
      <c r="G159" s="6"/>
      <c r="H159" s="6"/>
      <c r="I159" s="6"/>
      <c r="J159" s="2"/>
      <c r="K159" s="6"/>
      <c r="L159" s="6"/>
      <c r="M159" s="6"/>
      <c r="N159" s="6"/>
      <c r="O159" s="2"/>
      <c r="P159" s="6"/>
      <c r="Q159" s="6"/>
      <c r="R159" s="6"/>
      <c r="S159" s="6"/>
      <c r="T159" s="2"/>
      <c r="U159" s="6"/>
      <c r="V159" s="6"/>
      <c r="W159" s="6"/>
      <c r="X159" s="6"/>
      <c r="Y159" s="2"/>
      <c r="Z159" s="6"/>
      <c r="AA159" s="6"/>
      <c r="AB159" s="6"/>
      <c r="AC159" s="6"/>
      <c r="AD159" s="205"/>
      <c r="AE159" s="39"/>
    </row>
    <row r="160" spans="1:31" s="84" customFormat="1" ht="42" customHeight="1" x14ac:dyDescent="0.2">
      <c r="A160" s="6"/>
      <c r="B160" s="110"/>
      <c r="C160" s="111"/>
      <c r="D160" s="6"/>
      <c r="E160" s="2"/>
      <c r="F160" s="6"/>
      <c r="G160" s="6"/>
      <c r="H160" s="6"/>
      <c r="I160" s="6"/>
      <c r="J160" s="2"/>
      <c r="K160" s="6"/>
      <c r="L160" s="6"/>
      <c r="M160" s="6"/>
      <c r="N160" s="6"/>
      <c r="O160" s="2"/>
      <c r="P160" s="6"/>
      <c r="Q160" s="6"/>
      <c r="R160" s="6"/>
      <c r="S160" s="6"/>
      <c r="T160" s="2"/>
      <c r="U160" s="6"/>
      <c r="V160" s="6"/>
      <c r="W160" s="6"/>
      <c r="X160" s="6"/>
      <c r="Y160" s="2"/>
      <c r="Z160" s="6"/>
      <c r="AA160" s="6"/>
      <c r="AB160" s="6"/>
      <c r="AC160" s="6"/>
      <c r="AD160" s="205"/>
      <c r="AE160" s="39"/>
    </row>
    <row r="161" spans="1:31" s="84" customFormat="1" ht="42" customHeight="1" x14ac:dyDescent="0.2">
      <c r="A161" s="6"/>
      <c r="B161" s="110"/>
      <c r="C161" s="111"/>
      <c r="D161" s="6"/>
      <c r="E161" s="2"/>
      <c r="F161" s="6"/>
      <c r="G161" s="6"/>
      <c r="H161" s="6"/>
      <c r="I161" s="6"/>
      <c r="J161" s="2"/>
      <c r="K161" s="6"/>
      <c r="L161" s="6"/>
      <c r="M161" s="6"/>
      <c r="N161" s="6"/>
      <c r="O161" s="2"/>
      <c r="P161" s="6"/>
      <c r="Q161" s="6"/>
      <c r="R161" s="6"/>
      <c r="S161" s="6"/>
      <c r="T161" s="2"/>
      <c r="U161" s="6"/>
      <c r="V161" s="6"/>
      <c r="W161" s="6"/>
      <c r="X161" s="6"/>
      <c r="Y161" s="2"/>
      <c r="Z161" s="6"/>
      <c r="AA161" s="6"/>
      <c r="AB161" s="6"/>
      <c r="AC161" s="6"/>
      <c r="AD161" s="205"/>
      <c r="AE161" s="39"/>
    </row>
    <row r="162" spans="1:31" s="84" customFormat="1" ht="42" customHeight="1" x14ac:dyDescent="0.2">
      <c r="A162" s="6"/>
      <c r="B162" s="110"/>
      <c r="C162" s="111"/>
      <c r="D162" s="6"/>
      <c r="E162" s="2"/>
      <c r="F162" s="6"/>
      <c r="G162" s="6"/>
      <c r="H162" s="6"/>
      <c r="I162" s="6"/>
      <c r="J162" s="2"/>
      <c r="K162" s="6"/>
      <c r="L162" s="6"/>
      <c r="M162" s="6"/>
      <c r="N162" s="6"/>
      <c r="O162" s="2"/>
      <c r="P162" s="6"/>
      <c r="Q162" s="6"/>
      <c r="R162" s="6"/>
      <c r="S162" s="6"/>
      <c r="T162" s="2"/>
      <c r="U162" s="6"/>
      <c r="V162" s="6"/>
      <c r="W162" s="6"/>
      <c r="X162" s="6"/>
      <c r="Y162" s="2"/>
      <c r="Z162" s="6"/>
      <c r="AA162" s="6"/>
      <c r="AB162" s="6"/>
      <c r="AC162" s="6"/>
      <c r="AD162" s="205"/>
      <c r="AE162" s="39"/>
    </row>
    <row r="163" spans="1:31" s="84" customFormat="1" ht="42" customHeight="1" x14ac:dyDescent="0.2">
      <c r="A163" s="6"/>
      <c r="B163" s="110"/>
      <c r="C163" s="111"/>
      <c r="D163" s="6"/>
      <c r="E163" s="2"/>
      <c r="F163" s="6"/>
      <c r="G163" s="6"/>
      <c r="H163" s="6"/>
      <c r="I163" s="6"/>
      <c r="J163" s="2"/>
      <c r="K163" s="6"/>
      <c r="L163" s="6"/>
      <c r="M163" s="6"/>
      <c r="N163" s="6"/>
      <c r="O163" s="2"/>
      <c r="P163" s="6"/>
      <c r="Q163" s="6"/>
      <c r="R163" s="6"/>
      <c r="S163" s="6"/>
      <c r="T163" s="2"/>
      <c r="U163" s="6"/>
      <c r="V163" s="6"/>
      <c r="W163" s="6"/>
      <c r="X163" s="6"/>
      <c r="Y163" s="2"/>
      <c r="Z163" s="6"/>
      <c r="AA163" s="6"/>
      <c r="AB163" s="6"/>
      <c r="AC163" s="6"/>
      <c r="AD163" s="205"/>
      <c r="AE163" s="39"/>
    </row>
    <row r="164" spans="1:31" s="84" customFormat="1" ht="42" customHeight="1" x14ac:dyDescent="0.2">
      <c r="A164" s="6"/>
      <c r="B164" s="110"/>
      <c r="C164" s="111"/>
      <c r="D164" s="6"/>
      <c r="E164" s="2"/>
      <c r="F164" s="6"/>
      <c r="G164" s="6"/>
      <c r="H164" s="6"/>
      <c r="I164" s="6"/>
      <c r="J164" s="2"/>
      <c r="K164" s="6"/>
      <c r="L164" s="6"/>
      <c r="M164" s="6"/>
      <c r="N164" s="6"/>
      <c r="O164" s="2"/>
      <c r="P164" s="6"/>
      <c r="Q164" s="6"/>
      <c r="R164" s="6"/>
      <c r="S164" s="6"/>
      <c r="T164" s="2"/>
      <c r="U164" s="6"/>
      <c r="V164" s="6"/>
      <c r="W164" s="6"/>
      <c r="X164" s="6"/>
      <c r="Y164" s="2"/>
      <c r="Z164" s="6"/>
      <c r="AA164" s="6"/>
      <c r="AB164" s="6"/>
      <c r="AC164" s="6"/>
      <c r="AD164" s="205"/>
      <c r="AE164" s="39"/>
    </row>
    <row r="165" spans="1:31" s="84" customFormat="1" ht="42" customHeight="1" x14ac:dyDescent="0.2">
      <c r="A165" s="6"/>
      <c r="B165" s="110"/>
      <c r="C165" s="111"/>
      <c r="D165" s="6"/>
      <c r="E165" s="2"/>
      <c r="F165" s="6"/>
      <c r="G165" s="6"/>
      <c r="H165" s="6"/>
      <c r="I165" s="6"/>
      <c r="J165" s="2"/>
      <c r="K165" s="6"/>
      <c r="L165" s="6"/>
      <c r="M165" s="6"/>
      <c r="N165" s="6"/>
      <c r="O165" s="2"/>
      <c r="P165" s="6"/>
      <c r="Q165" s="6"/>
      <c r="R165" s="6"/>
      <c r="S165" s="6"/>
      <c r="T165" s="2"/>
      <c r="U165" s="6"/>
      <c r="V165" s="6"/>
      <c r="W165" s="6"/>
      <c r="X165" s="6"/>
      <c r="Y165" s="2"/>
      <c r="Z165" s="6"/>
      <c r="AA165" s="6"/>
      <c r="AB165" s="6"/>
      <c r="AC165" s="6"/>
      <c r="AD165" s="205"/>
      <c r="AE165" s="39"/>
    </row>
    <row r="166" spans="1:31" s="84" customFormat="1" ht="42" customHeight="1" x14ac:dyDescent="0.2">
      <c r="A166" s="6"/>
      <c r="B166" s="110"/>
      <c r="C166" s="111"/>
      <c r="D166" s="6"/>
      <c r="E166" s="2"/>
      <c r="F166" s="6"/>
      <c r="G166" s="6"/>
      <c r="H166" s="6"/>
      <c r="I166" s="6"/>
      <c r="J166" s="2"/>
      <c r="K166" s="6"/>
      <c r="L166" s="6"/>
      <c r="M166" s="6"/>
      <c r="N166" s="6"/>
      <c r="O166" s="2"/>
      <c r="P166" s="6"/>
      <c r="Q166" s="6"/>
      <c r="R166" s="6"/>
      <c r="S166" s="6"/>
      <c r="T166" s="2"/>
      <c r="U166" s="6"/>
      <c r="V166" s="6"/>
      <c r="W166" s="6"/>
      <c r="X166" s="6"/>
      <c r="Y166" s="2"/>
      <c r="Z166" s="6"/>
      <c r="AA166" s="6"/>
      <c r="AB166" s="6"/>
      <c r="AC166" s="6"/>
      <c r="AD166" s="205"/>
      <c r="AE166" s="39"/>
    </row>
    <row r="167" spans="1:31" s="84" customFormat="1" ht="42" customHeight="1" x14ac:dyDescent="0.2">
      <c r="A167" s="6"/>
      <c r="B167" s="110"/>
      <c r="C167" s="111"/>
      <c r="D167" s="6"/>
      <c r="E167" s="2"/>
      <c r="F167" s="6"/>
      <c r="G167" s="6"/>
      <c r="H167" s="6"/>
      <c r="I167" s="6"/>
      <c r="J167" s="2"/>
      <c r="K167" s="6"/>
      <c r="L167" s="6"/>
      <c r="M167" s="6"/>
      <c r="N167" s="6"/>
      <c r="O167" s="2"/>
      <c r="P167" s="6"/>
      <c r="Q167" s="6"/>
      <c r="R167" s="6"/>
      <c r="S167" s="6"/>
      <c r="T167" s="2"/>
      <c r="U167" s="6"/>
      <c r="V167" s="6"/>
      <c r="W167" s="6"/>
      <c r="X167" s="6"/>
      <c r="Y167" s="2"/>
      <c r="Z167" s="6"/>
      <c r="AA167" s="6"/>
      <c r="AB167" s="6"/>
      <c r="AC167" s="6"/>
      <c r="AD167" s="205"/>
      <c r="AE167" s="39"/>
    </row>
    <row r="168" spans="1:31" s="84" customFormat="1" ht="42" customHeight="1" x14ac:dyDescent="0.2">
      <c r="A168" s="6"/>
      <c r="B168" s="110"/>
      <c r="C168" s="111"/>
      <c r="D168" s="6"/>
      <c r="E168" s="2"/>
      <c r="F168" s="6"/>
      <c r="G168" s="6"/>
      <c r="H168" s="6"/>
      <c r="I168" s="6"/>
      <c r="J168" s="2"/>
      <c r="K168" s="6"/>
      <c r="L168" s="6"/>
      <c r="M168" s="6"/>
      <c r="N168" s="6"/>
      <c r="O168" s="2"/>
      <c r="P168" s="6"/>
      <c r="Q168" s="6"/>
      <c r="R168" s="6"/>
      <c r="S168" s="6"/>
      <c r="T168" s="2"/>
      <c r="U168" s="6"/>
      <c r="V168" s="6"/>
      <c r="W168" s="6"/>
      <c r="X168" s="6"/>
      <c r="Y168" s="2"/>
      <c r="Z168" s="6"/>
      <c r="AA168" s="6"/>
      <c r="AB168" s="6"/>
      <c r="AC168" s="6"/>
      <c r="AD168" s="205"/>
      <c r="AE168" s="39"/>
    </row>
    <row r="169" spans="1:31" s="84" customFormat="1" ht="42" customHeight="1" x14ac:dyDescent="0.2">
      <c r="A169" s="6"/>
      <c r="B169" s="110"/>
      <c r="C169" s="111"/>
      <c r="D169" s="6"/>
      <c r="E169" s="2"/>
      <c r="F169" s="6"/>
      <c r="G169" s="6"/>
      <c r="H169" s="6"/>
      <c r="I169" s="6"/>
      <c r="J169" s="2"/>
      <c r="K169" s="6"/>
      <c r="L169" s="6"/>
      <c r="M169" s="6"/>
      <c r="N169" s="6"/>
      <c r="O169" s="2"/>
      <c r="P169" s="6"/>
      <c r="Q169" s="6"/>
      <c r="R169" s="6"/>
      <c r="S169" s="6"/>
      <c r="T169" s="2"/>
      <c r="U169" s="6"/>
      <c r="V169" s="6"/>
      <c r="W169" s="6"/>
      <c r="X169" s="6"/>
      <c r="Y169" s="2"/>
      <c r="Z169" s="6"/>
      <c r="AA169" s="6"/>
      <c r="AB169" s="6"/>
      <c r="AC169" s="6"/>
      <c r="AD169" s="205"/>
      <c r="AE169" s="39"/>
    </row>
    <row r="170" spans="1:31" s="84" customFormat="1" ht="42" customHeight="1" x14ac:dyDescent="0.2">
      <c r="A170" s="6"/>
      <c r="B170" s="110"/>
      <c r="C170" s="111"/>
      <c r="D170" s="6"/>
      <c r="E170" s="2"/>
      <c r="F170" s="6"/>
      <c r="G170" s="6"/>
      <c r="H170" s="6"/>
      <c r="I170" s="6"/>
      <c r="J170" s="2"/>
      <c r="K170" s="6"/>
      <c r="L170" s="6"/>
      <c r="M170" s="6"/>
      <c r="N170" s="6"/>
      <c r="O170" s="2"/>
      <c r="P170" s="6"/>
      <c r="Q170" s="6"/>
      <c r="R170" s="6"/>
      <c r="S170" s="6"/>
      <c r="T170" s="2"/>
      <c r="U170" s="6"/>
      <c r="V170" s="6"/>
      <c r="W170" s="6"/>
      <c r="X170" s="6"/>
      <c r="Y170" s="2"/>
      <c r="Z170" s="6"/>
      <c r="AA170" s="6"/>
      <c r="AB170" s="6"/>
      <c r="AC170" s="6"/>
      <c r="AD170" s="205"/>
      <c r="AE170" s="39"/>
    </row>
    <row r="171" spans="1:31" s="84" customFormat="1" ht="42" customHeight="1" x14ac:dyDescent="0.2">
      <c r="A171" s="6"/>
      <c r="B171" s="110"/>
      <c r="C171" s="111"/>
      <c r="D171" s="6"/>
      <c r="E171" s="2"/>
      <c r="F171" s="6"/>
      <c r="G171" s="6"/>
      <c r="H171" s="6"/>
      <c r="I171" s="6"/>
      <c r="J171" s="2"/>
      <c r="K171" s="6"/>
      <c r="L171" s="6"/>
      <c r="M171" s="6"/>
      <c r="N171" s="6"/>
      <c r="O171" s="2"/>
      <c r="P171" s="6"/>
      <c r="Q171" s="6"/>
      <c r="R171" s="6"/>
      <c r="S171" s="6"/>
      <c r="T171" s="2"/>
      <c r="U171" s="6"/>
      <c r="V171" s="6"/>
      <c r="W171" s="6"/>
      <c r="X171" s="6"/>
      <c r="Y171" s="2"/>
      <c r="Z171" s="6"/>
      <c r="AA171" s="6"/>
      <c r="AB171" s="6"/>
      <c r="AC171" s="6"/>
      <c r="AD171" s="205"/>
      <c r="AE171" s="39"/>
    </row>
    <row r="172" spans="1:31" s="84" customFormat="1" ht="42" customHeight="1" x14ac:dyDescent="0.2">
      <c r="A172" s="6"/>
      <c r="B172" s="110"/>
      <c r="C172" s="111"/>
      <c r="D172" s="6"/>
      <c r="E172" s="2"/>
      <c r="F172" s="6"/>
      <c r="G172" s="6"/>
      <c r="H172" s="6"/>
      <c r="I172" s="6"/>
      <c r="J172" s="2"/>
      <c r="K172" s="6"/>
      <c r="L172" s="6"/>
      <c r="M172" s="6"/>
      <c r="N172" s="6"/>
      <c r="O172" s="2"/>
      <c r="P172" s="6"/>
      <c r="Q172" s="6"/>
      <c r="R172" s="6"/>
      <c r="S172" s="6"/>
      <c r="T172" s="2"/>
      <c r="U172" s="6"/>
      <c r="V172" s="6"/>
      <c r="W172" s="6"/>
      <c r="X172" s="6"/>
      <c r="Y172" s="2"/>
      <c r="Z172" s="6"/>
      <c r="AA172" s="6"/>
      <c r="AB172" s="6"/>
      <c r="AC172" s="6"/>
      <c r="AD172" s="205"/>
      <c r="AE172" s="39"/>
    </row>
    <row r="173" spans="1:31" s="84" customFormat="1" ht="42" customHeight="1" x14ac:dyDescent="0.2">
      <c r="A173" s="6"/>
      <c r="B173" s="110"/>
      <c r="C173" s="111"/>
      <c r="D173" s="6"/>
      <c r="E173" s="2"/>
      <c r="F173" s="6"/>
      <c r="G173" s="6"/>
      <c r="H173" s="6"/>
      <c r="I173" s="6"/>
      <c r="J173" s="2"/>
      <c r="K173" s="6"/>
      <c r="L173" s="6"/>
      <c r="M173" s="6"/>
      <c r="N173" s="6"/>
      <c r="O173" s="2"/>
      <c r="P173" s="6"/>
      <c r="Q173" s="6"/>
      <c r="R173" s="6"/>
      <c r="S173" s="6"/>
      <c r="T173" s="2"/>
      <c r="U173" s="6"/>
      <c r="V173" s="6"/>
      <c r="W173" s="6"/>
      <c r="X173" s="6"/>
      <c r="Y173" s="2"/>
      <c r="Z173" s="6"/>
      <c r="AA173" s="6"/>
      <c r="AB173" s="6"/>
      <c r="AC173" s="6"/>
      <c r="AD173" s="205"/>
      <c r="AE173" s="39"/>
    </row>
    <row r="174" spans="1:31" s="84" customFormat="1" ht="42" customHeight="1" x14ac:dyDescent="0.2">
      <c r="A174" s="6"/>
      <c r="B174" s="110"/>
      <c r="C174" s="111"/>
      <c r="D174" s="6"/>
      <c r="E174" s="2"/>
      <c r="F174" s="6"/>
      <c r="G174" s="6"/>
      <c r="H174" s="6"/>
      <c r="I174" s="6"/>
      <c r="J174" s="2"/>
      <c r="K174" s="6"/>
      <c r="L174" s="6"/>
      <c r="M174" s="6"/>
      <c r="N174" s="6"/>
      <c r="O174" s="2"/>
      <c r="P174" s="6"/>
      <c r="Q174" s="6"/>
      <c r="R174" s="6"/>
      <c r="S174" s="6"/>
      <c r="T174" s="2"/>
      <c r="U174" s="6"/>
      <c r="V174" s="6"/>
      <c r="W174" s="6"/>
      <c r="X174" s="6"/>
      <c r="Y174" s="2"/>
      <c r="Z174" s="6"/>
      <c r="AA174" s="6"/>
      <c r="AB174" s="6"/>
      <c r="AC174" s="6"/>
      <c r="AD174" s="205"/>
      <c r="AE174" s="39"/>
    </row>
    <row r="175" spans="1:31" s="84" customFormat="1" ht="42" customHeight="1" x14ac:dyDescent="0.2">
      <c r="A175" s="6"/>
      <c r="B175" s="110"/>
      <c r="C175" s="111"/>
      <c r="D175" s="6"/>
      <c r="E175" s="2"/>
      <c r="F175" s="6"/>
      <c r="G175" s="6"/>
      <c r="H175" s="6"/>
      <c r="I175" s="6"/>
      <c r="J175" s="2"/>
      <c r="K175" s="6"/>
      <c r="L175" s="6"/>
      <c r="M175" s="6"/>
      <c r="N175" s="6"/>
      <c r="O175" s="2"/>
      <c r="P175" s="6"/>
      <c r="Q175" s="6"/>
      <c r="R175" s="6"/>
      <c r="S175" s="6"/>
      <c r="T175" s="2"/>
      <c r="U175" s="6"/>
      <c r="V175" s="6"/>
      <c r="W175" s="6"/>
      <c r="X175" s="6"/>
      <c r="Y175" s="2"/>
      <c r="Z175" s="6"/>
      <c r="AA175" s="6"/>
      <c r="AB175" s="6"/>
      <c r="AC175" s="6"/>
      <c r="AD175" s="205"/>
      <c r="AE175" s="39"/>
    </row>
    <row r="176" spans="1:31" s="84" customFormat="1" ht="42" customHeight="1" x14ac:dyDescent="0.2">
      <c r="A176" s="6"/>
      <c r="B176" s="110"/>
      <c r="C176" s="111"/>
      <c r="D176" s="6"/>
      <c r="E176" s="2"/>
      <c r="F176" s="6"/>
      <c r="G176" s="6"/>
      <c r="H176" s="6"/>
      <c r="I176" s="6"/>
      <c r="J176" s="2"/>
      <c r="K176" s="6"/>
      <c r="L176" s="6"/>
      <c r="M176" s="6"/>
      <c r="N176" s="6"/>
      <c r="O176" s="2"/>
      <c r="P176" s="6"/>
      <c r="Q176" s="6"/>
      <c r="R176" s="6"/>
      <c r="S176" s="6"/>
      <c r="T176" s="2"/>
      <c r="U176" s="6"/>
      <c r="V176" s="6"/>
      <c r="W176" s="6"/>
      <c r="X176" s="6"/>
      <c r="Y176" s="2"/>
      <c r="Z176" s="6"/>
      <c r="AA176" s="6"/>
      <c r="AB176" s="6"/>
      <c r="AC176" s="6"/>
      <c r="AD176" s="205"/>
      <c r="AE176" s="39"/>
    </row>
    <row r="177" spans="1:31" s="84" customFormat="1" ht="42" customHeight="1" x14ac:dyDescent="0.2">
      <c r="A177" s="6"/>
      <c r="B177" s="110"/>
      <c r="C177" s="111"/>
      <c r="D177" s="6"/>
      <c r="E177" s="2"/>
      <c r="F177" s="6"/>
      <c r="G177" s="6"/>
      <c r="H177" s="6"/>
      <c r="I177" s="6"/>
      <c r="J177" s="2"/>
      <c r="K177" s="6"/>
      <c r="L177" s="6"/>
      <c r="M177" s="6"/>
      <c r="N177" s="6"/>
      <c r="O177" s="2"/>
      <c r="P177" s="6"/>
      <c r="Q177" s="6"/>
      <c r="R177" s="6"/>
      <c r="S177" s="6"/>
      <c r="T177" s="2"/>
      <c r="U177" s="6"/>
      <c r="V177" s="6"/>
      <c r="W177" s="6"/>
      <c r="X177" s="6"/>
      <c r="Y177" s="2"/>
      <c r="Z177" s="6"/>
      <c r="AA177" s="6"/>
      <c r="AB177" s="6"/>
      <c r="AC177" s="6"/>
      <c r="AD177" s="205"/>
      <c r="AE177" s="39"/>
    </row>
    <row r="178" spans="1:31" s="84" customFormat="1" ht="42" customHeight="1" x14ac:dyDescent="0.2">
      <c r="A178" s="6"/>
      <c r="B178" s="110"/>
      <c r="C178" s="111"/>
      <c r="D178" s="6"/>
      <c r="E178" s="2"/>
      <c r="F178" s="6"/>
      <c r="G178" s="6"/>
      <c r="H178" s="6"/>
      <c r="I178" s="6"/>
      <c r="J178" s="2"/>
      <c r="K178" s="6"/>
      <c r="L178" s="6"/>
      <c r="M178" s="6"/>
      <c r="N178" s="6"/>
      <c r="O178" s="2"/>
      <c r="P178" s="6"/>
      <c r="Q178" s="6"/>
      <c r="R178" s="6"/>
      <c r="S178" s="6"/>
      <c r="T178" s="2"/>
      <c r="U178" s="6"/>
      <c r="V178" s="6"/>
      <c r="W178" s="6"/>
      <c r="X178" s="6"/>
      <c r="Y178" s="2"/>
      <c r="Z178" s="6"/>
      <c r="AA178" s="6"/>
      <c r="AB178" s="6"/>
      <c r="AC178" s="6"/>
      <c r="AD178" s="205"/>
      <c r="AE178" s="39"/>
    </row>
    <row r="179" spans="1:31" s="84" customFormat="1" ht="42" customHeight="1" x14ac:dyDescent="0.2">
      <c r="A179" s="6"/>
      <c r="B179" s="110"/>
      <c r="C179" s="111"/>
      <c r="D179" s="6"/>
      <c r="E179" s="2"/>
      <c r="F179" s="6"/>
      <c r="G179" s="6"/>
      <c r="H179" s="6"/>
      <c r="I179" s="6"/>
      <c r="J179" s="2"/>
      <c r="K179" s="6"/>
      <c r="L179" s="6"/>
      <c r="M179" s="6"/>
      <c r="N179" s="6"/>
      <c r="O179" s="2"/>
      <c r="P179" s="6"/>
      <c r="Q179" s="6"/>
      <c r="R179" s="6"/>
      <c r="S179" s="6"/>
      <c r="T179" s="2"/>
      <c r="U179" s="6"/>
      <c r="V179" s="6"/>
      <c r="W179" s="6"/>
      <c r="X179" s="6"/>
      <c r="Y179" s="2"/>
      <c r="Z179" s="6"/>
      <c r="AA179" s="6"/>
      <c r="AB179" s="6"/>
      <c r="AC179" s="6"/>
      <c r="AD179" s="205"/>
      <c r="AE179" s="39"/>
    </row>
    <row r="180" spans="1:31" s="84" customFormat="1" ht="42" customHeight="1" x14ac:dyDescent="0.2">
      <c r="A180" s="6"/>
      <c r="B180" s="110"/>
      <c r="C180" s="111"/>
      <c r="D180" s="6"/>
      <c r="E180" s="2"/>
      <c r="F180" s="6"/>
      <c r="G180" s="6"/>
      <c r="H180" s="6"/>
      <c r="I180" s="6"/>
      <c r="J180" s="2"/>
      <c r="K180" s="6"/>
      <c r="L180" s="6"/>
      <c r="M180" s="6"/>
      <c r="N180" s="6"/>
      <c r="O180" s="2"/>
      <c r="P180" s="6"/>
      <c r="Q180" s="6"/>
      <c r="R180" s="6"/>
      <c r="S180" s="6"/>
      <c r="T180" s="2"/>
      <c r="U180" s="6"/>
      <c r="V180" s="6"/>
      <c r="W180" s="6"/>
      <c r="X180" s="6"/>
      <c r="Y180" s="2"/>
      <c r="Z180" s="6"/>
      <c r="AA180" s="6"/>
      <c r="AB180" s="6"/>
      <c r="AC180" s="6"/>
      <c r="AD180" s="205"/>
      <c r="AE180" s="39"/>
    </row>
    <row r="181" spans="1:31" s="84" customFormat="1" ht="42" customHeight="1" x14ac:dyDescent="0.2">
      <c r="A181" s="6"/>
      <c r="B181" s="110"/>
      <c r="C181" s="111"/>
      <c r="D181" s="6"/>
      <c r="E181" s="2"/>
      <c r="F181" s="6"/>
      <c r="G181" s="6"/>
      <c r="H181" s="6"/>
      <c r="I181" s="6"/>
      <c r="J181" s="2"/>
      <c r="K181" s="6"/>
      <c r="L181" s="6"/>
      <c r="M181" s="6"/>
      <c r="N181" s="6"/>
      <c r="O181" s="2"/>
      <c r="P181" s="6"/>
      <c r="Q181" s="6"/>
      <c r="R181" s="6"/>
      <c r="S181" s="6"/>
      <c r="T181" s="2"/>
      <c r="U181" s="6"/>
      <c r="V181" s="6"/>
      <c r="W181" s="6"/>
      <c r="X181" s="6"/>
      <c r="Y181" s="2"/>
      <c r="Z181" s="6"/>
      <c r="AA181" s="6"/>
      <c r="AB181" s="6"/>
      <c r="AC181" s="6"/>
      <c r="AD181" s="205"/>
      <c r="AE181" s="39"/>
    </row>
    <row r="182" spans="1:31" s="84" customFormat="1" ht="42" customHeight="1" x14ac:dyDescent="0.2">
      <c r="A182" s="6"/>
      <c r="B182" s="110"/>
      <c r="C182" s="111"/>
      <c r="D182" s="6"/>
      <c r="E182" s="2"/>
      <c r="F182" s="6"/>
      <c r="G182" s="6"/>
      <c r="H182" s="6"/>
      <c r="I182" s="6"/>
      <c r="J182" s="2"/>
      <c r="K182" s="6"/>
      <c r="L182" s="6"/>
      <c r="M182" s="6"/>
      <c r="N182" s="6"/>
      <c r="O182" s="2"/>
      <c r="P182" s="6"/>
      <c r="Q182" s="6"/>
      <c r="R182" s="6"/>
      <c r="S182" s="6"/>
      <c r="T182" s="2"/>
      <c r="U182" s="6"/>
      <c r="V182" s="6"/>
      <c r="W182" s="6"/>
      <c r="X182" s="6"/>
      <c r="Y182" s="2"/>
      <c r="Z182" s="6"/>
      <c r="AA182" s="6"/>
      <c r="AB182" s="6"/>
      <c r="AC182" s="6"/>
      <c r="AD182" s="205"/>
      <c r="AE182" s="39"/>
    </row>
    <row r="183" spans="1:31" s="84" customFormat="1" ht="42" customHeight="1" x14ac:dyDescent="0.2">
      <c r="A183" s="6"/>
      <c r="B183" s="110"/>
      <c r="C183" s="111"/>
      <c r="D183" s="6"/>
      <c r="E183" s="2"/>
      <c r="F183" s="6"/>
      <c r="G183" s="6"/>
      <c r="H183" s="6"/>
      <c r="I183" s="6"/>
      <c r="J183" s="2"/>
      <c r="K183" s="6"/>
      <c r="L183" s="6"/>
      <c r="M183" s="6"/>
      <c r="N183" s="6"/>
      <c r="O183" s="2"/>
      <c r="P183" s="6"/>
      <c r="Q183" s="6"/>
      <c r="R183" s="6"/>
      <c r="S183" s="6"/>
      <c r="T183" s="2"/>
      <c r="U183" s="6"/>
      <c r="V183" s="6"/>
      <c r="W183" s="6"/>
      <c r="X183" s="6"/>
      <c r="Y183" s="2"/>
      <c r="Z183" s="6"/>
      <c r="AA183" s="6"/>
      <c r="AB183" s="6"/>
      <c r="AC183" s="6"/>
      <c r="AD183" s="205"/>
      <c r="AE183" s="39"/>
    </row>
  </sheetData>
  <mergeCells count="41">
    <mergeCell ref="A32:C32"/>
    <mergeCell ref="A45:AD45"/>
    <mergeCell ref="A44:C44"/>
    <mergeCell ref="A62:C62"/>
    <mergeCell ref="A34:AD34"/>
    <mergeCell ref="A35:AD35"/>
    <mergeCell ref="A36:AD36"/>
    <mergeCell ref="A46:AD46"/>
    <mergeCell ref="A59:AD59"/>
    <mergeCell ref="A53:C53"/>
    <mergeCell ref="J3:N3"/>
    <mergeCell ref="AC3:AD3"/>
    <mergeCell ref="B6:AD6"/>
    <mergeCell ref="A7:A9"/>
    <mergeCell ref="B7:B9"/>
    <mergeCell ref="C7:C9"/>
    <mergeCell ref="D7:D9"/>
    <mergeCell ref="E7:AC7"/>
    <mergeCell ref="AD7:AD9"/>
    <mergeCell ref="E8:I8"/>
    <mergeCell ref="J8:N8"/>
    <mergeCell ref="O8:S8"/>
    <mergeCell ref="AA5:AD5"/>
    <mergeCell ref="Y8:AC8"/>
    <mergeCell ref="T8:X8"/>
    <mergeCell ref="A63:C63"/>
    <mergeCell ref="A11:AD11"/>
    <mergeCell ref="A56:AD56"/>
    <mergeCell ref="A54:AD54"/>
    <mergeCell ref="A55:AD55"/>
    <mergeCell ref="A13:AD13"/>
    <mergeCell ref="A14:AD14"/>
    <mergeCell ref="A15:AD15"/>
    <mergeCell ref="A12:AD12"/>
    <mergeCell ref="A57:AD57"/>
    <mergeCell ref="A21:AD21"/>
    <mergeCell ref="A30:AD30"/>
    <mergeCell ref="A47:AD47"/>
    <mergeCell ref="A48:AD48"/>
    <mergeCell ref="A51:AD51"/>
    <mergeCell ref="A33:AD33"/>
  </mergeCells>
  <printOptions horizontalCentered="1"/>
  <pageMargins left="7.874015748031496E-2" right="7.874015748031496E-2" top="0.62992125984251968" bottom="0.39370078740157483" header="0.19685039370078741" footer="0.15748031496062992"/>
  <pageSetup paperSize="8" scale="35" orientation="landscape" r:id="rId1"/>
  <headerFooter alignWithMargins="0"/>
  <rowBreaks count="3" manualBreakCount="3">
    <brk id="23" max="29" man="1"/>
    <brk id="38" max="29" man="1"/>
    <brk id="50" max="2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69"/>
  <sheetViews>
    <sheetView tabSelected="1" view="pageBreakPreview" topLeftCell="A22" zoomScaleSheetLayoutView="100" workbookViewId="0">
      <selection activeCell="A28" sqref="A28"/>
    </sheetView>
  </sheetViews>
  <sheetFormatPr defaultRowHeight="12.75" x14ac:dyDescent="0.2"/>
  <cols>
    <col min="1" max="1" width="6.140625" style="26" customWidth="1"/>
    <col min="2" max="2" width="25" style="26" customWidth="1"/>
    <col min="3" max="3" width="31" style="26" customWidth="1"/>
    <col min="4" max="5" width="8.85546875" style="26"/>
    <col min="6" max="6" width="8.85546875" style="26" customWidth="1"/>
    <col min="7" max="7" width="9.7109375" style="26" customWidth="1"/>
    <col min="8" max="9" width="9.28515625" style="26" customWidth="1"/>
    <col min="10" max="10" width="10.140625" style="26" customWidth="1"/>
  </cols>
  <sheetData>
    <row r="1" spans="1:11" ht="76.150000000000006" customHeight="1" x14ac:dyDescent="0.2">
      <c r="A1" s="204"/>
      <c r="B1" s="204"/>
      <c r="C1" s="204"/>
      <c r="D1" s="204"/>
      <c r="E1" s="204"/>
      <c r="F1" s="404" t="s">
        <v>905</v>
      </c>
      <c r="G1" s="404"/>
      <c r="H1" s="404"/>
      <c r="I1" s="404"/>
      <c r="J1" s="404"/>
    </row>
    <row r="2" spans="1:11" ht="13.9" hidden="1" customHeight="1" x14ac:dyDescent="0.2">
      <c r="A2" s="199"/>
      <c r="B2" s="293"/>
      <c r="C2" s="294"/>
      <c r="D2" s="295"/>
      <c r="E2" s="200"/>
      <c r="F2" s="200"/>
      <c r="G2" s="200"/>
      <c r="H2" s="200"/>
      <c r="I2" s="200"/>
      <c r="J2" s="200"/>
    </row>
    <row r="3" spans="1:11" ht="58.15" customHeight="1" x14ac:dyDescent="0.2">
      <c r="A3" s="400" t="s">
        <v>781</v>
      </c>
      <c r="B3" s="400"/>
      <c r="C3" s="400"/>
      <c r="D3" s="400"/>
      <c r="E3" s="400"/>
      <c r="F3" s="400"/>
      <c r="G3" s="400"/>
      <c r="H3" s="400"/>
      <c r="I3" s="400"/>
      <c r="J3" s="400"/>
    </row>
    <row r="4" spans="1:11" ht="13.15" customHeight="1" x14ac:dyDescent="0.2">
      <c r="A4" s="400"/>
      <c r="B4" s="400"/>
      <c r="C4" s="400"/>
      <c r="D4" s="400"/>
      <c r="E4" s="400"/>
      <c r="F4" s="400"/>
      <c r="G4" s="400"/>
      <c r="H4" s="400"/>
      <c r="I4" s="400"/>
      <c r="J4" s="400"/>
    </row>
    <row r="5" spans="1:11" x14ac:dyDescent="0.2">
      <c r="A5" s="401" t="s">
        <v>233</v>
      </c>
      <c r="B5" s="402" t="s">
        <v>735</v>
      </c>
      <c r="C5" s="402" t="s">
        <v>736</v>
      </c>
      <c r="D5" s="402" t="s">
        <v>737</v>
      </c>
      <c r="E5" s="402" t="s">
        <v>738</v>
      </c>
      <c r="F5" s="402" t="s">
        <v>739</v>
      </c>
      <c r="G5" s="402"/>
      <c r="H5" s="403"/>
      <c r="I5" s="403"/>
      <c r="J5" s="403"/>
    </row>
    <row r="6" spans="1:11" x14ac:dyDescent="0.2">
      <c r="A6" s="401"/>
      <c r="B6" s="401"/>
      <c r="C6" s="402"/>
      <c r="D6" s="403"/>
      <c r="E6" s="403"/>
      <c r="F6" s="403"/>
      <c r="G6" s="403"/>
      <c r="H6" s="403"/>
      <c r="I6" s="403"/>
      <c r="J6" s="403"/>
    </row>
    <row r="7" spans="1:11" x14ac:dyDescent="0.2">
      <c r="A7" s="401"/>
      <c r="B7" s="401"/>
      <c r="C7" s="402"/>
      <c r="D7" s="403"/>
      <c r="E7" s="403"/>
      <c r="F7" s="401">
        <v>2021</v>
      </c>
      <c r="G7" s="401">
        <v>2022</v>
      </c>
      <c r="H7" s="401">
        <v>2023</v>
      </c>
      <c r="I7" s="401">
        <v>2024</v>
      </c>
      <c r="J7" s="401">
        <v>2025</v>
      </c>
    </row>
    <row r="8" spans="1:11" x14ac:dyDescent="0.2">
      <c r="A8" s="401"/>
      <c r="B8" s="401"/>
      <c r="C8" s="402"/>
      <c r="D8" s="403"/>
      <c r="E8" s="403"/>
      <c r="F8" s="401"/>
      <c r="G8" s="401"/>
      <c r="H8" s="401"/>
      <c r="I8" s="401"/>
      <c r="J8" s="401"/>
    </row>
    <row r="9" spans="1:11" x14ac:dyDescent="0.2">
      <c r="A9" s="316">
        <v>1</v>
      </c>
      <c r="B9" s="316">
        <v>2</v>
      </c>
      <c r="C9" s="316">
        <v>3</v>
      </c>
      <c r="D9" s="316">
        <v>4</v>
      </c>
      <c r="E9" s="316">
        <v>5</v>
      </c>
      <c r="F9" s="316">
        <v>6</v>
      </c>
      <c r="G9" s="316">
        <v>7</v>
      </c>
      <c r="H9" s="316">
        <v>8</v>
      </c>
      <c r="I9" s="316">
        <v>9</v>
      </c>
      <c r="J9" s="316">
        <v>10</v>
      </c>
    </row>
    <row r="10" spans="1:11" ht="32.450000000000003" customHeight="1" x14ac:dyDescent="0.2">
      <c r="A10" s="410" t="s">
        <v>255</v>
      </c>
      <c r="B10" s="410"/>
      <c r="C10" s="410"/>
      <c r="D10" s="410"/>
      <c r="E10" s="410"/>
      <c r="F10" s="410"/>
      <c r="G10" s="410"/>
      <c r="H10" s="410"/>
      <c r="I10" s="410"/>
      <c r="J10" s="410"/>
    </row>
    <row r="11" spans="1:11" ht="30" customHeight="1" x14ac:dyDescent="0.2">
      <c r="A11" s="411" t="s">
        <v>218</v>
      </c>
      <c r="B11" s="411"/>
      <c r="C11" s="411"/>
      <c r="D11" s="411"/>
      <c r="E11" s="411"/>
      <c r="F11" s="411"/>
      <c r="G11" s="411"/>
      <c r="H11" s="411"/>
      <c r="I11" s="411"/>
      <c r="J11" s="411"/>
    </row>
    <row r="12" spans="1:11" ht="17.45" customHeight="1" x14ac:dyDescent="0.2">
      <c r="A12" s="412" t="s">
        <v>240</v>
      </c>
      <c r="B12" s="412"/>
      <c r="C12" s="412"/>
      <c r="D12" s="412"/>
      <c r="E12" s="412"/>
      <c r="F12" s="412"/>
      <c r="G12" s="412"/>
      <c r="H12" s="412"/>
      <c r="I12" s="412"/>
      <c r="J12" s="412"/>
    </row>
    <row r="13" spans="1:11" ht="30" customHeight="1" x14ac:dyDescent="0.2">
      <c r="A13" s="410" t="s">
        <v>740</v>
      </c>
      <c r="B13" s="410"/>
      <c r="C13" s="410"/>
      <c r="D13" s="410"/>
      <c r="E13" s="410"/>
      <c r="F13" s="410"/>
      <c r="G13" s="410"/>
      <c r="H13" s="410"/>
      <c r="I13" s="410"/>
      <c r="J13" s="410"/>
    </row>
    <row r="14" spans="1:11" ht="33.6" customHeight="1" x14ac:dyDescent="0.2">
      <c r="A14" s="410" t="s">
        <v>216</v>
      </c>
      <c r="B14" s="410"/>
      <c r="C14" s="410"/>
      <c r="D14" s="410"/>
      <c r="E14" s="410"/>
      <c r="F14" s="410"/>
      <c r="G14" s="410"/>
      <c r="H14" s="410"/>
      <c r="I14" s="410"/>
      <c r="J14" s="410"/>
    </row>
    <row r="15" spans="1:11" ht="50.45" customHeight="1" x14ac:dyDescent="0.2">
      <c r="A15" s="317">
        <v>1</v>
      </c>
      <c r="B15" s="318" t="s">
        <v>782</v>
      </c>
      <c r="C15" s="318" t="s">
        <v>783</v>
      </c>
      <c r="D15" s="296" t="s">
        <v>741</v>
      </c>
      <c r="E15" s="266">
        <v>3</v>
      </c>
      <c r="F15" s="266">
        <v>5</v>
      </c>
      <c r="G15" s="266">
        <v>2</v>
      </c>
      <c r="H15" s="265" t="s">
        <v>742</v>
      </c>
      <c r="I15" s="265" t="s">
        <v>742</v>
      </c>
      <c r="J15" s="265" t="s">
        <v>742</v>
      </c>
      <c r="K15" s="249" t="s">
        <v>966</v>
      </c>
    </row>
    <row r="16" spans="1:11" ht="42.6" customHeight="1" x14ac:dyDescent="0.2">
      <c r="A16" s="317">
        <v>2</v>
      </c>
      <c r="B16" s="318" t="s">
        <v>743</v>
      </c>
      <c r="C16" s="318" t="s">
        <v>744</v>
      </c>
      <c r="D16" s="297" t="s">
        <v>741</v>
      </c>
      <c r="E16" s="266">
        <v>182</v>
      </c>
      <c r="F16" s="265" t="s">
        <v>742</v>
      </c>
      <c r="G16" s="265" t="s">
        <v>742</v>
      </c>
      <c r="H16" s="266">
        <v>200</v>
      </c>
      <c r="I16" s="266">
        <v>200</v>
      </c>
      <c r="J16" s="266">
        <v>200</v>
      </c>
      <c r="K16" s="249" t="s">
        <v>966</v>
      </c>
    </row>
    <row r="17" spans="1:11" ht="45.6" customHeight="1" x14ac:dyDescent="0.2">
      <c r="A17" s="407">
        <v>3</v>
      </c>
      <c r="B17" s="414" t="s">
        <v>745</v>
      </c>
      <c r="C17" s="319" t="s">
        <v>746</v>
      </c>
      <c r="D17" s="320" t="s">
        <v>741</v>
      </c>
      <c r="E17" s="267">
        <v>9</v>
      </c>
      <c r="F17" s="267">
        <v>5</v>
      </c>
      <c r="G17" s="267">
        <v>4</v>
      </c>
      <c r="H17" s="268" t="s">
        <v>742</v>
      </c>
      <c r="I17" s="268" t="s">
        <v>742</v>
      </c>
      <c r="J17" s="268" t="s">
        <v>742</v>
      </c>
    </row>
    <row r="18" spans="1:11" ht="40.15" customHeight="1" x14ac:dyDescent="0.2">
      <c r="A18" s="407"/>
      <c r="B18" s="414"/>
      <c r="C18" s="319" t="s">
        <v>747</v>
      </c>
      <c r="D18" s="320" t="s">
        <v>741</v>
      </c>
      <c r="E18" s="268" t="s">
        <v>742</v>
      </c>
      <c r="F18" s="268" t="s">
        <v>742</v>
      </c>
      <c r="G18" s="268" t="s">
        <v>742</v>
      </c>
      <c r="H18" s="268" t="s">
        <v>742</v>
      </c>
      <c r="I18" s="268" t="s">
        <v>742</v>
      </c>
      <c r="J18" s="268" t="s">
        <v>742</v>
      </c>
    </row>
    <row r="19" spans="1:11" ht="34.15" customHeight="1" x14ac:dyDescent="0.2">
      <c r="A19" s="407">
        <v>4</v>
      </c>
      <c r="B19" s="414" t="s">
        <v>972</v>
      </c>
      <c r="C19" s="319" t="s">
        <v>748</v>
      </c>
      <c r="D19" s="320" t="s">
        <v>741</v>
      </c>
      <c r="E19" s="267">
        <v>2</v>
      </c>
      <c r="F19" s="267">
        <v>3</v>
      </c>
      <c r="G19" s="268" t="s">
        <v>742</v>
      </c>
      <c r="H19" s="268" t="s">
        <v>742</v>
      </c>
      <c r="I19" s="268" t="s">
        <v>742</v>
      </c>
      <c r="J19" s="268" t="s">
        <v>742</v>
      </c>
    </row>
    <row r="20" spans="1:11" ht="41.45" customHeight="1" x14ac:dyDescent="0.2">
      <c r="A20" s="407"/>
      <c r="B20" s="414"/>
      <c r="C20" s="319" t="s">
        <v>749</v>
      </c>
      <c r="D20" s="320" t="s">
        <v>741</v>
      </c>
      <c r="E20" s="267">
        <v>1</v>
      </c>
      <c r="F20" s="268" t="s">
        <v>742</v>
      </c>
      <c r="G20" s="268" t="s">
        <v>742</v>
      </c>
      <c r="H20" s="268" t="s">
        <v>742</v>
      </c>
      <c r="I20" s="268" t="s">
        <v>742</v>
      </c>
      <c r="J20" s="268" t="s">
        <v>742</v>
      </c>
    </row>
    <row r="21" spans="1:11" ht="36" customHeight="1" x14ac:dyDescent="0.2">
      <c r="A21" s="317">
        <v>5</v>
      </c>
      <c r="B21" s="318" t="s">
        <v>210</v>
      </c>
      <c r="C21" s="318" t="s">
        <v>750</v>
      </c>
      <c r="D21" s="297" t="s">
        <v>741</v>
      </c>
      <c r="E21" s="266">
        <v>5</v>
      </c>
      <c r="F21" s="266">
        <v>8</v>
      </c>
      <c r="G21" s="266">
        <v>10</v>
      </c>
      <c r="H21" s="265" t="s">
        <v>742</v>
      </c>
      <c r="I21" s="265" t="s">
        <v>742</v>
      </c>
      <c r="J21" s="265" t="s">
        <v>742</v>
      </c>
    </row>
    <row r="22" spans="1:11" ht="36" customHeight="1" x14ac:dyDescent="0.2">
      <c r="A22" s="405" t="s">
        <v>1058</v>
      </c>
      <c r="B22" s="409"/>
      <c r="C22" s="409"/>
      <c r="D22" s="409"/>
      <c r="E22" s="409"/>
      <c r="F22" s="409"/>
      <c r="G22" s="409"/>
      <c r="H22" s="409"/>
      <c r="I22" s="409"/>
      <c r="J22" s="409"/>
    </row>
    <row r="23" spans="1:11" ht="31.15" customHeight="1" x14ac:dyDescent="0.2">
      <c r="A23" s="407">
        <v>6</v>
      </c>
      <c r="B23" s="413" t="s">
        <v>751</v>
      </c>
      <c r="C23" s="318" t="s">
        <v>752</v>
      </c>
      <c r="D23" s="297" t="s">
        <v>753</v>
      </c>
      <c r="E23" s="265">
        <v>6.79</v>
      </c>
      <c r="F23" s="269">
        <v>6.391</v>
      </c>
      <c r="G23" s="265">
        <v>1.92</v>
      </c>
      <c r="H23" s="269">
        <v>4.4390000000000001</v>
      </c>
      <c r="I23" s="269">
        <v>4.4390000000000001</v>
      </c>
      <c r="J23" s="269">
        <v>4.4390000000000001</v>
      </c>
      <c r="K23" t="s">
        <v>834</v>
      </c>
    </row>
    <row r="24" spans="1:11" ht="27.6" customHeight="1" x14ac:dyDescent="0.2">
      <c r="A24" s="407"/>
      <c r="B24" s="413"/>
      <c r="C24" s="318" t="s">
        <v>754</v>
      </c>
      <c r="D24" s="297" t="s">
        <v>741</v>
      </c>
      <c r="E24" s="266">
        <v>41</v>
      </c>
      <c r="F24" s="266">
        <v>49</v>
      </c>
      <c r="G24" s="266">
        <v>12</v>
      </c>
      <c r="H24" s="266">
        <v>26</v>
      </c>
      <c r="I24" s="266">
        <v>26</v>
      </c>
      <c r="J24" s="266">
        <v>26</v>
      </c>
    </row>
    <row r="25" spans="1:11" ht="30" customHeight="1" x14ac:dyDescent="0.2">
      <c r="A25" s="407"/>
      <c r="B25" s="413"/>
      <c r="C25" s="318" t="s">
        <v>755</v>
      </c>
      <c r="D25" s="297" t="s">
        <v>741</v>
      </c>
      <c r="E25" s="266">
        <v>460</v>
      </c>
      <c r="F25" s="266">
        <v>645</v>
      </c>
      <c r="G25" s="266">
        <v>56</v>
      </c>
      <c r="H25" s="266">
        <v>130</v>
      </c>
      <c r="I25" s="266">
        <v>130</v>
      </c>
      <c r="J25" s="266">
        <v>130</v>
      </c>
    </row>
    <row r="26" spans="1:11" ht="45.6" customHeight="1" x14ac:dyDescent="0.2">
      <c r="A26" s="407">
        <v>7</v>
      </c>
      <c r="B26" s="413" t="s">
        <v>756</v>
      </c>
      <c r="C26" s="318" t="s">
        <v>757</v>
      </c>
      <c r="D26" s="297" t="s">
        <v>741</v>
      </c>
      <c r="E26" s="265" t="s">
        <v>742</v>
      </c>
      <c r="F26" s="266">
        <v>8</v>
      </c>
      <c r="G26" s="266">
        <v>7</v>
      </c>
      <c r="H26" s="265" t="s">
        <v>742</v>
      </c>
      <c r="I26" s="265" t="s">
        <v>742</v>
      </c>
      <c r="J26" s="265" t="s">
        <v>742</v>
      </c>
    </row>
    <row r="27" spans="1:11" ht="46.9" customHeight="1" x14ac:dyDescent="0.2">
      <c r="A27" s="407"/>
      <c r="B27" s="413"/>
      <c r="C27" s="318" t="s">
        <v>747</v>
      </c>
      <c r="D27" s="297" t="s">
        <v>741</v>
      </c>
      <c r="E27" s="267">
        <v>1</v>
      </c>
      <c r="F27" s="268" t="s">
        <v>742</v>
      </c>
      <c r="G27" s="268" t="s">
        <v>742</v>
      </c>
      <c r="H27" s="268" t="s">
        <v>742</v>
      </c>
      <c r="I27" s="268" t="s">
        <v>742</v>
      </c>
      <c r="J27" s="268" t="s">
        <v>742</v>
      </c>
    </row>
    <row r="28" spans="1:11" s="1" customFormat="1" ht="46.15" customHeight="1" x14ac:dyDescent="0.2">
      <c r="A28" s="317">
        <v>8</v>
      </c>
      <c r="B28" s="319" t="s">
        <v>758</v>
      </c>
      <c r="C28" s="319" t="s">
        <v>759</v>
      </c>
      <c r="D28" s="320" t="s">
        <v>741</v>
      </c>
      <c r="E28" s="267">
        <v>4</v>
      </c>
      <c r="F28" s="267">
        <v>2</v>
      </c>
      <c r="G28" s="267">
        <v>10</v>
      </c>
      <c r="H28" s="268" t="s">
        <v>742</v>
      </c>
      <c r="I28" s="268" t="s">
        <v>742</v>
      </c>
      <c r="J28" s="268" t="s">
        <v>742</v>
      </c>
    </row>
    <row r="29" spans="1:11" s="1" customFormat="1" ht="57" customHeight="1" x14ac:dyDescent="0.2">
      <c r="A29" s="317">
        <v>9</v>
      </c>
      <c r="B29" s="319" t="s">
        <v>207</v>
      </c>
      <c r="C29" s="319" t="s">
        <v>898</v>
      </c>
      <c r="D29" s="320" t="s">
        <v>741</v>
      </c>
      <c r="E29" s="267">
        <v>1</v>
      </c>
      <c r="F29" s="267">
        <v>4</v>
      </c>
      <c r="G29" s="267">
        <v>7</v>
      </c>
      <c r="H29" s="268" t="s">
        <v>742</v>
      </c>
      <c r="I29" s="268" t="s">
        <v>742</v>
      </c>
      <c r="J29" s="268" t="s">
        <v>742</v>
      </c>
    </row>
    <row r="30" spans="1:11" ht="59.45" customHeight="1" x14ac:dyDescent="0.2">
      <c r="A30" s="317">
        <v>10</v>
      </c>
      <c r="B30" s="318" t="s">
        <v>899</v>
      </c>
      <c r="C30" s="318" t="s">
        <v>973</v>
      </c>
      <c r="D30" s="297" t="s">
        <v>741</v>
      </c>
      <c r="E30" s="265" t="s">
        <v>742</v>
      </c>
      <c r="F30" s="267">
        <v>1</v>
      </c>
      <c r="G30" s="267">
        <v>1</v>
      </c>
      <c r="H30" s="265" t="s">
        <v>742</v>
      </c>
      <c r="I30" s="265" t="s">
        <v>742</v>
      </c>
      <c r="J30" s="265" t="s">
        <v>742</v>
      </c>
      <c r="K30" s="249" t="s">
        <v>835</v>
      </c>
    </row>
    <row r="31" spans="1:11" s="1" customFormat="1" ht="49.15" customHeight="1" x14ac:dyDescent="0.2">
      <c r="A31" s="317">
        <v>11</v>
      </c>
      <c r="B31" s="318" t="s">
        <v>840</v>
      </c>
      <c r="C31" s="319" t="s">
        <v>833</v>
      </c>
      <c r="D31" s="320" t="s">
        <v>741</v>
      </c>
      <c r="E31" s="266">
        <v>929</v>
      </c>
      <c r="F31" s="266">
        <v>584</v>
      </c>
      <c r="G31" s="266">
        <v>584</v>
      </c>
      <c r="H31" s="267">
        <v>1943</v>
      </c>
      <c r="I31" s="267">
        <v>1943</v>
      </c>
      <c r="J31" s="267">
        <v>1943</v>
      </c>
      <c r="K31" s="1" t="s">
        <v>836</v>
      </c>
    </row>
    <row r="32" spans="1:11" s="1" customFormat="1" ht="32.450000000000003" customHeight="1" x14ac:dyDescent="0.2">
      <c r="A32" s="317">
        <v>12</v>
      </c>
      <c r="B32" s="319" t="s">
        <v>760</v>
      </c>
      <c r="C32" s="319" t="s">
        <v>761</v>
      </c>
      <c r="D32" s="320" t="s">
        <v>762</v>
      </c>
      <c r="E32" s="267">
        <v>2</v>
      </c>
      <c r="F32" s="268" t="s">
        <v>742</v>
      </c>
      <c r="G32" s="268" t="s">
        <v>742</v>
      </c>
      <c r="H32" s="267">
        <v>1</v>
      </c>
      <c r="I32" s="267">
        <v>1</v>
      </c>
      <c r="J32" s="268" t="s">
        <v>742</v>
      </c>
      <c r="K32" s="312" t="s">
        <v>967</v>
      </c>
    </row>
    <row r="33" spans="1:30" s="1" customFormat="1" ht="49.15" customHeight="1" x14ac:dyDescent="0.2">
      <c r="A33" s="317">
        <v>13</v>
      </c>
      <c r="B33" s="319" t="s">
        <v>763</v>
      </c>
      <c r="C33" s="319" t="s">
        <v>764</v>
      </c>
      <c r="D33" s="320" t="s">
        <v>741</v>
      </c>
      <c r="E33" s="267">
        <v>61</v>
      </c>
      <c r="F33" s="267">
        <v>43</v>
      </c>
      <c r="G33" s="267">
        <v>43</v>
      </c>
      <c r="H33" s="267">
        <v>43</v>
      </c>
      <c r="I33" s="267">
        <v>43</v>
      </c>
      <c r="J33" s="267">
        <v>43</v>
      </c>
    </row>
    <row r="34" spans="1:30" ht="30.6" customHeight="1" x14ac:dyDescent="0.2">
      <c r="A34" s="405" t="s">
        <v>765</v>
      </c>
      <c r="B34" s="408"/>
      <c r="C34" s="408"/>
      <c r="D34" s="408"/>
      <c r="E34" s="408"/>
      <c r="F34" s="408"/>
      <c r="G34" s="408"/>
      <c r="H34" s="408"/>
      <c r="I34" s="408"/>
      <c r="J34" s="408"/>
    </row>
    <row r="35" spans="1:30" ht="36" customHeight="1" x14ac:dyDescent="0.2">
      <c r="A35" s="317">
        <v>14</v>
      </c>
      <c r="B35" s="318" t="s">
        <v>197</v>
      </c>
      <c r="C35" s="319" t="s">
        <v>766</v>
      </c>
      <c r="D35" s="296" t="s">
        <v>767</v>
      </c>
      <c r="E35" s="270">
        <v>98.9</v>
      </c>
      <c r="F35" s="270">
        <v>99.5</v>
      </c>
      <c r="G35" s="270">
        <v>99.5</v>
      </c>
      <c r="H35" s="270">
        <v>99.5</v>
      </c>
      <c r="I35" s="271">
        <v>99.5</v>
      </c>
      <c r="J35" s="271">
        <v>99.5</v>
      </c>
    </row>
    <row r="36" spans="1:30" s="201" customFormat="1" ht="45.6" customHeight="1" x14ac:dyDescent="0.2">
      <c r="A36" s="415" t="s">
        <v>910</v>
      </c>
      <c r="B36" s="415"/>
      <c r="C36" s="415"/>
      <c r="D36" s="415"/>
      <c r="E36" s="415"/>
      <c r="F36" s="415"/>
      <c r="G36" s="415"/>
      <c r="H36" s="415"/>
      <c r="I36" s="415"/>
      <c r="J36" s="415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2"/>
      <c r="AB36" s="202"/>
      <c r="AC36" s="202"/>
      <c r="AD36" s="202"/>
    </row>
    <row r="37" spans="1:30" s="201" customFormat="1" ht="33.6" customHeight="1" x14ac:dyDescent="0.2">
      <c r="A37" s="416" t="s">
        <v>1057</v>
      </c>
      <c r="B37" s="416"/>
      <c r="C37" s="416"/>
      <c r="D37" s="416"/>
      <c r="E37" s="416"/>
      <c r="F37" s="416"/>
      <c r="G37" s="416"/>
      <c r="H37" s="416"/>
      <c r="I37" s="416"/>
      <c r="J37" s="416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</row>
    <row r="38" spans="1:30" s="201" customFormat="1" ht="40.9" customHeight="1" x14ac:dyDescent="0.2">
      <c r="A38" s="415" t="s">
        <v>909</v>
      </c>
      <c r="B38" s="415"/>
      <c r="C38" s="415"/>
      <c r="D38" s="415"/>
      <c r="E38" s="415"/>
      <c r="F38" s="415"/>
      <c r="G38" s="415"/>
      <c r="H38" s="415"/>
      <c r="I38" s="415"/>
      <c r="J38" s="41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</row>
    <row r="39" spans="1:30" s="201" customFormat="1" ht="41.65" customHeight="1" x14ac:dyDescent="0.2">
      <c r="A39" s="405" t="s">
        <v>912</v>
      </c>
      <c r="B39" s="405"/>
      <c r="C39" s="405"/>
      <c r="D39" s="405"/>
      <c r="E39" s="405"/>
      <c r="F39" s="405"/>
      <c r="G39" s="405"/>
      <c r="H39" s="405"/>
      <c r="I39" s="405"/>
      <c r="J39" s="40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</row>
    <row r="40" spans="1:30" ht="71.45" customHeight="1" x14ac:dyDescent="0.2">
      <c r="A40" s="304">
        <v>15</v>
      </c>
      <c r="B40" s="320" t="s">
        <v>242</v>
      </c>
      <c r="C40" s="233" t="s">
        <v>975</v>
      </c>
      <c r="D40" s="272" t="s">
        <v>771</v>
      </c>
      <c r="E40" s="304">
        <v>0.1</v>
      </c>
      <c r="F40" s="304" t="s">
        <v>742</v>
      </c>
      <c r="G40" s="321">
        <v>1</v>
      </c>
      <c r="H40" s="272">
        <v>1.78</v>
      </c>
      <c r="I40" s="272">
        <v>4.5</v>
      </c>
      <c r="J40" s="272">
        <v>2.4</v>
      </c>
      <c r="K40" s="235">
        <v>3.2</v>
      </c>
    </row>
    <row r="41" spans="1:30" ht="75" customHeight="1" x14ac:dyDescent="0.2">
      <c r="A41" s="304">
        <v>16</v>
      </c>
      <c r="B41" s="320" t="s">
        <v>243</v>
      </c>
      <c r="C41" s="233" t="s">
        <v>976</v>
      </c>
      <c r="D41" s="272" t="s">
        <v>771</v>
      </c>
      <c r="E41" s="304" t="s">
        <v>742</v>
      </c>
      <c r="F41" s="304" t="s">
        <v>742</v>
      </c>
      <c r="G41" s="304" t="s">
        <v>742</v>
      </c>
      <c r="H41" s="320">
        <v>1.02</v>
      </c>
      <c r="I41" s="320">
        <v>0.1</v>
      </c>
      <c r="J41" s="320" t="s">
        <v>742</v>
      </c>
      <c r="K41" s="235">
        <v>0.69</v>
      </c>
    </row>
    <row r="42" spans="1:30" ht="69.599999999999994" customHeight="1" x14ac:dyDescent="0.2">
      <c r="A42" s="417">
        <v>17</v>
      </c>
      <c r="B42" s="420" t="s">
        <v>244</v>
      </c>
      <c r="C42" s="233" t="s">
        <v>977</v>
      </c>
      <c r="D42" s="272" t="s">
        <v>741</v>
      </c>
      <c r="E42" s="298" t="s">
        <v>742</v>
      </c>
      <c r="F42" s="298" t="s">
        <v>742</v>
      </c>
      <c r="G42" s="298" t="s">
        <v>742</v>
      </c>
      <c r="H42" s="272">
        <v>2</v>
      </c>
      <c r="I42" s="272">
        <v>2</v>
      </c>
      <c r="J42" s="272">
        <v>3</v>
      </c>
      <c r="K42" s="236">
        <v>1</v>
      </c>
    </row>
    <row r="43" spans="1:30" ht="69" customHeight="1" x14ac:dyDescent="0.2">
      <c r="A43" s="418"/>
      <c r="B43" s="421"/>
      <c r="C43" s="233" t="s">
        <v>978</v>
      </c>
      <c r="D43" s="272" t="s">
        <v>741</v>
      </c>
      <c r="E43" s="298" t="s">
        <v>742</v>
      </c>
      <c r="F43" s="272">
        <v>2</v>
      </c>
      <c r="G43" s="298" t="s">
        <v>742</v>
      </c>
      <c r="H43" s="272">
        <v>1</v>
      </c>
      <c r="I43" s="272">
        <v>3</v>
      </c>
      <c r="J43" s="272">
        <v>4</v>
      </c>
      <c r="K43" s="236">
        <v>1</v>
      </c>
    </row>
    <row r="44" spans="1:30" ht="69" customHeight="1" x14ac:dyDescent="0.2">
      <c r="A44" s="418"/>
      <c r="B44" s="421"/>
      <c r="C44" s="233" t="s">
        <v>900</v>
      </c>
      <c r="D44" s="272" t="s">
        <v>741</v>
      </c>
      <c r="E44" s="320">
        <v>1</v>
      </c>
      <c r="F44" s="272" t="s">
        <v>742</v>
      </c>
      <c r="G44" s="272" t="s">
        <v>742</v>
      </c>
      <c r="H44" s="272">
        <v>2</v>
      </c>
      <c r="I44" s="272">
        <v>3</v>
      </c>
      <c r="J44" s="272">
        <v>4</v>
      </c>
      <c r="K44" s="236">
        <v>7</v>
      </c>
    </row>
    <row r="45" spans="1:30" ht="76.5" x14ac:dyDescent="0.2">
      <c r="A45" s="418"/>
      <c r="B45" s="421"/>
      <c r="C45" s="233" t="s">
        <v>901</v>
      </c>
      <c r="D45" s="272" t="s">
        <v>741</v>
      </c>
      <c r="E45" s="298" t="s">
        <v>742</v>
      </c>
      <c r="F45" s="298" t="s">
        <v>742</v>
      </c>
      <c r="G45" s="298" t="s">
        <v>742</v>
      </c>
      <c r="H45" s="272">
        <v>15</v>
      </c>
      <c r="I45" s="272">
        <v>20</v>
      </c>
      <c r="J45" s="272">
        <v>25</v>
      </c>
      <c r="K45" s="236">
        <v>40</v>
      </c>
      <c r="M45" s="243" t="s">
        <v>823</v>
      </c>
    </row>
    <row r="46" spans="1:30" ht="76.5" x14ac:dyDescent="0.2">
      <c r="A46" s="418"/>
      <c r="B46" s="421"/>
      <c r="C46" s="233" t="s">
        <v>974</v>
      </c>
      <c r="D46" s="272" t="s">
        <v>771</v>
      </c>
      <c r="E46" s="320">
        <v>33.46</v>
      </c>
      <c r="F46" s="304" t="s">
        <v>742</v>
      </c>
      <c r="G46" s="320">
        <v>42</v>
      </c>
      <c r="H46" s="272">
        <v>58</v>
      </c>
      <c r="I46" s="272">
        <v>61</v>
      </c>
      <c r="J46" s="272">
        <v>72</v>
      </c>
      <c r="K46" s="236"/>
      <c r="M46" s="243"/>
    </row>
    <row r="47" spans="1:30" ht="78.599999999999994" customHeight="1" x14ac:dyDescent="0.2">
      <c r="A47" s="419"/>
      <c r="B47" s="422"/>
      <c r="C47" s="233" t="s">
        <v>770</v>
      </c>
      <c r="D47" s="272" t="s">
        <v>769</v>
      </c>
      <c r="E47" s="304" t="s">
        <v>742</v>
      </c>
      <c r="F47" s="304" t="s">
        <v>742</v>
      </c>
      <c r="G47" s="320">
        <v>90</v>
      </c>
      <c r="H47" s="272">
        <v>105</v>
      </c>
      <c r="I47" s="272">
        <v>107</v>
      </c>
      <c r="J47" s="272">
        <v>119</v>
      </c>
      <c r="K47" s="236"/>
      <c r="M47" s="243"/>
    </row>
    <row r="48" spans="1:30" ht="68.45" customHeight="1" x14ac:dyDescent="0.2">
      <c r="A48" s="304">
        <v>18</v>
      </c>
      <c r="B48" s="319" t="s">
        <v>837</v>
      </c>
      <c r="C48" s="233" t="s">
        <v>829</v>
      </c>
      <c r="D48" s="272" t="s">
        <v>773</v>
      </c>
      <c r="E48" s="298" t="s">
        <v>742</v>
      </c>
      <c r="F48" s="272">
        <v>34.200000000000003</v>
      </c>
      <c r="G48" s="272">
        <v>33.69</v>
      </c>
      <c r="H48" s="272">
        <v>35.4</v>
      </c>
      <c r="I48" s="272">
        <v>48.83</v>
      </c>
      <c r="J48" s="272">
        <v>18.54</v>
      </c>
      <c r="K48" s="232">
        <v>109.38</v>
      </c>
      <c r="L48" t="s">
        <v>816</v>
      </c>
    </row>
    <row r="49" spans="1:30" ht="66" customHeight="1" x14ac:dyDescent="0.2">
      <c r="A49" s="304">
        <v>19</v>
      </c>
      <c r="B49" s="242" t="s">
        <v>246</v>
      </c>
      <c r="C49" s="233" t="s">
        <v>830</v>
      </c>
      <c r="D49" s="272" t="s">
        <v>772</v>
      </c>
      <c r="E49" s="320">
        <v>257.52999999999997</v>
      </c>
      <c r="F49" s="272">
        <v>64.67</v>
      </c>
      <c r="G49" s="272">
        <v>164.74</v>
      </c>
      <c r="H49" s="272">
        <v>249.37</v>
      </c>
      <c r="I49" s="272">
        <v>305.08999999999997</v>
      </c>
      <c r="J49" s="272">
        <v>348.64</v>
      </c>
      <c r="K49" s="234" t="s">
        <v>774</v>
      </c>
    </row>
    <row r="50" spans="1:30" ht="84.6" customHeight="1" x14ac:dyDescent="0.2">
      <c r="A50" s="304">
        <v>20</v>
      </c>
      <c r="B50" s="242" t="s">
        <v>895</v>
      </c>
      <c r="C50" s="233" t="s">
        <v>915</v>
      </c>
      <c r="D50" s="272" t="s">
        <v>772</v>
      </c>
      <c r="E50" s="320">
        <v>178.35</v>
      </c>
      <c r="F50" s="320">
        <v>15</v>
      </c>
      <c r="G50" s="320">
        <v>15</v>
      </c>
      <c r="H50" s="320">
        <v>311</v>
      </c>
      <c r="I50" s="320">
        <v>321</v>
      </c>
      <c r="J50" s="320">
        <v>327</v>
      </c>
      <c r="K50" s="234" t="s">
        <v>775</v>
      </c>
    </row>
    <row r="51" spans="1:30" ht="174" customHeight="1" x14ac:dyDescent="0.2">
      <c r="A51" s="304">
        <v>21</v>
      </c>
      <c r="B51" s="242" t="s">
        <v>913</v>
      </c>
      <c r="C51" s="299" t="s">
        <v>947</v>
      </c>
      <c r="D51" s="272" t="s">
        <v>772</v>
      </c>
      <c r="E51" s="320">
        <v>6.14</v>
      </c>
      <c r="F51" s="320" t="s">
        <v>742</v>
      </c>
      <c r="G51" s="320" t="s">
        <v>742</v>
      </c>
      <c r="H51" s="320">
        <v>195.46</v>
      </c>
      <c r="I51" s="320">
        <v>129.21</v>
      </c>
      <c r="J51" s="320">
        <v>171.17</v>
      </c>
      <c r="K51" s="244" t="s">
        <v>967</v>
      </c>
    </row>
    <row r="52" spans="1:30" s="201" customFormat="1" ht="31.15" customHeight="1" x14ac:dyDescent="0.2">
      <c r="A52" s="415" t="s">
        <v>897</v>
      </c>
      <c r="B52" s="415"/>
      <c r="C52" s="415"/>
      <c r="D52" s="415"/>
      <c r="E52" s="415"/>
      <c r="F52" s="415"/>
      <c r="G52" s="415"/>
      <c r="H52" s="415"/>
      <c r="I52" s="415"/>
      <c r="J52" s="415"/>
      <c r="K52" s="423"/>
      <c r="L52" s="423"/>
      <c r="M52" s="423"/>
      <c r="N52" s="423"/>
      <c r="O52" s="423"/>
      <c r="P52" s="423"/>
      <c r="Q52" s="423"/>
      <c r="R52" s="423"/>
      <c r="S52" s="423"/>
      <c r="T52" s="423"/>
      <c r="U52" s="423"/>
      <c r="V52" s="423"/>
      <c r="W52" s="423"/>
      <c r="X52" s="423"/>
      <c r="Y52" s="423"/>
      <c r="Z52" s="423"/>
      <c r="AA52" s="423"/>
      <c r="AB52" s="423"/>
      <c r="AC52" s="423"/>
      <c r="AD52" s="423"/>
    </row>
    <row r="53" spans="1:30" s="201" customFormat="1" ht="17.45" customHeight="1" x14ac:dyDescent="0.2">
      <c r="A53" s="416" t="s">
        <v>248</v>
      </c>
      <c r="B53" s="416"/>
      <c r="C53" s="416"/>
      <c r="D53" s="416"/>
      <c r="E53" s="416"/>
      <c r="F53" s="416"/>
      <c r="G53" s="416"/>
      <c r="H53" s="416"/>
      <c r="I53" s="416"/>
      <c r="J53" s="416"/>
      <c r="K53" s="424"/>
      <c r="L53" s="424"/>
      <c r="M53" s="424"/>
      <c r="N53" s="424"/>
      <c r="O53" s="424"/>
      <c r="P53" s="424"/>
      <c r="Q53" s="424"/>
      <c r="R53" s="424"/>
      <c r="S53" s="424"/>
      <c r="T53" s="424"/>
      <c r="U53" s="424"/>
      <c r="V53" s="424"/>
      <c r="W53" s="424"/>
      <c r="X53" s="424"/>
      <c r="Y53" s="424"/>
      <c r="Z53" s="424"/>
      <c r="AA53" s="424"/>
      <c r="AB53" s="424"/>
      <c r="AC53" s="424"/>
      <c r="AD53" s="424"/>
    </row>
    <row r="54" spans="1:30" s="201" customFormat="1" ht="28.9" customHeight="1" x14ac:dyDescent="0.2">
      <c r="A54" s="405" t="s">
        <v>896</v>
      </c>
      <c r="B54" s="405"/>
      <c r="C54" s="405"/>
      <c r="D54" s="405"/>
      <c r="E54" s="405"/>
      <c r="F54" s="405"/>
      <c r="G54" s="405"/>
      <c r="H54" s="405"/>
      <c r="I54" s="405"/>
      <c r="J54" s="405"/>
      <c r="K54" s="406"/>
      <c r="L54" s="406"/>
      <c r="M54" s="406"/>
      <c r="N54" s="406"/>
      <c r="O54" s="406"/>
      <c r="P54" s="406"/>
      <c r="Q54" s="406"/>
      <c r="R54" s="406"/>
      <c r="S54" s="406"/>
      <c r="T54" s="406"/>
      <c r="U54" s="406"/>
      <c r="V54" s="406"/>
      <c r="W54" s="406"/>
      <c r="X54" s="406"/>
      <c r="Y54" s="406"/>
      <c r="Z54" s="406"/>
      <c r="AA54" s="406"/>
      <c r="AB54" s="406"/>
      <c r="AC54" s="406"/>
      <c r="AD54" s="406"/>
    </row>
    <row r="55" spans="1:30" s="201" customFormat="1" ht="30" customHeight="1" x14ac:dyDescent="0.2">
      <c r="A55" s="405" t="s">
        <v>249</v>
      </c>
      <c r="B55" s="405"/>
      <c r="C55" s="405"/>
      <c r="D55" s="405"/>
      <c r="E55" s="405"/>
      <c r="F55" s="405"/>
      <c r="G55" s="405"/>
      <c r="H55" s="405"/>
      <c r="I55" s="405"/>
      <c r="J55" s="405"/>
      <c r="K55" s="406"/>
      <c r="L55" s="406"/>
      <c r="M55" s="406"/>
      <c r="N55" s="406"/>
      <c r="O55" s="406"/>
      <c r="P55" s="406"/>
      <c r="Q55" s="406"/>
      <c r="R55" s="406"/>
      <c r="S55" s="406"/>
      <c r="T55" s="406"/>
      <c r="U55" s="406"/>
      <c r="V55" s="406"/>
      <c r="W55" s="406"/>
      <c r="X55" s="406"/>
      <c r="Y55" s="406"/>
      <c r="Z55" s="406"/>
      <c r="AA55" s="406"/>
      <c r="AB55" s="406"/>
      <c r="AC55" s="406"/>
      <c r="AD55" s="406"/>
    </row>
    <row r="56" spans="1:30" ht="112.15" customHeight="1" x14ac:dyDescent="0.2">
      <c r="A56" s="317">
        <v>22</v>
      </c>
      <c r="B56" s="319" t="s">
        <v>820</v>
      </c>
      <c r="C56" s="318" t="s">
        <v>776</v>
      </c>
      <c r="D56" s="297" t="s">
        <v>773</v>
      </c>
      <c r="E56" s="265">
        <v>6198.38</v>
      </c>
      <c r="F56" s="273">
        <v>6198.3789999999999</v>
      </c>
      <c r="G56" s="273">
        <v>6198.3789999999999</v>
      </c>
      <c r="H56" s="273">
        <v>6198.3789999999999</v>
      </c>
      <c r="I56" s="273">
        <v>6198.3789999999999</v>
      </c>
      <c r="J56" s="273">
        <v>6198.3789999999999</v>
      </c>
    </row>
    <row r="57" spans="1:30" ht="45" customHeight="1" x14ac:dyDescent="0.2">
      <c r="A57" s="317">
        <v>23</v>
      </c>
      <c r="B57" s="318" t="s">
        <v>777</v>
      </c>
      <c r="C57" s="318" t="s">
        <v>778</v>
      </c>
      <c r="D57" s="297" t="s">
        <v>773</v>
      </c>
      <c r="E57" s="265">
        <v>1.95</v>
      </c>
      <c r="F57" s="273">
        <v>1.95</v>
      </c>
      <c r="G57" s="273">
        <v>1.95</v>
      </c>
      <c r="H57" s="273">
        <v>1.95</v>
      </c>
      <c r="I57" s="273">
        <v>1.95</v>
      </c>
      <c r="J57" s="273">
        <v>1.95</v>
      </c>
    </row>
    <row r="58" spans="1:30" x14ac:dyDescent="0.2">
      <c r="A58" s="428" t="s">
        <v>779</v>
      </c>
      <c r="B58" s="428"/>
      <c r="C58" s="428"/>
      <c r="D58" s="428"/>
      <c r="E58" s="428"/>
      <c r="F58" s="428"/>
      <c r="G58" s="428"/>
      <c r="H58" s="428"/>
      <c r="I58" s="428"/>
      <c r="J58" s="428"/>
    </row>
    <row r="59" spans="1:30" ht="25.5" x14ac:dyDescent="0.2">
      <c r="A59" s="317">
        <v>24</v>
      </c>
      <c r="B59" s="300" t="s">
        <v>252</v>
      </c>
      <c r="C59" s="318" t="s">
        <v>780</v>
      </c>
      <c r="D59" s="297" t="s">
        <v>741</v>
      </c>
      <c r="E59" s="266">
        <v>29</v>
      </c>
      <c r="F59" s="274">
        <v>29</v>
      </c>
      <c r="G59" s="274">
        <v>29</v>
      </c>
      <c r="H59" s="274">
        <v>29</v>
      </c>
      <c r="I59" s="274">
        <v>29</v>
      </c>
      <c r="J59" s="274">
        <v>29</v>
      </c>
    </row>
    <row r="60" spans="1:30" ht="28.9" customHeight="1" x14ac:dyDescent="0.2">
      <c r="A60" s="415" t="s">
        <v>730</v>
      </c>
      <c r="B60" s="415"/>
      <c r="C60" s="415"/>
      <c r="D60" s="415"/>
      <c r="E60" s="415"/>
      <c r="F60" s="415"/>
      <c r="G60" s="415"/>
      <c r="H60" s="415"/>
      <c r="I60" s="415"/>
      <c r="J60" s="415"/>
    </row>
    <row r="61" spans="1:30" x14ac:dyDescent="0.2">
      <c r="A61" s="416" t="s">
        <v>195</v>
      </c>
      <c r="B61" s="416"/>
      <c r="C61" s="416"/>
      <c r="D61" s="416"/>
      <c r="E61" s="416"/>
      <c r="F61" s="416"/>
      <c r="G61" s="416"/>
      <c r="H61" s="416"/>
      <c r="I61" s="416"/>
      <c r="J61" s="416"/>
    </row>
    <row r="62" spans="1:30" ht="28.15" customHeight="1" x14ac:dyDescent="0.2">
      <c r="A62" s="405" t="s">
        <v>194</v>
      </c>
      <c r="B62" s="405"/>
      <c r="C62" s="405"/>
      <c r="D62" s="405"/>
      <c r="E62" s="405"/>
      <c r="F62" s="405"/>
      <c r="G62" s="405"/>
      <c r="H62" s="405"/>
      <c r="I62" s="405"/>
      <c r="J62" s="405"/>
    </row>
    <row r="63" spans="1:30" ht="20.45" customHeight="1" x14ac:dyDescent="0.2">
      <c r="A63" s="405" t="s">
        <v>193</v>
      </c>
      <c r="B63" s="405"/>
      <c r="C63" s="405"/>
      <c r="D63" s="405"/>
      <c r="E63" s="405"/>
      <c r="F63" s="405"/>
      <c r="G63" s="405"/>
      <c r="H63" s="405"/>
      <c r="I63" s="405"/>
      <c r="J63" s="405"/>
    </row>
    <row r="64" spans="1:30" ht="38.25" x14ac:dyDescent="0.2">
      <c r="A64" s="317">
        <v>25</v>
      </c>
      <c r="B64" s="299" t="s">
        <v>192</v>
      </c>
      <c r="C64" s="318" t="s">
        <v>768</v>
      </c>
      <c r="D64" s="301" t="s">
        <v>741</v>
      </c>
      <c r="E64" s="266">
        <v>100</v>
      </c>
      <c r="F64" s="266">
        <v>50</v>
      </c>
      <c r="G64" s="266">
        <v>50</v>
      </c>
      <c r="H64" s="266">
        <v>50</v>
      </c>
      <c r="I64" s="266">
        <v>50</v>
      </c>
      <c r="J64" s="266">
        <v>50</v>
      </c>
    </row>
    <row r="65" spans="1:10" ht="18" customHeight="1" x14ac:dyDescent="0.2">
      <c r="A65" s="426" t="s">
        <v>838</v>
      </c>
      <c r="B65" s="427"/>
      <c r="C65" s="427"/>
      <c r="D65" s="427"/>
      <c r="E65" s="427"/>
      <c r="F65" s="427"/>
      <c r="G65" s="427"/>
      <c r="H65" s="427"/>
      <c r="I65" s="427"/>
      <c r="J65" s="427"/>
    </row>
    <row r="66" spans="1:10" ht="80.45" customHeight="1" x14ac:dyDescent="0.2">
      <c r="A66" s="320">
        <v>26</v>
      </c>
      <c r="B66" s="242" t="s">
        <v>817</v>
      </c>
      <c r="C66" s="319" t="s">
        <v>827</v>
      </c>
      <c r="D66" s="320" t="s">
        <v>828</v>
      </c>
      <c r="E66" s="304" t="s">
        <v>742</v>
      </c>
      <c r="F66" s="270">
        <v>15369</v>
      </c>
      <c r="G66" s="270">
        <v>15369</v>
      </c>
      <c r="H66" s="270">
        <v>15369</v>
      </c>
      <c r="I66" s="270">
        <v>15369</v>
      </c>
      <c r="J66" s="270">
        <v>15369</v>
      </c>
    </row>
    <row r="67" spans="1:10" ht="46.9" customHeight="1" x14ac:dyDescent="0.2">
      <c r="A67" s="425">
        <v>27</v>
      </c>
      <c r="B67" s="414" t="s">
        <v>818</v>
      </c>
      <c r="C67" s="319" t="s">
        <v>826</v>
      </c>
      <c r="D67" s="320" t="s">
        <v>767</v>
      </c>
      <c r="E67" s="304" t="s">
        <v>824</v>
      </c>
      <c r="F67" s="270">
        <v>90</v>
      </c>
      <c r="G67" s="270">
        <v>90</v>
      </c>
      <c r="H67" s="270">
        <v>90</v>
      </c>
      <c r="I67" s="270">
        <v>90</v>
      </c>
      <c r="J67" s="270">
        <v>90</v>
      </c>
    </row>
    <row r="68" spans="1:10" ht="51" x14ac:dyDescent="0.2">
      <c r="A68" s="425"/>
      <c r="B68" s="414"/>
      <c r="C68" s="319" t="s">
        <v>979</v>
      </c>
      <c r="D68" s="320" t="s">
        <v>762</v>
      </c>
      <c r="E68" s="267">
        <v>2</v>
      </c>
      <c r="F68" s="267">
        <v>2</v>
      </c>
      <c r="G68" s="267">
        <v>2</v>
      </c>
      <c r="H68" s="267">
        <v>2</v>
      </c>
      <c r="I68" s="267">
        <v>2</v>
      </c>
      <c r="J68" s="267">
        <v>2</v>
      </c>
    </row>
    <row r="69" spans="1:10" ht="51" x14ac:dyDescent="0.2">
      <c r="A69" s="425"/>
      <c r="B69" s="414"/>
      <c r="C69" s="319" t="s">
        <v>980</v>
      </c>
      <c r="D69" s="320" t="s">
        <v>762</v>
      </c>
      <c r="E69" s="267">
        <v>50</v>
      </c>
      <c r="F69" s="267">
        <v>50</v>
      </c>
      <c r="G69" s="267">
        <v>50</v>
      </c>
      <c r="H69" s="267">
        <v>50</v>
      </c>
      <c r="I69" s="267">
        <v>50</v>
      </c>
      <c r="J69" s="267">
        <v>50</v>
      </c>
    </row>
  </sheetData>
  <mergeCells count="54">
    <mergeCell ref="U52:AD52"/>
    <mergeCell ref="K53:T53"/>
    <mergeCell ref="U53:AD53"/>
    <mergeCell ref="A67:A69"/>
    <mergeCell ref="B67:B69"/>
    <mergeCell ref="K55:T55"/>
    <mergeCell ref="A65:J65"/>
    <mergeCell ref="U55:AD55"/>
    <mergeCell ref="A63:J63"/>
    <mergeCell ref="A62:J62"/>
    <mergeCell ref="A61:J61"/>
    <mergeCell ref="A60:J60"/>
    <mergeCell ref="A58:J58"/>
    <mergeCell ref="A55:J55"/>
    <mergeCell ref="U54:AD54"/>
    <mergeCell ref="A26:A27"/>
    <mergeCell ref="B26:B27"/>
    <mergeCell ref="A13:J13"/>
    <mergeCell ref="A14:J14"/>
    <mergeCell ref="A17:A18"/>
    <mergeCell ref="B17:B18"/>
    <mergeCell ref="A36:J36"/>
    <mergeCell ref="A37:J37"/>
    <mergeCell ref="A38:J38"/>
    <mergeCell ref="A39:J39"/>
    <mergeCell ref="A52:J52"/>
    <mergeCell ref="A42:A47"/>
    <mergeCell ref="B42:B47"/>
    <mergeCell ref="A53:J53"/>
    <mergeCell ref="K52:T52"/>
    <mergeCell ref="F1:J1"/>
    <mergeCell ref="A54:J54"/>
    <mergeCell ref="K54:T54"/>
    <mergeCell ref="A23:A25"/>
    <mergeCell ref="A34:J34"/>
    <mergeCell ref="A22:J22"/>
    <mergeCell ref="A10:J10"/>
    <mergeCell ref="A11:J11"/>
    <mergeCell ref="A12:J12"/>
    <mergeCell ref="B23:B25"/>
    <mergeCell ref="G7:G8"/>
    <mergeCell ref="H7:H8"/>
    <mergeCell ref="I7:I8"/>
    <mergeCell ref="J7:J8"/>
    <mergeCell ref="A19:A20"/>
    <mergeCell ref="B19:B20"/>
    <mergeCell ref="A3:J4"/>
    <mergeCell ref="A5:A8"/>
    <mergeCell ref="B5:B8"/>
    <mergeCell ref="C5:C8"/>
    <mergeCell ref="D5:D8"/>
    <mergeCell ref="E5:E8"/>
    <mergeCell ref="F5:J6"/>
    <mergeCell ref="F7:F8"/>
  </mergeCells>
  <pageMargins left="0.70866141732283472" right="0.31496062992125984" top="0.74803149606299213" bottom="0.74803149606299213" header="0.31496062992125984" footer="0.31496062992125984"/>
  <pageSetup paperSize="9" scale="70" orientation="portrait" r:id="rId1"/>
  <rowBreaks count="2" manualBreakCount="2">
    <brk id="32" max="9" man="1"/>
    <brk id="49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FF01-6603-4F1A-B6A0-A7966B54C466}">
  <dimension ref="A1:I27"/>
  <sheetViews>
    <sheetView workbookViewId="0">
      <selection sqref="A1:I27"/>
    </sheetView>
  </sheetViews>
  <sheetFormatPr defaultRowHeight="12.75" x14ac:dyDescent="0.2"/>
  <cols>
    <col min="1" max="1" width="4.85546875" style="26" customWidth="1"/>
    <col min="2" max="2" width="29.42578125" style="26" customWidth="1"/>
    <col min="3" max="3" width="10.140625" style="26" customWidth="1"/>
    <col min="4" max="9" width="8.85546875" style="6"/>
    <col min="10" max="10" width="18.5703125" customWidth="1"/>
  </cols>
  <sheetData>
    <row r="1" spans="1:9" ht="27.6" customHeight="1" x14ac:dyDescent="0.2">
      <c r="A1" s="433" t="s">
        <v>233</v>
      </c>
      <c r="B1" s="433" t="s">
        <v>953</v>
      </c>
      <c r="C1" s="433" t="s">
        <v>954</v>
      </c>
      <c r="D1" s="433" t="s">
        <v>738</v>
      </c>
      <c r="E1" s="433" t="s">
        <v>955</v>
      </c>
      <c r="F1" s="433"/>
      <c r="G1" s="433"/>
      <c r="H1" s="433"/>
      <c r="I1" s="433"/>
    </row>
    <row r="2" spans="1:9" ht="15" x14ac:dyDescent="0.2">
      <c r="A2" s="433"/>
      <c r="B2" s="433"/>
      <c r="C2" s="433"/>
      <c r="D2" s="433"/>
      <c r="E2" s="310">
        <v>2021</v>
      </c>
      <c r="F2" s="310">
        <v>2022</v>
      </c>
      <c r="G2" s="310">
        <v>2023</v>
      </c>
      <c r="H2" s="310">
        <v>2024</v>
      </c>
      <c r="I2" s="310">
        <v>2025</v>
      </c>
    </row>
    <row r="3" spans="1:9" ht="15" x14ac:dyDescent="0.2">
      <c r="A3" s="310">
        <v>1</v>
      </c>
      <c r="B3" s="310">
        <v>2</v>
      </c>
      <c r="C3" s="310">
        <v>3</v>
      </c>
      <c r="D3" s="310">
        <v>4</v>
      </c>
      <c r="E3" s="310">
        <v>5</v>
      </c>
      <c r="F3" s="310">
        <v>6</v>
      </c>
      <c r="G3" s="310">
        <v>7</v>
      </c>
      <c r="H3" s="310">
        <v>8</v>
      </c>
      <c r="I3" s="310">
        <v>9</v>
      </c>
    </row>
    <row r="4" spans="1:9" ht="66.599999999999994" customHeight="1" x14ac:dyDescent="0.2">
      <c r="A4" s="308">
        <v>1</v>
      </c>
      <c r="B4" s="311" t="s">
        <v>984</v>
      </c>
      <c r="C4" s="303" t="s">
        <v>767</v>
      </c>
      <c r="D4" s="303">
        <v>2.5</v>
      </c>
      <c r="E4" s="303">
        <v>2.4500000000000002</v>
      </c>
      <c r="F4" s="306">
        <v>2.4</v>
      </c>
      <c r="G4" s="306">
        <v>2.35</v>
      </c>
      <c r="H4" s="306">
        <v>2.2999999999999998</v>
      </c>
      <c r="I4" s="303">
        <v>2.25</v>
      </c>
    </row>
    <row r="5" spans="1:9" ht="60" customHeight="1" x14ac:dyDescent="0.2">
      <c r="A5" s="308">
        <v>2</v>
      </c>
      <c r="B5" s="311" t="s">
        <v>985</v>
      </c>
      <c r="C5" s="303" t="s">
        <v>948</v>
      </c>
      <c r="D5" s="303">
        <v>789</v>
      </c>
      <c r="E5" s="303">
        <v>788</v>
      </c>
      <c r="F5" s="303">
        <v>785</v>
      </c>
      <c r="G5" s="303">
        <v>780</v>
      </c>
      <c r="H5" s="303">
        <v>775</v>
      </c>
      <c r="I5" s="303">
        <v>770</v>
      </c>
    </row>
    <row r="6" spans="1:9" ht="88.15" customHeight="1" x14ac:dyDescent="0.2">
      <c r="A6" s="308">
        <v>3</v>
      </c>
      <c r="B6" s="311" t="s">
        <v>950</v>
      </c>
      <c r="C6" s="310" t="s">
        <v>771</v>
      </c>
      <c r="D6" s="303">
        <v>711.6</v>
      </c>
      <c r="E6" s="307">
        <v>728.91</v>
      </c>
      <c r="F6" s="307">
        <v>750.13</v>
      </c>
      <c r="G6" s="307">
        <v>777.38</v>
      </c>
      <c r="H6" s="307">
        <v>792.19</v>
      </c>
      <c r="I6" s="303">
        <v>801.7</v>
      </c>
    </row>
    <row r="7" spans="1:9" ht="33.6" customHeight="1" x14ac:dyDescent="0.2">
      <c r="A7" s="429" t="s">
        <v>233</v>
      </c>
      <c r="B7" s="429" t="s">
        <v>953</v>
      </c>
      <c r="C7" s="429" t="s">
        <v>954</v>
      </c>
      <c r="D7" s="429" t="s">
        <v>738</v>
      </c>
      <c r="E7" s="429" t="s">
        <v>955</v>
      </c>
      <c r="F7" s="429"/>
      <c r="G7" s="429"/>
      <c r="H7" s="429"/>
      <c r="I7" s="429"/>
    </row>
    <row r="8" spans="1:9" ht="22.9" customHeight="1" x14ac:dyDescent="0.2">
      <c r="A8" s="429"/>
      <c r="B8" s="429"/>
      <c r="C8" s="429"/>
      <c r="D8" s="429"/>
      <c r="E8" s="322">
        <v>2021</v>
      </c>
      <c r="F8" s="322">
        <v>2022</v>
      </c>
      <c r="G8" s="322">
        <v>2023</v>
      </c>
      <c r="H8" s="322">
        <v>2024</v>
      </c>
      <c r="I8" s="322">
        <v>2025</v>
      </c>
    </row>
    <row r="9" spans="1:9" ht="21" customHeight="1" x14ac:dyDescent="0.2">
      <c r="A9" s="310">
        <v>1</v>
      </c>
      <c r="B9" s="310">
        <v>2</v>
      </c>
      <c r="C9" s="310">
        <v>3</v>
      </c>
      <c r="D9" s="310">
        <v>4</v>
      </c>
      <c r="E9" s="310">
        <v>5</v>
      </c>
      <c r="F9" s="310">
        <v>6</v>
      </c>
      <c r="G9" s="310">
        <v>7</v>
      </c>
      <c r="H9" s="310">
        <v>8</v>
      </c>
      <c r="I9" s="310">
        <v>9</v>
      </c>
    </row>
    <row r="10" spans="1:9" ht="135" x14ac:dyDescent="0.2">
      <c r="A10" s="308">
        <v>4</v>
      </c>
      <c r="B10" s="302" t="s">
        <v>964</v>
      </c>
      <c r="C10" s="310" t="s">
        <v>767</v>
      </c>
      <c r="D10" s="313" t="s">
        <v>742</v>
      </c>
      <c r="E10" s="303" t="s">
        <v>742</v>
      </c>
      <c r="F10" s="306">
        <v>0.1</v>
      </c>
      <c r="G10" s="306">
        <v>0.21</v>
      </c>
      <c r="H10" s="306">
        <v>0.52</v>
      </c>
      <c r="I10" s="306">
        <v>0.79</v>
      </c>
    </row>
    <row r="11" spans="1:9" ht="114.6" customHeight="1" x14ac:dyDescent="0.2">
      <c r="A11" s="308">
        <v>5</v>
      </c>
      <c r="B11" s="302" t="s">
        <v>965</v>
      </c>
      <c r="C11" s="310" t="s">
        <v>767</v>
      </c>
      <c r="D11" s="313" t="s">
        <v>742</v>
      </c>
      <c r="E11" s="303" t="s">
        <v>742</v>
      </c>
      <c r="F11" s="303">
        <v>0.22</v>
      </c>
      <c r="G11" s="303" t="s">
        <v>742</v>
      </c>
      <c r="H11" s="303" t="s">
        <v>742</v>
      </c>
      <c r="I11" s="303" t="s">
        <v>742</v>
      </c>
    </row>
    <row r="12" spans="1:9" ht="124.9" customHeight="1" x14ac:dyDescent="0.2">
      <c r="A12" s="308">
        <v>6</v>
      </c>
      <c r="B12" s="311" t="s">
        <v>968</v>
      </c>
      <c r="C12" s="310" t="s">
        <v>767</v>
      </c>
      <c r="D12" s="313" t="s">
        <v>742</v>
      </c>
      <c r="E12" s="306">
        <v>0.23</v>
      </c>
      <c r="F12" s="306">
        <v>0.49</v>
      </c>
      <c r="G12" s="306">
        <v>0.52</v>
      </c>
      <c r="H12" s="306">
        <v>0.65</v>
      </c>
      <c r="I12" s="306">
        <v>0.98</v>
      </c>
    </row>
    <row r="13" spans="1:9" ht="240" x14ac:dyDescent="0.2">
      <c r="A13" s="308">
        <v>7</v>
      </c>
      <c r="B13" s="311" t="s">
        <v>951</v>
      </c>
      <c r="C13" s="310" t="s">
        <v>767</v>
      </c>
      <c r="D13" s="313">
        <v>43.8</v>
      </c>
      <c r="E13" s="303" t="s">
        <v>742</v>
      </c>
      <c r="F13" s="305" t="s">
        <v>742</v>
      </c>
      <c r="G13" s="303">
        <v>39</v>
      </c>
      <c r="H13" s="303">
        <v>26</v>
      </c>
      <c r="I13" s="303">
        <v>37</v>
      </c>
    </row>
    <row r="14" spans="1:9" ht="15" x14ac:dyDescent="0.2">
      <c r="A14" s="429" t="s">
        <v>233</v>
      </c>
      <c r="B14" s="429" t="s">
        <v>953</v>
      </c>
      <c r="C14" s="429" t="s">
        <v>954</v>
      </c>
      <c r="D14" s="429" t="s">
        <v>738</v>
      </c>
      <c r="E14" s="429" t="s">
        <v>955</v>
      </c>
      <c r="F14" s="429"/>
      <c r="G14" s="429"/>
      <c r="H14" s="429"/>
      <c r="I14" s="429"/>
    </row>
    <row r="15" spans="1:9" ht="15" x14ac:dyDescent="0.2">
      <c r="A15" s="429"/>
      <c r="B15" s="429"/>
      <c r="C15" s="429"/>
      <c r="D15" s="429"/>
      <c r="E15" s="322">
        <v>2021</v>
      </c>
      <c r="F15" s="322">
        <v>2022</v>
      </c>
      <c r="G15" s="322">
        <v>2023</v>
      </c>
      <c r="H15" s="322">
        <v>2024</v>
      </c>
      <c r="I15" s="322">
        <v>2025</v>
      </c>
    </row>
    <row r="16" spans="1:9" ht="15" x14ac:dyDescent="0.2">
      <c r="A16" s="322">
        <v>1</v>
      </c>
      <c r="B16" s="322">
        <v>2</v>
      </c>
      <c r="C16" s="322">
        <v>3</v>
      </c>
      <c r="D16" s="322">
        <v>4</v>
      </c>
      <c r="E16" s="322">
        <v>5</v>
      </c>
      <c r="F16" s="322">
        <v>6</v>
      </c>
      <c r="G16" s="322">
        <v>7</v>
      </c>
      <c r="H16" s="322">
        <v>8</v>
      </c>
      <c r="I16" s="322">
        <v>9</v>
      </c>
    </row>
    <row r="17" spans="1:9" ht="45" x14ac:dyDescent="0.2">
      <c r="A17" s="308">
        <v>8</v>
      </c>
      <c r="B17" s="311" t="s">
        <v>952</v>
      </c>
      <c r="C17" s="310" t="s">
        <v>767</v>
      </c>
      <c r="D17" s="303">
        <v>40</v>
      </c>
      <c r="E17" s="303">
        <v>45</v>
      </c>
      <c r="F17" s="303">
        <v>49</v>
      </c>
      <c r="G17" s="303">
        <v>50</v>
      </c>
      <c r="H17" s="303">
        <v>55</v>
      </c>
      <c r="I17" s="303">
        <v>60</v>
      </c>
    </row>
    <row r="18" spans="1:9" ht="45.6" customHeight="1" x14ac:dyDescent="0.2">
      <c r="A18" s="308">
        <v>9</v>
      </c>
      <c r="B18" s="314" t="s">
        <v>960</v>
      </c>
      <c r="C18" s="303" t="s">
        <v>767</v>
      </c>
      <c r="D18" s="303">
        <v>20.5</v>
      </c>
      <c r="E18" s="303">
        <v>32.6</v>
      </c>
      <c r="F18" s="303">
        <v>32.6</v>
      </c>
      <c r="G18" s="303">
        <v>32.6</v>
      </c>
      <c r="H18" s="303">
        <v>32.6</v>
      </c>
      <c r="I18" s="303">
        <v>32.6</v>
      </c>
    </row>
    <row r="19" spans="1:9" ht="45.6" customHeight="1" x14ac:dyDescent="0.2">
      <c r="A19" s="308">
        <v>10</v>
      </c>
      <c r="B19" s="314" t="s">
        <v>961</v>
      </c>
      <c r="C19" s="303" t="s">
        <v>767</v>
      </c>
      <c r="D19" s="303">
        <v>77.5</v>
      </c>
      <c r="E19" s="303">
        <v>77.5</v>
      </c>
      <c r="F19" s="303">
        <v>77.5</v>
      </c>
      <c r="G19" s="303">
        <v>77.5</v>
      </c>
      <c r="H19" s="303">
        <v>77.5</v>
      </c>
      <c r="I19" s="303">
        <v>77.5</v>
      </c>
    </row>
    <row r="20" spans="1:9" ht="60" x14ac:dyDescent="0.2">
      <c r="A20" s="308">
        <v>11</v>
      </c>
      <c r="B20" s="314" t="s">
        <v>962</v>
      </c>
      <c r="C20" s="303" t="s">
        <v>767</v>
      </c>
      <c r="D20" s="303">
        <v>90.1</v>
      </c>
      <c r="E20" s="303">
        <v>91.3</v>
      </c>
      <c r="F20" s="303">
        <v>91.3</v>
      </c>
      <c r="G20" s="303">
        <v>91.3</v>
      </c>
      <c r="H20" s="303">
        <v>91.3</v>
      </c>
      <c r="I20" s="303">
        <v>91.3</v>
      </c>
    </row>
    <row r="21" spans="1:9" ht="60" x14ac:dyDescent="0.2">
      <c r="A21" s="308">
        <v>12</v>
      </c>
      <c r="B21" s="314" t="s">
        <v>963</v>
      </c>
      <c r="C21" s="303" t="s">
        <v>767</v>
      </c>
      <c r="D21" s="303">
        <v>81.3</v>
      </c>
      <c r="E21" s="303">
        <v>81.3</v>
      </c>
      <c r="F21" s="303">
        <v>81.3</v>
      </c>
      <c r="G21" s="303">
        <v>81.3</v>
      </c>
      <c r="H21" s="303">
        <v>81.3</v>
      </c>
      <c r="I21" s="303">
        <v>81.3</v>
      </c>
    </row>
    <row r="22" spans="1:9" ht="13.5" x14ac:dyDescent="0.25">
      <c r="A22" s="431" t="s">
        <v>957</v>
      </c>
      <c r="B22" s="432"/>
      <c r="C22" s="432"/>
      <c r="D22" s="432"/>
      <c r="E22" s="432"/>
      <c r="F22" s="432"/>
      <c r="G22" s="432"/>
      <c r="H22" s="432"/>
      <c r="I22" s="432"/>
    </row>
    <row r="23" spans="1:9" ht="36" x14ac:dyDescent="0.2">
      <c r="A23" s="309">
        <v>13</v>
      </c>
      <c r="B23" s="302" t="s">
        <v>958</v>
      </c>
      <c r="C23" s="303" t="s">
        <v>959</v>
      </c>
      <c r="D23" s="307">
        <v>1115.1470999999999</v>
      </c>
      <c r="E23" s="303">
        <v>1115.5</v>
      </c>
      <c r="F23" s="307">
        <v>1115.75</v>
      </c>
      <c r="G23" s="307">
        <v>1116</v>
      </c>
      <c r="H23" s="307">
        <v>1116.25</v>
      </c>
      <c r="I23" s="303">
        <v>1116.5</v>
      </c>
    </row>
    <row r="24" spans="1:9" ht="27.6" customHeight="1" x14ac:dyDescent="0.25">
      <c r="A24" s="431" t="s">
        <v>956</v>
      </c>
      <c r="B24" s="432"/>
      <c r="C24" s="432"/>
      <c r="D24" s="432"/>
      <c r="E24" s="432"/>
      <c r="F24" s="432"/>
      <c r="G24" s="432"/>
      <c r="H24" s="432"/>
      <c r="I24" s="432"/>
    </row>
    <row r="25" spans="1:9" ht="60" x14ac:dyDescent="0.2">
      <c r="A25" s="308">
        <v>14</v>
      </c>
      <c r="B25" s="315" t="s">
        <v>969</v>
      </c>
      <c r="C25" s="310" t="s">
        <v>767</v>
      </c>
      <c r="D25" s="307">
        <v>82.5</v>
      </c>
      <c r="E25" s="157">
        <v>84</v>
      </c>
      <c r="F25" s="157">
        <v>85</v>
      </c>
      <c r="G25" s="157">
        <v>86</v>
      </c>
      <c r="H25" s="157">
        <v>87</v>
      </c>
      <c r="I25" s="157">
        <v>88</v>
      </c>
    </row>
    <row r="26" spans="1:9" ht="90" x14ac:dyDescent="0.2">
      <c r="A26" s="308">
        <v>15</v>
      </c>
      <c r="B26" s="302" t="s">
        <v>949</v>
      </c>
      <c r="C26" s="303" t="s">
        <v>767</v>
      </c>
      <c r="D26" s="303" t="s">
        <v>970</v>
      </c>
      <c r="E26" s="303">
        <v>76</v>
      </c>
      <c r="F26" s="303">
        <v>68</v>
      </c>
      <c r="G26" s="303">
        <v>60</v>
      </c>
      <c r="H26" s="303">
        <v>50</v>
      </c>
      <c r="I26" s="303">
        <v>45</v>
      </c>
    </row>
    <row r="27" spans="1:9" ht="29.45" customHeight="1" x14ac:dyDescent="0.2">
      <c r="A27" s="430" t="s">
        <v>971</v>
      </c>
      <c r="B27" s="430"/>
      <c r="C27" s="430"/>
      <c r="D27" s="430"/>
      <c r="E27" s="430"/>
      <c r="F27" s="430"/>
      <c r="G27" s="430"/>
      <c r="H27" s="430"/>
      <c r="I27" s="430"/>
    </row>
  </sheetData>
  <mergeCells count="18">
    <mergeCell ref="A7:A8"/>
    <mergeCell ref="B7:B8"/>
    <mergeCell ref="C7:C8"/>
    <mergeCell ref="D7:D8"/>
    <mergeCell ref="E7:I7"/>
    <mergeCell ref="A1:A2"/>
    <mergeCell ref="B1:B2"/>
    <mergeCell ref="C1:C2"/>
    <mergeCell ref="D1:D2"/>
    <mergeCell ref="E1:I1"/>
    <mergeCell ref="D14:D15"/>
    <mergeCell ref="E14:I14"/>
    <mergeCell ref="A27:I27"/>
    <mergeCell ref="A24:I24"/>
    <mergeCell ref="A22:I22"/>
    <mergeCell ref="A14:A15"/>
    <mergeCell ref="B14:B15"/>
    <mergeCell ref="C14:C1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29C87-00D5-46D5-A2EE-0FA71237F018}">
  <dimension ref="A1:D67"/>
  <sheetViews>
    <sheetView workbookViewId="0">
      <selection activeCell="B1" sqref="B1:B59"/>
    </sheetView>
  </sheetViews>
  <sheetFormatPr defaultRowHeight="12.75" x14ac:dyDescent="0.2"/>
  <cols>
    <col min="2" max="2" width="40.42578125" customWidth="1"/>
  </cols>
  <sheetData>
    <row r="1" spans="1:4" ht="19.899999999999999" customHeight="1" thickBot="1" x14ac:dyDescent="0.25">
      <c r="A1" s="434" t="s">
        <v>986</v>
      </c>
      <c r="B1" s="323" t="s">
        <v>987</v>
      </c>
      <c r="C1" s="324">
        <v>797834.38</v>
      </c>
      <c r="D1" s="434" t="s">
        <v>988</v>
      </c>
    </row>
    <row r="2" spans="1:4" ht="19.899999999999999" customHeight="1" thickBot="1" x14ac:dyDescent="0.25">
      <c r="A2" s="434"/>
      <c r="B2" s="323" t="s">
        <v>989</v>
      </c>
      <c r="C2" s="324">
        <v>1003063.63</v>
      </c>
      <c r="D2" s="434"/>
    </row>
    <row r="3" spans="1:4" ht="19.899999999999999" customHeight="1" thickBot="1" x14ac:dyDescent="0.25">
      <c r="A3" s="434"/>
      <c r="B3" s="323" t="s">
        <v>990</v>
      </c>
      <c r="C3" s="324">
        <v>1106756.3799999999</v>
      </c>
      <c r="D3" s="434"/>
    </row>
    <row r="4" spans="1:4" ht="19.899999999999999" customHeight="1" thickBot="1" x14ac:dyDescent="0.25">
      <c r="A4" s="434"/>
      <c r="B4" s="323" t="s">
        <v>991</v>
      </c>
      <c r="C4" s="324">
        <v>816707.43</v>
      </c>
      <c r="D4" s="434"/>
    </row>
    <row r="5" spans="1:4" ht="19.899999999999999" customHeight="1" thickBot="1" x14ac:dyDescent="0.25">
      <c r="A5" s="434"/>
      <c r="B5" s="323" t="s">
        <v>992</v>
      </c>
      <c r="C5" s="324">
        <v>810491.38</v>
      </c>
      <c r="D5" s="434"/>
    </row>
    <row r="6" spans="1:4" ht="19.899999999999999" customHeight="1" thickBot="1" x14ac:dyDescent="0.25">
      <c r="A6" s="434"/>
      <c r="B6" s="323" t="s">
        <v>993</v>
      </c>
      <c r="C6" s="324">
        <v>811826.66</v>
      </c>
      <c r="D6" s="434"/>
    </row>
    <row r="7" spans="1:4" ht="19.899999999999999" customHeight="1" thickBot="1" x14ac:dyDescent="0.25">
      <c r="A7" s="434"/>
      <c r="B7" s="323" t="s">
        <v>994</v>
      </c>
      <c r="C7" s="324">
        <v>2040591.48</v>
      </c>
      <c r="D7" s="434"/>
    </row>
    <row r="8" spans="1:4" ht="19.899999999999999" customHeight="1" thickBot="1" x14ac:dyDescent="0.25">
      <c r="A8" s="434"/>
      <c r="B8" s="323" t="s">
        <v>995</v>
      </c>
      <c r="C8" s="324">
        <v>1084290.42</v>
      </c>
      <c r="D8" s="434"/>
    </row>
    <row r="9" spans="1:4" ht="19.899999999999999" customHeight="1" thickBot="1" x14ac:dyDescent="0.25">
      <c r="A9" s="434"/>
      <c r="B9" s="323" t="s">
        <v>996</v>
      </c>
      <c r="C9" s="324">
        <v>1003176.42</v>
      </c>
      <c r="D9" s="434"/>
    </row>
    <row r="10" spans="1:4" ht="19.899999999999999" customHeight="1" thickBot="1" x14ac:dyDescent="0.25">
      <c r="A10" s="434"/>
      <c r="B10" s="323" t="s">
        <v>997</v>
      </c>
      <c r="C10" s="324">
        <v>732956.1</v>
      </c>
      <c r="D10" s="434"/>
    </row>
    <row r="11" spans="1:4" ht="19.899999999999999" customHeight="1" thickBot="1" x14ac:dyDescent="0.25">
      <c r="A11" s="434"/>
      <c r="B11" s="323" t="s">
        <v>998</v>
      </c>
      <c r="C11" s="324">
        <v>277394.21999999997</v>
      </c>
      <c r="D11" s="434"/>
    </row>
    <row r="12" spans="1:4" ht="19.899999999999999" customHeight="1" thickBot="1" x14ac:dyDescent="0.25">
      <c r="A12" s="434"/>
      <c r="B12" s="323" t="s">
        <v>999</v>
      </c>
      <c r="C12" s="324">
        <v>241652.96</v>
      </c>
      <c r="D12" s="434"/>
    </row>
    <row r="13" spans="1:4" ht="19.899999999999999" customHeight="1" thickBot="1" x14ac:dyDescent="0.25">
      <c r="A13" s="434"/>
      <c r="B13" s="323" t="s">
        <v>1000</v>
      </c>
      <c r="C13" s="324">
        <v>1167201.42</v>
      </c>
      <c r="D13" s="434"/>
    </row>
    <row r="14" spans="1:4" ht="19.899999999999999" customHeight="1" thickBot="1" x14ac:dyDescent="0.25">
      <c r="A14" s="434"/>
      <c r="B14" s="323" t="s">
        <v>1001</v>
      </c>
      <c r="C14" s="324">
        <v>548530.4</v>
      </c>
      <c r="D14" s="434"/>
    </row>
    <row r="15" spans="1:4" ht="19.899999999999999" customHeight="1" thickBot="1" x14ac:dyDescent="0.25">
      <c r="A15" s="434"/>
      <c r="B15" s="323" t="s">
        <v>1002</v>
      </c>
      <c r="C15" s="324">
        <v>539182.4</v>
      </c>
      <c r="D15" s="434"/>
    </row>
    <row r="16" spans="1:4" ht="19.899999999999999" customHeight="1" thickBot="1" x14ac:dyDescent="0.25">
      <c r="A16" s="434"/>
      <c r="B16" s="323" t="s">
        <v>1003</v>
      </c>
      <c r="C16" s="324">
        <v>1016369.84</v>
      </c>
      <c r="D16" s="434"/>
    </row>
    <row r="17" spans="1:4" ht="19.899999999999999" customHeight="1" thickBot="1" x14ac:dyDescent="0.25">
      <c r="A17" s="434"/>
      <c r="B17" s="323" t="s">
        <v>1004</v>
      </c>
      <c r="C17" s="324">
        <v>1062788.6399999999</v>
      </c>
      <c r="D17" s="434"/>
    </row>
    <row r="18" spans="1:4" ht="19.899999999999999" customHeight="1" thickBot="1" x14ac:dyDescent="0.25">
      <c r="A18" s="434"/>
      <c r="B18" s="323" t="s">
        <v>1005</v>
      </c>
      <c r="C18" s="324">
        <v>314578.3</v>
      </c>
      <c r="D18" s="434"/>
    </row>
    <row r="19" spans="1:4" ht="19.899999999999999" customHeight="1" thickBot="1" x14ac:dyDescent="0.25">
      <c r="A19" s="434"/>
      <c r="B19" s="323" t="s">
        <v>1006</v>
      </c>
      <c r="C19" s="324">
        <v>163934.46</v>
      </c>
      <c r="D19" s="434"/>
    </row>
    <row r="20" spans="1:4" ht="19.899999999999999" customHeight="1" thickBot="1" x14ac:dyDescent="0.25">
      <c r="A20" s="434"/>
      <c r="B20" s="323" t="s">
        <v>1007</v>
      </c>
      <c r="C20" s="324">
        <v>1863744.94</v>
      </c>
      <c r="D20" s="434"/>
    </row>
    <row r="21" spans="1:4" ht="19.899999999999999" customHeight="1" thickBot="1" x14ac:dyDescent="0.25">
      <c r="A21" s="434"/>
      <c r="B21" s="323" t="s">
        <v>1008</v>
      </c>
      <c r="C21" s="324">
        <v>931877.06</v>
      </c>
      <c r="D21" s="434"/>
    </row>
    <row r="22" spans="1:4" ht="19.899999999999999" customHeight="1" thickBot="1" x14ac:dyDescent="0.25">
      <c r="A22" s="434"/>
      <c r="B22" s="323" t="s">
        <v>1009</v>
      </c>
      <c r="C22" s="324">
        <v>1563054.47</v>
      </c>
      <c r="D22" s="434"/>
    </row>
    <row r="23" spans="1:4" ht="19.899999999999999" customHeight="1" thickBot="1" x14ac:dyDescent="0.25">
      <c r="A23" s="434"/>
      <c r="B23" s="323" t="s">
        <v>1010</v>
      </c>
      <c r="C23" s="324">
        <v>268008.71999999997</v>
      </c>
      <c r="D23" s="434"/>
    </row>
    <row r="24" spans="1:4" ht="19.899999999999999" customHeight="1" thickBot="1" x14ac:dyDescent="0.25">
      <c r="A24" s="434"/>
      <c r="B24" s="323" t="s">
        <v>1011</v>
      </c>
      <c r="C24" s="324">
        <v>1826942.88</v>
      </c>
      <c r="D24" s="434"/>
    </row>
    <row r="25" spans="1:4" ht="19.899999999999999" customHeight="1" thickBot="1" x14ac:dyDescent="0.25">
      <c r="A25" s="434"/>
      <c r="B25" s="323" t="s">
        <v>1012</v>
      </c>
      <c r="C25" s="324">
        <v>229654.91</v>
      </c>
      <c r="D25" s="434"/>
    </row>
    <row r="26" spans="1:4" ht="19.899999999999999" customHeight="1" thickBot="1" x14ac:dyDescent="0.25">
      <c r="A26" s="434"/>
      <c r="B26" s="323" t="s">
        <v>1013</v>
      </c>
      <c r="C26" s="324">
        <v>1318869.08</v>
      </c>
      <c r="D26" s="434"/>
    </row>
    <row r="27" spans="1:4" ht="19.899999999999999" customHeight="1" thickBot="1" x14ac:dyDescent="0.25">
      <c r="A27" s="434"/>
      <c r="B27" s="323" t="s">
        <v>1014</v>
      </c>
      <c r="C27" s="324">
        <v>1314617.45</v>
      </c>
      <c r="D27" s="434"/>
    </row>
    <row r="28" spans="1:4" ht="19.899999999999999" customHeight="1" thickBot="1" x14ac:dyDescent="0.25">
      <c r="A28" s="434"/>
      <c r="B28" s="323" t="s">
        <v>1015</v>
      </c>
      <c r="C28" s="324">
        <v>782007.41</v>
      </c>
      <c r="D28" s="434"/>
    </row>
    <row r="29" spans="1:4" ht="19.899999999999999" customHeight="1" thickBot="1" x14ac:dyDescent="0.25">
      <c r="A29" s="434"/>
      <c r="B29" s="323" t="s">
        <v>1016</v>
      </c>
      <c r="C29" s="324">
        <v>1095745.5</v>
      </c>
      <c r="D29" s="434"/>
    </row>
    <row r="30" spans="1:4" ht="19.899999999999999" customHeight="1" thickBot="1" x14ac:dyDescent="0.25">
      <c r="A30" s="434"/>
      <c r="B30" s="323" t="s">
        <v>1017</v>
      </c>
      <c r="C30" s="324">
        <v>1230657.94</v>
      </c>
      <c r="D30" s="434"/>
    </row>
    <row r="31" spans="1:4" ht="19.899999999999999" customHeight="1" thickBot="1" x14ac:dyDescent="0.25">
      <c r="A31" s="434"/>
      <c r="B31" s="323" t="s">
        <v>1018</v>
      </c>
      <c r="C31" s="324">
        <v>692226.92</v>
      </c>
      <c r="D31" s="434"/>
    </row>
    <row r="32" spans="1:4" ht="19.899999999999999" customHeight="1" thickBot="1" x14ac:dyDescent="0.25">
      <c r="A32" s="434"/>
      <c r="B32" s="323" t="s">
        <v>1019</v>
      </c>
      <c r="C32" s="324">
        <v>624045.28</v>
      </c>
      <c r="D32" s="434"/>
    </row>
    <row r="33" spans="1:4" ht="19.899999999999999" customHeight="1" thickBot="1" x14ac:dyDescent="0.25">
      <c r="A33" s="434"/>
      <c r="B33" s="323" t="s">
        <v>1020</v>
      </c>
      <c r="C33" s="324">
        <v>508987.4</v>
      </c>
      <c r="D33" s="434"/>
    </row>
    <row r="34" spans="1:4" ht="19.899999999999999" customHeight="1" thickBot="1" x14ac:dyDescent="0.25">
      <c r="A34" s="434"/>
      <c r="B34" s="323" t="s">
        <v>1021</v>
      </c>
      <c r="C34" s="324">
        <v>840788.52</v>
      </c>
      <c r="D34" s="434"/>
    </row>
    <row r="35" spans="1:4" ht="19.899999999999999" customHeight="1" thickBot="1" x14ac:dyDescent="0.25">
      <c r="A35" s="434"/>
      <c r="B35" s="323" t="s">
        <v>1022</v>
      </c>
      <c r="C35" s="324">
        <v>1935735.68</v>
      </c>
      <c r="D35" s="434"/>
    </row>
    <row r="36" spans="1:4" ht="19.899999999999999" customHeight="1" thickBot="1" x14ac:dyDescent="0.25">
      <c r="A36" s="434"/>
      <c r="B36" s="323" t="s">
        <v>1023</v>
      </c>
      <c r="C36" s="324">
        <v>1396480.9</v>
      </c>
      <c r="D36" s="434"/>
    </row>
    <row r="37" spans="1:4" ht="19.899999999999999" customHeight="1" thickBot="1" x14ac:dyDescent="0.25">
      <c r="A37" s="434"/>
      <c r="B37" s="323" t="s">
        <v>1024</v>
      </c>
      <c r="C37" s="324">
        <v>1941125.44</v>
      </c>
      <c r="D37" s="434"/>
    </row>
    <row r="38" spans="1:4" ht="19.899999999999999" customHeight="1" thickBot="1" x14ac:dyDescent="0.25">
      <c r="A38" s="434"/>
      <c r="B38" s="323" t="s">
        <v>1025</v>
      </c>
      <c r="C38" s="324">
        <v>858841.06</v>
      </c>
      <c r="D38" s="434"/>
    </row>
    <row r="39" spans="1:4" ht="19.899999999999999" customHeight="1" thickBot="1" x14ac:dyDescent="0.25">
      <c r="A39" s="434"/>
      <c r="B39" s="323" t="s">
        <v>1026</v>
      </c>
      <c r="C39" s="324">
        <v>643183.12</v>
      </c>
      <c r="D39" s="434"/>
    </row>
    <row r="40" spans="1:4" ht="19.899999999999999" customHeight="1" thickBot="1" x14ac:dyDescent="0.25">
      <c r="A40" s="434"/>
      <c r="B40" s="323" t="s">
        <v>1027</v>
      </c>
      <c r="C40" s="324">
        <v>561149.02</v>
      </c>
      <c r="D40" s="434"/>
    </row>
    <row r="41" spans="1:4" ht="19.899999999999999" customHeight="1" thickBot="1" x14ac:dyDescent="0.25">
      <c r="A41" s="434"/>
      <c r="B41" s="323" t="s">
        <v>1028</v>
      </c>
      <c r="C41" s="324">
        <v>644103.22</v>
      </c>
      <c r="D41" s="434"/>
    </row>
    <row r="42" spans="1:4" ht="19.899999999999999" customHeight="1" thickBot="1" x14ac:dyDescent="0.25">
      <c r="A42" s="434"/>
      <c r="B42" s="323" t="s">
        <v>1029</v>
      </c>
      <c r="C42" s="324">
        <v>685608.92</v>
      </c>
      <c r="D42" s="434"/>
    </row>
    <row r="43" spans="1:4" ht="19.899999999999999" customHeight="1" thickBot="1" x14ac:dyDescent="0.25">
      <c r="A43" s="434"/>
      <c r="B43" s="323" t="s">
        <v>1030</v>
      </c>
      <c r="C43" s="324">
        <v>685608.92</v>
      </c>
      <c r="D43" s="434"/>
    </row>
    <row r="44" spans="1:4" ht="19.899999999999999" customHeight="1" thickBot="1" x14ac:dyDescent="0.25">
      <c r="A44" s="434"/>
      <c r="B44" s="323" t="s">
        <v>1031</v>
      </c>
      <c r="C44" s="324">
        <v>932686.96</v>
      </c>
      <c r="D44" s="434"/>
    </row>
    <row r="45" spans="1:4" ht="19.899999999999999" customHeight="1" thickBot="1" x14ac:dyDescent="0.25">
      <c r="A45" s="434"/>
      <c r="B45" s="323" t="s">
        <v>1032</v>
      </c>
      <c r="C45" s="324">
        <v>1531402.34</v>
      </c>
      <c r="D45" s="434"/>
    </row>
    <row r="46" spans="1:4" ht="19.899999999999999" customHeight="1" thickBot="1" x14ac:dyDescent="0.25">
      <c r="A46" s="434"/>
      <c r="B46" s="323" t="s">
        <v>1033</v>
      </c>
      <c r="C46" s="324">
        <v>791795.38</v>
      </c>
      <c r="D46" s="434"/>
    </row>
    <row r="47" spans="1:4" ht="19.899999999999999" customHeight="1" thickBot="1" x14ac:dyDescent="0.25">
      <c r="A47" s="434"/>
      <c r="B47" s="323" t="s">
        <v>1034</v>
      </c>
      <c r="C47" s="324">
        <v>1181766.94</v>
      </c>
      <c r="D47" s="434"/>
    </row>
    <row r="48" spans="1:4" ht="19.899999999999999" customHeight="1" thickBot="1" x14ac:dyDescent="0.25">
      <c r="A48" s="434"/>
      <c r="B48" s="323" t="s">
        <v>1035</v>
      </c>
      <c r="C48" s="324">
        <v>1084753.18</v>
      </c>
      <c r="D48" s="434"/>
    </row>
    <row r="49" spans="1:4" ht="19.899999999999999" customHeight="1" thickBot="1" x14ac:dyDescent="0.25">
      <c r="A49" s="435"/>
      <c r="B49" s="323" t="s">
        <v>1036</v>
      </c>
      <c r="C49" s="324">
        <v>689956.62</v>
      </c>
      <c r="D49" s="434"/>
    </row>
    <row r="50" spans="1:4" ht="19.899999999999999" customHeight="1" thickBot="1" x14ac:dyDescent="0.25">
      <c r="A50" s="436" t="s">
        <v>1037</v>
      </c>
      <c r="B50" s="323" t="s">
        <v>1038</v>
      </c>
      <c r="C50" s="324">
        <v>252419.16</v>
      </c>
      <c r="D50" s="434"/>
    </row>
    <row r="51" spans="1:4" ht="19.899999999999999" customHeight="1" thickBot="1" x14ac:dyDescent="0.25">
      <c r="A51" s="434"/>
      <c r="B51" s="323" t="s">
        <v>1039</v>
      </c>
      <c r="C51" s="324">
        <v>469183.74</v>
      </c>
      <c r="D51" s="434"/>
    </row>
    <row r="52" spans="1:4" ht="19.899999999999999" customHeight="1" thickBot="1" x14ac:dyDescent="0.25">
      <c r="A52" s="434"/>
      <c r="B52" s="323" t="s">
        <v>1040</v>
      </c>
      <c r="C52" s="324">
        <v>469122.18</v>
      </c>
      <c r="D52" s="434"/>
    </row>
    <row r="53" spans="1:4" ht="19.899999999999999" customHeight="1" thickBot="1" x14ac:dyDescent="0.25">
      <c r="A53" s="435"/>
      <c r="B53" s="323" t="s">
        <v>1041</v>
      </c>
      <c r="C53" s="324">
        <v>217167.38</v>
      </c>
      <c r="D53" s="434"/>
    </row>
    <row r="54" spans="1:4" ht="19.899999999999999" customHeight="1" thickBot="1" x14ac:dyDescent="0.25">
      <c r="A54" s="436" t="s">
        <v>1042</v>
      </c>
      <c r="B54" s="323" t="s">
        <v>1043</v>
      </c>
      <c r="C54" s="324">
        <v>296265</v>
      </c>
      <c r="D54" s="434"/>
    </row>
    <row r="55" spans="1:4" ht="19.899999999999999" customHeight="1" thickBot="1" x14ac:dyDescent="0.25">
      <c r="A55" s="434"/>
      <c r="B55" s="323" t="s">
        <v>1006</v>
      </c>
      <c r="C55" s="324">
        <v>177759</v>
      </c>
      <c r="D55" s="434"/>
    </row>
    <row r="56" spans="1:4" ht="19.899999999999999" customHeight="1" thickBot="1" x14ac:dyDescent="0.25">
      <c r="A56" s="434"/>
      <c r="B56" s="323" t="s">
        <v>1044</v>
      </c>
      <c r="C56" s="324">
        <v>148132.5</v>
      </c>
      <c r="D56" s="434"/>
    </row>
    <row r="57" spans="1:4" ht="19.899999999999999" customHeight="1" thickBot="1" x14ac:dyDescent="0.25">
      <c r="A57" s="434"/>
      <c r="B57" s="323" t="s">
        <v>1045</v>
      </c>
      <c r="C57" s="324">
        <v>444397.5</v>
      </c>
      <c r="D57" s="434"/>
    </row>
    <row r="58" spans="1:4" ht="19.899999999999999" customHeight="1" thickBot="1" x14ac:dyDescent="0.25">
      <c r="A58" s="434"/>
      <c r="B58" s="323" t="s">
        <v>1046</v>
      </c>
      <c r="C58" s="324">
        <v>631251.54</v>
      </c>
      <c r="D58" s="434"/>
    </row>
    <row r="59" spans="1:4" ht="19.899999999999999" customHeight="1" thickBot="1" x14ac:dyDescent="0.25">
      <c r="A59" s="435"/>
      <c r="B59" s="323" t="s">
        <v>1047</v>
      </c>
      <c r="C59" s="324">
        <v>337742.1</v>
      </c>
      <c r="D59" s="435"/>
    </row>
    <row r="60" spans="1:4" ht="15.75" x14ac:dyDescent="0.2">
      <c r="A60" s="325"/>
    </row>
    <row r="61" spans="1:4" ht="31.5" x14ac:dyDescent="0.2">
      <c r="A61" s="326" t="s">
        <v>1048</v>
      </c>
      <c r="B61" s="326" t="s">
        <v>1049</v>
      </c>
    </row>
    <row r="62" spans="1:4" ht="14.25" x14ac:dyDescent="0.2">
      <c r="A62" s="327"/>
      <c r="B62" s="327"/>
    </row>
    <row r="63" spans="1:4" ht="42.75" x14ac:dyDescent="0.2">
      <c r="A63" s="327" t="s">
        <v>1050</v>
      </c>
      <c r="B63" s="327" t="s">
        <v>1052</v>
      </c>
    </row>
    <row r="64" spans="1:4" ht="15" x14ac:dyDescent="0.2">
      <c r="A64" s="328"/>
      <c r="B64" s="328"/>
    </row>
    <row r="65" spans="1:2" ht="15" x14ac:dyDescent="0.2">
      <c r="A65" s="328"/>
      <c r="B65" s="328"/>
    </row>
    <row r="66" spans="1:2" ht="90" x14ac:dyDescent="0.2">
      <c r="A66" s="328" t="s">
        <v>1051</v>
      </c>
      <c r="B66" s="328" t="s">
        <v>1053</v>
      </c>
    </row>
    <row r="67" spans="1:2" ht="15.75" x14ac:dyDescent="0.2">
      <c r="A67" s="325"/>
    </row>
  </sheetData>
  <mergeCells count="4">
    <mergeCell ref="A1:A49"/>
    <mergeCell ref="D1:D59"/>
    <mergeCell ref="A50:A53"/>
    <mergeCell ref="A54:A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1.переченьПБДД</vt:lpstr>
      <vt:lpstr>2.переченьМРАД</vt:lpstr>
      <vt:lpstr>3.меропр.</vt:lpstr>
      <vt:lpstr>4.индикаторы</vt:lpstr>
      <vt:lpstr>конечные результаты</vt:lpstr>
      <vt:lpstr>Лист1</vt:lpstr>
      <vt:lpstr>Aс1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'4.индикаторы'!Заголовки_для_печати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'4.индикаторы'!Область_печати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Разумова Наталья Сергеевна</cp:lastModifiedBy>
  <cp:lastPrinted>2020-10-13T09:04:54Z</cp:lastPrinted>
  <dcterms:created xsi:type="dcterms:W3CDTF">2014-07-04T09:02:24Z</dcterms:created>
  <dcterms:modified xsi:type="dcterms:W3CDTF">2020-10-13T12:29:13Z</dcterms:modified>
</cp:coreProperties>
</file>