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A4A9E983-1841-4665-A9EA-7A35CA0D55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ФОТ культ" sheetId="2" r:id="rId1"/>
    <sheet name="анализ ФОТ педаг" sheetId="1" r:id="rId2"/>
    <sheet name="анализ прочие" sheetId="3" r:id="rId3"/>
    <sheet name="доп.средства" sheetId="4" r:id="rId4"/>
  </sheets>
  <externalReferences>
    <externalReference r:id="rId5"/>
  </externalReferences>
  <definedNames>
    <definedName name="год" localSheetId="1">#REF!+#REF!+#REF!+#REF!</definedName>
    <definedName name="год" localSheetId="3">#REF!+#REF!+#REF!+#REF!</definedName>
    <definedName name="год">#REF!+#REF!+#REF!+#REF!</definedName>
    <definedName name="_xlnm.Print_Titles" localSheetId="2">'анализ прочие'!$A:$A</definedName>
    <definedName name="_xlnm.Print_Titles" localSheetId="0">'анализ ФОТ культ'!$A:$A,'анализ ФОТ культ'!$3:$3</definedName>
    <definedName name="_xlnm.Print_Titles" localSheetId="3">доп.средства!$A:$B,доп.средства!$4:$6</definedName>
    <definedName name="ИТОГО" localSheetId="1">#REF!+#REF!+#REF!</definedName>
    <definedName name="ИТОГО" localSheetId="3">#REF!+#REF!+#REF!</definedName>
    <definedName name="ИТОГО">#REF!+#REF!+#REF!</definedName>
    <definedName name="Канц" localSheetId="1">#REF!+#REF!+#REF!+#REF!+#REF!</definedName>
    <definedName name="Канц" localSheetId="3">#REF!+#REF!+#REF!+#REF!+#REF!</definedName>
    <definedName name="Канц">#REF!+#REF!+#REF!+#REF!+#REF!</definedName>
    <definedName name="квартал" localSheetId="1">SUM(#REF!)</definedName>
    <definedName name="квартал" localSheetId="3">SUM(#REF!)</definedName>
    <definedName name="квартал">SUM(#REF!)</definedName>
    <definedName name="мц">[1]ШКОЛЫ!A1048575+[1]ШКОЛЫ!A1048576+[1]ШКОЛЫ!A1048550+[1]ШКОЛЫ!A1048554+[1]ШКОЛЫ!A1048555+[1]ШКОЛЫ!A1048556+[1]ШКОЛЫ!A1048574+[1]ШКОЛЫ!A1048557+[1]ШКОЛЫ!A1048558+[1]ШКОЛЫ!A1048559+[1]ШКОЛЫ!A1048560+[1]ШКОЛЫ!A1048561+[1]ШКОЛЫ!A1048562+[1]ШКОЛЫ!A1048563+[1]ШКОЛЫ!A1048564+[1]ШКОЛЫ!A1048565+[1]ШКОЛЫ!A1048566+[1]ШКОЛЫ!A1048567+[1]ШКОЛЫ!A1048568+[1]ШКОЛЫ!A1048569+[1]ШКОЛЫ!A1048570+[1]ШКОЛЫ!A1048571+[1]ШКОЛЫ!A1048572+[1]ШКОЛЫ!A1048573</definedName>
    <definedName name="отклонения" localSheetId="1">#REF!-#REF!</definedName>
    <definedName name="отклонения" localSheetId="3">#REF!-#REF!</definedName>
    <definedName name="отклонения">#REF!-#REF!</definedName>
    <definedName name="пит">[1]ШКОЛЫ!A1048575+[1]ШКОЛЫ!A1048576+[1]ШКОЛЫ!A1048550+[1]ШКОЛЫ!A1048554+[1]ШКОЛЫ!A1048555+[1]ШКОЛЫ!A1048556+[1]ШКОЛЫ!A1048574+[1]ШКОЛЫ!A1048557+[1]ШКОЛЫ!A1048558+[1]ШКОЛЫ!A1048559+[1]ШКОЛЫ!A1048560+[1]ШКОЛЫ!A1048561+[1]ШКОЛЫ!A1048562+[1]ШКОЛЫ!A1048563+[1]ШКОЛЫ!A1048564+[1]ШКОЛЫ!A1048565+[1]ШКОЛЫ!A1048566+[1]ШКОЛЫ!A1048567+[1]ШКОЛЫ!A1048568+[1]ШКОЛЫ!A1048569+[1]ШКОЛЫ!A1048570+[1]ШКОЛЫ!A1048571+[1]ШКОЛЫ!A1048572+[1]ШКОЛЫ!A1048573</definedName>
    <definedName name="Расх" localSheetId="1">SUM(#REF!)</definedName>
    <definedName name="Расх" localSheetId="3">SUM(#REF!)</definedName>
    <definedName name="Расх">SUM(#REF!)</definedName>
    <definedName name="Свод" localSheetId="1">#REF!+#REF!+#REF!</definedName>
    <definedName name="Свод" localSheetId="3">#REF!+#REF!+#REF!</definedName>
    <definedName name="Свод">#REF!+#REF!+#REF!</definedName>
    <definedName name="фин" localSheetId="1">SUM(#REF!)</definedName>
    <definedName name="фин" localSheetId="3">SUM(#REF!)</definedName>
    <definedName name="фин">SUM(#REF!)</definedName>
    <definedName name="школы" localSheetId="1">#REF!+#REF!+#REF!+#REF!+#REF!</definedName>
    <definedName name="школы" localSheetId="3">#REF!+#REF!+#REF!+#REF!+#REF!</definedName>
    <definedName name="школы">#REF!+#REF!+#REF!+#REF!+#REF!</definedName>
  </definedNames>
  <calcPr calcId="181029"/>
</workbook>
</file>

<file path=xl/calcChain.xml><?xml version="1.0" encoding="utf-8"?>
<calcChain xmlns="http://schemas.openxmlformats.org/spreadsheetml/2006/main">
  <c r="J17" i="4" l="1"/>
  <c r="J36" i="4"/>
  <c r="K36" i="4" s="1"/>
  <c r="K35" i="4" s="1"/>
  <c r="J28" i="4"/>
  <c r="J39" i="4"/>
  <c r="K39" i="4" s="1"/>
  <c r="J38" i="4"/>
  <c r="K38" i="4" s="1"/>
  <c r="J37" i="4"/>
  <c r="K37" i="4" s="1"/>
  <c r="I35" i="4"/>
  <c r="I40" i="4" s="1"/>
  <c r="H35" i="4"/>
  <c r="H40" i="4" s="1"/>
  <c r="G35" i="4"/>
  <c r="G40" i="4" s="1"/>
  <c r="F35" i="4"/>
  <c r="F40" i="4" s="1"/>
  <c r="E35" i="4"/>
  <c r="E40" i="4" s="1"/>
  <c r="D35" i="4"/>
  <c r="D40" i="4" s="1"/>
  <c r="C35" i="4"/>
  <c r="C40" i="4" s="1"/>
  <c r="J34" i="4"/>
  <c r="K34" i="4" s="1"/>
  <c r="J33" i="4"/>
  <c r="K33" i="4" s="1"/>
  <c r="J32" i="4"/>
  <c r="K32" i="4" s="1"/>
  <c r="J31" i="4"/>
  <c r="K31" i="4" s="1"/>
  <c r="A31" i="4"/>
  <c r="A32" i="4" s="1"/>
  <c r="J30" i="4"/>
  <c r="K30" i="4" s="1"/>
  <c r="J29" i="4"/>
  <c r="K29" i="4" s="1"/>
  <c r="K28" i="4"/>
  <c r="J27" i="4"/>
  <c r="K27" i="4" s="1"/>
  <c r="J26" i="4"/>
  <c r="K26" i="4" s="1"/>
  <c r="J25" i="4"/>
  <c r="I24" i="4"/>
  <c r="I41" i="4" s="1"/>
  <c r="E24" i="4"/>
  <c r="E41" i="4" s="1"/>
  <c r="D24" i="4"/>
  <c r="H23" i="4"/>
  <c r="C23" i="4"/>
  <c r="H22" i="4"/>
  <c r="C22" i="4"/>
  <c r="H21" i="4"/>
  <c r="J21" i="4" s="1"/>
  <c r="C21" i="4"/>
  <c r="H20" i="4"/>
  <c r="C20" i="4"/>
  <c r="H19" i="4"/>
  <c r="C19" i="4"/>
  <c r="H18" i="4"/>
  <c r="C18" i="4"/>
  <c r="H17" i="4"/>
  <c r="C17" i="4"/>
  <c r="H16" i="4"/>
  <c r="C16" i="4"/>
  <c r="H15" i="4"/>
  <c r="C15" i="4"/>
  <c r="F15" i="4" s="1"/>
  <c r="H14" i="4"/>
  <c r="C14" i="4"/>
  <c r="H13" i="4"/>
  <c r="C13" i="4"/>
  <c r="H12" i="4"/>
  <c r="C12" i="4"/>
  <c r="H11" i="4"/>
  <c r="C11" i="4"/>
  <c r="H10" i="4"/>
  <c r="C10" i="4"/>
  <c r="H9" i="4"/>
  <c r="C9" i="4"/>
  <c r="H8" i="4"/>
  <c r="C8" i="4"/>
  <c r="H7" i="4"/>
  <c r="H24" i="4" s="1"/>
  <c r="H41" i="4" s="1"/>
  <c r="C7" i="4"/>
  <c r="C24" i="4" s="1"/>
  <c r="C41" i="4" s="1"/>
  <c r="D41" i="4" l="1"/>
  <c r="J35" i="4"/>
  <c r="J40" i="4" s="1"/>
  <c r="F7" i="4"/>
  <c r="G7" i="4" s="1"/>
  <c r="J7" i="4"/>
  <c r="K7" i="4"/>
  <c r="F8" i="4"/>
  <c r="G8" i="4" s="1"/>
  <c r="J8" i="4"/>
  <c r="K8" i="4" s="1"/>
  <c r="F9" i="4"/>
  <c r="G9" i="4" s="1"/>
  <c r="J9" i="4"/>
  <c r="K9" i="4" s="1"/>
  <c r="F10" i="4"/>
  <c r="G10" i="4" s="1"/>
  <c r="J10" i="4"/>
  <c r="K10" i="4" s="1"/>
  <c r="F11" i="4"/>
  <c r="G11" i="4" s="1"/>
  <c r="J11" i="4"/>
  <c r="K11" i="4" s="1"/>
  <c r="F12" i="4"/>
  <c r="G12" i="4" s="1"/>
  <c r="J12" i="4"/>
  <c r="K12" i="4" s="1"/>
  <c r="F13" i="4"/>
  <c r="G13" i="4" s="1"/>
  <c r="J13" i="4"/>
  <c r="K13" i="4" s="1"/>
  <c r="F14" i="4"/>
  <c r="G14" i="4" s="1"/>
  <c r="J14" i="4"/>
  <c r="K14" i="4" s="1"/>
  <c r="G15" i="4"/>
  <c r="J15" i="4"/>
  <c r="K15" i="4" s="1"/>
  <c r="F16" i="4"/>
  <c r="G16" i="4" s="1"/>
  <c r="J16" i="4"/>
  <c r="K16" i="4" s="1"/>
  <c r="F17" i="4"/>
  <c r="G17" i="4" s="1"/>
  <c r="K17" i="4"/>
  <c r="F18" i="4"/>
  <c r="G18" i="4" s="1"/>
  <c r="J18" i="4"/>
  <c r="K18" i="4" s="1"/>
  <c r="F19" i="4"/>
  <c r="G19" i="4" s="1"/>
  <c r="J19" i="4"/>
  <c r="K19" i="4" s="1"/>
  <c r="F20" i="4"/>
  <c r="G20" i="4" s="1"/>
  <c r="J20" i="4"/>
  <c r="K20" i="4" s="1"/>
  <c r="F21" i="4"/>
  <c r="G21" i="4" s="1"/>
  <c r="K21" i="4"/>
  <c r="F22" i="4"/>
  <c r="G22" i="4" s="1"/>
  <c r="J22" i="4"/>
  <c r="K22" i="4" s="1"/>
  <c r="F23" i="4"/>
  <c r="G23" i="4" s="1"/>
  <c r="J23" i="4"/>
  <c r="K23" i="4" s="1"/>
  <c r="K25" i="4"/>
  <c r="K40" i="4" s="1"/>
  <c r="K24" i="4" l="1"/>
  <c r="K41" i="4" s="1"/>
  <c r="J24" i="4"/>
  <c r="J41" i="4" s="1"/>
  <c r="G24" i="4"/>
  <c r="G41" i="4" s="1"/>
  <c r="F24" i="4"/>
  <c r="F41" i="4" s="1"/>
  <c r="Y8" i="3" l="1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7" i="3"/>
  <c r="P24" i="3"/>
  <c r="N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24" i="3" s="1"/>
  <c r="V23" i="3"/>
  <c r="T23" i="3"/>
  <c r="X23" i="3" s="1"/>
  <c r="AB23" i="3" s="1"/>
  <c r="V22" i="3"/>
  <c r="T22" i="3"/>
  <c r="X22" i="3" s="1"/>
  <c r="AB22" i="3" s="1"/>
  <c r="AA22" i="3" s="1"/>
  <c r="Z22" i="3" s="1"/>
  <c r="V21" i="3"/>
  <c r="T21" i="3"/>
  <c r="X21" i="3" s="1"/>
  <c r="AB21" i="3" s="1"/>
  <c r="AA21" i="3" s="1"/>
  <c r="Z21" i="3" s="1"/>
  <c r="V20" i="3"/>
  <c r="T20" i="3"/>
  <c r="X20" i="3" s="1"/>
  <c r="AB20" i="3" s="1"/>
  <c r="AA20" i="3" s="1"/>
  <c r="Z20" i="3" s="1"/>
  <c r="V19" i="3"/>
  <c r="T19" i="3"/>
  <c r="X19" i="3" s="1"/>
  <c r="AB19" i="3" s="1"/>
  <c r="V18" i="3"/>
  <c r="T18" i="3"/>
  <c r="X18" i="3" s="1"/>
  <c r="AB18" i="3" s="1"/>
  <c r="AA18" i="3" s="1"/>
  <c r="Z18" i="3" s="1"/>
  <c r="V17" i="3"/>
  <c r="T17" i="3"/>
  <c r="X17" i="3" s="1"/>
  <c r="AB17" i="3" s="1"/>
  <c r="AA17" i="3" s="1"/>
  <c r="Z17" i="3" s="1"/>
  <c r="V16" i="3"/>
  <c r="T16" i="3"/>
  <c r="X16" i="3" s="1"/>
  <c r="AB16" i="3" s="1"/>
  <c r="AA16" i="3" s="1"/>
  <c r="Z16" i="3" s="1"/>
  <c r="V15" i="3"/>
  <c r="T15" i="3"/>
  <c r="X15" i="3" s="1"/>
  <c r="AB15" i="3" s="1"/>
  <c r="V14" i="3"/>
  <c r="T14" i="3"/>
  <c r="X14" i="3" s="1"/>
  <c r="AB14" i="3" s="1"/>
  <c r="AA14" i="3" s="1"/>
  <c r="Z14" i="3" s="1"/>
  <c r="V13" i="3"/>
  <c r="T13" i="3"/>
  <c r="X13" i="3" s="1"/>
  <c r="AB13" i="3" s="1"/>
  <c r="AA13" i="3" s="1"/>
  <c r="Z13" i="3" s="1"/>
  <c r="V12" i="3"/>
  <c r="T12" i="3"/>
  <c r="X12" i="3" s="1"/>
  <c r="AB12" i="3" s="1"/>
  <c r="AA12" i="3" s="1"/>
  <c r="Z12" i="3" s="1"/>
  <c r="V11" i="3"/>
  <c r="T11" i="3"/>
  <c r="X11" i="3" s="1"/>
  <c r="AB11" i="3" s="1"/>
  <c r="V10" i="3"/>
  <c r="T10" i="3"/>
  <c r="X10" i="3" s="1"/>
  <c r="AB10" i="3" s="1"/>
  <c r="AA10" i="3" s="1"/>
  <c r="Z10" i="3" s="1"/>
  <c r="V9" i="3"/>
  <c r="T9" i="3"/>
  <c r="X9" i="3" s="1"/>
  <c r="AB9" i="3" s="1"/>
  <c r="AA9" i="3" s="1"/>
  <c r="Z9" i="3" s="1"/>
  <c r="V8" i="3"/>
  <c r="T8" i="3"/>
  <c r="X8" i="3" s="1"/>
  <c r="AB8" i="3" s="1"/>
  <c r="AA8" i="3" s="1"/>
  <c r="Z8" i="3" s="1"/>
  <c r="V7" i="3"/>
  <c r="T7" i="3"/>
  <c r="X7" i="3" s="1"/>
  <c r="AB7" i="3" s="1"/>
  <c r="AA7" i="3" s="1"/>
  <c r="AF24" i="3"/>
  <c r="Y24" i="3"/>
  <c r="W24" i="3"/>
  <c r="G24" i="3"/>
  <c r="E24" i="3"/>
  <c r="AE23" i="3"/>
  <c r="AC23" i="3"/>
  <c r="I23" i="3"/>
  <c r="J23" i="3" s="1"/>
  <c r="B23" i="3"/>
  <c r="AE22" i="3"/>
  <c r="AC22" i="3"/>
  <c r="I22" i="3"/>
  <c r="J22" i="3" s="1"/>
  <c r="B22" i="3"/>
  <c r="AE21" i="3"/>
  <c r="AC21" i="3"/>
  <c r="I21" i="3"/>
  <c r="J21" i="3" s="1"/>
  <c r="B21" i="3"/>
  <c r="AE20" i="3"/>
  <c r="AC20" i="3"/>
  <c r="I20" i="3"/>
  <c r="J20" i="3" s="1"/>
  <c r="B20" i="3"/>
  <c r="AE19" i="3"/>
  <c r="AC19" i="3"/>
  <c r="I19" i="3"/>
  <c r="J19" i="3" s="1"/>
  <c r="B19" i="3"/>
  <c r="AE18" i="3"/>
  <c r="AC18" i="3"/>
  <c r="I18" i="3"/>
  <c r="J18" i="3" s="1"/>
  <c r="B18" i="3"/>
  <c r="AE17" i="3"/>
  <c r="AC17" i="3"/>
  <c r="I17" i="3"/>
  <c r="J17" i="3" s="1"/>
  <c r="B17" i="3"/>
  <c r="AE16" i="3"/>
  <c r="AC16" i="3"/>
  <c r="I16" i="3"/>
  <c r="J16" i="3" s="1"/>
  <c r="B16" i="3"/>
  <c r="AE15" i="3"/>
  <c r="AC15" i="3"/>
  <c r="I15" i="3"/>
  <c r="J15" i="3" s="1"/>
  <c r="B15" i="3"/>
  <c r="AE14" i="3"/>
  <c r="AC14" i="3"/>
  <c r="I14" i="3"/>
  <c r="J14" i="3" s="1"/>
  <c r="B14" i="3"/>
  <c r="AE13" i="3"/>
  <c r="AC13" i="3"/>
  <c r="I13" i="3"/>
  <c r="J13" i="3" s="1"/>
  <c r="B13" i="3"/>
  <c r="AE12" i="3"/>
  <c r="AC12" i="3"/>
  <c r="I12" i="3"/>
  <c r="J12" i="3" s="1"/>
  <c r="B12" i="3"/>
  <c r="AE11" i="3"/>
  <c r="AC11" i="3"/>
  <c r="I11" i="3"/>
  <c r="J11" i="3" s="1"/>
  <c r="B11" i="3"/>
  <c r="AE10" i="3"/>
  <c r="AC10" i="3"/>
  <c r="I10" i="3"/>
  <c r="J10" i="3" s="1"/>
  <c r="B10" i="3"/>
  <c r="AE9" i="3"/>
  <c r="AC9" i="3"/>
  <c r="I9" i="3"/>
  <c r="J9" i="3" s="1"/>
  <c r="B9" i="3"/>
  <c r="AE8" i="3"/>
  <c r="AC8" i="3"/>
  <c r="I8" i="3"/>
  <c r="J8" i="3" s="1"/>
  <c r="B8" i="3"/>
  <c r="AH24" i="3"/>
  <c r="AE7" i="3"/>
  <c r="AC7" i="3"/>
  <c r="I7" i="3"/>
  <c r="I24" i="3" s="1"/>
  <c r="H24" i="3" s="1"/>
  <c r="B7" i="3"/>
  <c r="AC24" i="3" l="1"/>
  <c r="AA11" i="3"/>
  <c r="Z11" i="3" s="1"/>
  <c r="AA15" i="3"/>
  <c r="Z15" i="3" s="1"/>
  <c r="AA19" i="3"/>
  <c r="Z19" i="3" s="1"/>
  <c r="AA23" i="3"/>
  <c r="Z23" i="3" s="1"/>
  <c r="T24" i="3"/>
  <c r="B24" i="3"/>
  <c r="AE24" i="3"/>
  <c r="AG8" i="3"/>
  <c r="AK8" i="3" s="1"/>
  <c r="AG9" i="3"/>
  <c r="AK9" i="3" s="1"/>
  <c r="AG10" i="3"/>
  <c r="AK10" i="3" s="1"/>
  <c r="AG11" i="3"/>
  <c r="AK11" i="3" s="1"/>
  <c r="AG12" i="3"/>
  <c r="AK12" i="3" s="1"/>
  <c r="AG13" i="3"/>
  <c r="AK13" i="3" s="1"/>
  <c r="AG14" i="3"/>
  <c r="AK14" i="3" s="1"/>
  <c r="AG15" i="3"/>
  <c r="AK15" i="3" s="1"/>
  <c r="AJ15" i="3" s="1"/>
  <c r="AI15" i="3" s="1"/>
  <c r="AG16" i="3"/>
  <c r="AK16" i="3" s="1"/>
  <c r="AG17" i="3"/>
  <c r="AK17" i="3" s="1"/>
  <c r="AG18" i="3"/>
  <c r="AK18" i="3" s="1"/>
  <c r="AJ18" i="3" s="1"/>
  <c r="AI18" i="3" s="1"/>
  <c r="AG19" i="3"/>
  <c r="AK19" i="3" s="1"/>
  <c r="AJ19" i="3" s="1"/>
  <c r="AI19" i="3" s="1"/>
  <c r="AG20" i="3"/>
  <c r="AK20" i="3" s="1"/>
  <c r="AG21" i="3"/>
  <c r="AK21" i="3" s="1"/>
  <c r="AG22" i="3"/>
  <c r="AK22" i="3" s="1"/>
  <c r="AG23" i="3"/>
  <c r="AK23" i="3" s="1"/>
  <c r="AJ23" i="3" s="1"/>
  <c r="AI23" i="3" s="1"/>
  <c r="Z7" i="3"/>
  <c r="M7" i="3"/>
  <c r="O7" i="3"/>
  <c r="S7" i="3" s="1"/>
  <c r="R7" i="3" s="1"/>
  <c r="Q7" i="3" s="1"/>
  <c r="M8" i="3"/>
  <c r="O8" i="3" s="1"/>
  <c r="S8" i="3" s="1"/>
  <c r="R8" i="3" s="1"/>
  <c r="Q8" i="3" s="1"/>
  <c r="M9" i="3"/>
  <c r="O9" i="3" s="1"/>
  <c r="S9" i="3" s="1"/>
  <c r="R9" i="3" s="1"/>
  <c r="Q9" i="3" s="1"/>
  <c r="M10" i="3"/>
  <c r="O10" i="3" s="1"/>
  <c r="S10" i="3" s="1"/>
  <c r="R10" i="3" s="1"/>
  <c r="Q10" i="3" s="1"/>
  <c r="M11" i="3"/>
  <c r="O11" i="3" s="1"/>
  <c r="S11" i="3" s="1"/>
  <c r="R11" i="3" s="1"/>
  <c r="Q11" i="3" s="1"/>
  <c r="M12" i="3"/>
  <c r="O12" i="3" s="1"/>
  <c r="S12" i="3" s="1"/>
  <c r="R12" i="3" s="1"/>
  <c r="Q12" i="3" s="1"/>
  <c r="M13" i="3"/>
  <c r="O13" i="3" s="1"/>
  <c r="S13" i="3" s="1"/>
  <c r="R13" i="3" s="1"/>
  <c r="Q13" i="3" s="1"/>
  <c r="M14" i="3"/>
  <c r="O14" i="3" s="1"/>
  <c r="S14" i="3" s="1"/>
  <c r="R14" i="3" s="1"/>
  <c r="Q14" i="3" s="1"/>
  <c r="M15" i="3"/>
  <c r="O15" i="3" s="1"/>
  <c r="S15" i="3" s="1"/>
  <c r="R15" i="3" s="1"/>
  <c r="Q15" i="3" s="1"/>
  <c r="M16" i="3"/>
  <c r="O16" i="3" s="1"/>
  <c r="S16" i="3" s="1"/>
  <c r="R16" i="3" s="1"/>
  <c r="Q16" i="3" s="1"/>
  <c r="M17" i="3"/>
  <c r="O17" i="3" s="1"/>
  <c r="S17" i="3" s="1"/>
  <c r="R17" i="3" s="1"/>
  <c r="Q17" i="3" s="1"/>
  <c r="M18" i="3"/>
  <c r="O18" i="3" s="1"/>
  <c r="S18" i="3" s="1"/>
  <c r="R18" i="3" s="1"/>
  <c r="Q18" i="3" s="1"/>
  <c r="M19" i="3"/>
  <c r="O19" i="3" s="1"/>
  <c r="S19" i="3" s="1"/>
  <c r="R19" i="3" s="1"/>
  <c r="Q19" i="3" s="1"/>
  <c r="M20" i="3"/>
  <c r="O20" i="3" s="1"/>
  <c r="S20" i="3" s="1"/>
  <c r="R20" i="3" s="1"/>
  <c r="M21" i="3"/>
  <c r="O21" i="3" s="1"/>
  <c r="S21" i="3" s="1"/>
  <c r="R21" i="3" s="1"/>
  <c r="Q21" i="3" s="1"/>
  <c r="M22" i="3"/>
  <c r="O22" i="3" s="1"/>
  <c r="S22" i="3" s="1"/>
  <c r="R22" i="3" s="1"/>
  <c r="Q22" i="3" s="1"/>
  <c r="M23" i="3"/>
  <c r="O23" i="3" s="1"/>
  <c r="S23" i="3" s="1"/>
  <c r="R23" i="3" s="1"/>
  <c r="Q23" i="3" s="1"/>
  <c r="AJ8" i="3"/>
  <c r="AI8" i="3" s="1"/>
  <c r="AJ9" i="3"/>
  <c r="AI9" i="3" s="1"/>
  <c r="AJ10" i="3"/>
  <c r="AI10" i="3" s="1"/>
  <c r="AJ11" i="3"/>
  <c r="AI11" i="3" s="1"/>
  <c r="AJ12" i="3"/>
  <c r="AI12" i="3" s="1"/>
  <c r="AJ13" i="3"/>
  <c r="AI13" i="3" s="1"/>
  <c r="AJ14" i="3"/>
  <c r="AI14" i="3" s="1"/>
  <c r="D7" i="3"/>
  <c r="F7" i="3" s="1"/>
  <c r="J7" i="3"/>
  <c r="AG7" i="3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AJ16" i="3"/>
  <c r="AI16" i="3" s="1"/>
  <c r="AJ17" i="3"/>
  <c r="AI17" i="3" s="1"/>
  <c r="AJ20" i="3"/>
  <c r="AI20" i="3" s="1"/>
  <c r="AJ21" i="3"/>
  <c r="AI21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AJ22" i="3"/>
  <c r="AI22" i="3" s="1"/>
  <c r="D22" i="3"/>
  <c r="F22" i="3" s="1"/>
  <c r="D23" i="3"/>
  <c r="F23" i="3" s="1"/>
  <c r="AA24" i="3" l="1"/>
  <c r="Z24" i="3" s="1"/>
  <c r="Q20" i="3"/>
  <c r="R24" i="3"/>
  <c r="Q24" i="3" s="1"/>
  <c r="S24" i="3"/>
  <c r="O24" i="3"/>
  <c r="M24" i="3"/>
  <c r="AG24" i="3"/>
  <c r="AK7" i="3"/>
  <c r="AB24" i="3"/>
  <c r="X24" i="3"/>
  <c r="V24" i="3"/>
  <c r="J24" i="3"/>
  <c r="F24" i="3"/>
  <c r="D24" i="3"/>
  <c r="AK24" i="3" l="1"/>
  <c r="AJ7" i="3"/>
  <c r="AJ24" i="3" l="1"/>
  <c r="AI24" i="3" s="1"/>
  <c r="AI7" i="3"/>
  <c r="Q24" i="2" l="1"/>
  <c r="Q23" i="2"/>
  <c r="Q21" i="2"/>
  <c r="E14" i="2"/>
  <c r="Q18" i="2"/>
  <c r="Q17" i="2"/>
  <c r="Q16" i="2"/>
  <c r="Q22" i="2"/>
  <c r="Q15" i="2"/>
  <c r="Q14" i="2"/>
  <c r="Q13" i="2"/>
  <c r="Q12" i="2"/>
  <c r="Q11" i="2"/>
  <c r="Q10" i="2"/>
  <c r="Q19" i="2"/>
  <c r="E24" i="2" l="1"/>
  <c r="E23" i="2"/>
  <c r="E21" i="2"/>
  <c r="E18" i="2"/>
  <c r="E17" i="2"/>
  <c r="E16" i="2"/>
  <c r="E15" i="2"/>
  <c r="E22" i="2"/>
  <c r="E13" i="2"/>
  <c r="E12" i="2"/>
  <c r="E11" i="2"/>
  <c r="E10" i="2"/>
  <c r="E19" i="2"/>
  <c r="AA24" i="2" l="1"/>
  <c r="U24" i="2"/>
  <c r="T24" i="2"/>
  <c r="Z24" i="2" s="1"/>
  <c r="AB24" i="2" s="1"/>
  <c r="AC24" i="2"/>
  <c r="P24" i="2"/>
  <c r="S24" i="2" s="1"/>
  <c r="R24" i="2" s="1"/>
  <c r="J24" i="2"/>
  <c r="M24" i="2" s="1"/>
  <c r="L24" i="2" s="1"/>
  <c r="D24" i="2"/>
  <c r="G24" i="2" s="1"/>
  <c r="F24" i="2" s="1"/>
  <c r="AA23" i="2"/>
  <c r="U23" i="2"/>
  <c r="T23" i="2"/>
  <c r="Z23" i="2" s="1"/>
  <c r="AC23" i="2"/>
  <c r="P23" i="2"/>
  <c r="S23" i="2" s="1"/>
  <c r="R23" i="2" s="1"/>
  <c r="J23" i="2"/>
  <c r="M23" i="2" s="1"/>
  <c r="L23" i="2" s="1"/>
  <c r="D23" i="2"/>
  <c r="G23" i="2" s="1"/>
  <c r="F23" i="2" s="1"/>
  <c r="AA22" i="2"/>
  <c r="T22" i="2"/>
  <c r="Z22" i="2" s="1"/>
  <c r="AB22" i="2" s="1"/>
  <c r="AC22" i="2"/>
  <c r="P22" i="2"/>
  <c r="S22" i="2" s="1"/>
  <c r="R22" i="2" s="1"/>
  <c r="J22" i="2"/>
  <c r="M22" i="2" s="1"/>
  <c r="L22" i="2" s="1"/>
  <c r="D22" i="2"/>
  <c r="G22" i="2" s="1"/>
  <c r="F22" i="2" s="1"/>
  <c r="AA21" i="2"/>
  <c r="U21" i="2"/>
  <c r="U20" i="2" s="1"/>
  <c r="T21" i="2"/>
  <c r="Z21" i="2" s="1"/>
  <c r="AB21" i="2" s="1"/>
  <c r="AC21" i="2"/>
  <c r="AC20" i="2" s="1"/>
  <c r="P21" i="2"/>
  <c r="S21" i="2" s="1"/>
  <c r="J21" i="2"/>
  <c r="M21" i="2" s="1"/>
  <c r="D21" i="2"/>
  <c r="G21" i="2" s="1"/>
  <c r="AA20" i="2"/>
  <c r="Q20" i="2"/>
  <c r="P20" i="2"/>
  <c r="O20" i="2"/>
  <c r="O25" i="2" s="1"/>
  <c r="N20" i="2"/>
  <c r="N25" i="2" s="1"/>
  <c r="K20" i="2"/>
  <c r="J20" i="2"/>
  <c r="I20" i="2"/>
  <c r="I25" i="2" s="1"/>
  <c r="H20" i="2"/>
  <c r="H25" i="2" s="1"/>
  <c r="E20" i="2"/>
  <c r="C20" i="2"/>
  <c r="C25" i="2" s="1"/>
  <c r="B20" i="2"/>
  <c r="B25" i="2" s="1"/>
  <c r="AA19" i="2"/>
  <c r="U19" i="2"/>
  <c r="T19" i="2"/>
  <c r="Z19" i="2" s="1"/>
  <c r="AB19" i="2" s="1"/>
  <c r="AC19" i="2"/>
  <c r="P19" i="2"/>
  <c r="S19" i="2" s="1"/>
  <c r="R19" i="2" s="1"/>
  <c r="J19" i="2"/>
  <c r="M19" i="2" s="1"/>
  <c r="L19" i="2" s="1"/>
  <c r="D19" i="2"/>
  <c r="G19" i="2" s="1"/>
  <c r="F19" i="2" s="1"/>
  <c r="AA18" i="2"/>
  <c r="U18" i="2"/>
  <c r="T18" i="2"/>
  <c r="Z18" i="2" s="1"/>
  <c r="AB18" i="2" s="1"/>
  <c r="P18" i="2"/>
  <c r="K18" i="2"/>
  <c r="K25" i="2" s="1"/>
  <c r="J18" i="2"/>
  <c r="M18" i="2" s="1"/>
  <c r="L18" i="2" s="1"/>
  <c r="E25" i="2"/>
  <c r="D18" i="2"/>
  <c r="G18" i="2" s="1"/>
  <c r="F18" i="2" s="1"/>
  <c r="AA17" i="2"/>
  <c r="U17" i="2"/>
  <c r="T17" i="2"/>
  <c r="Z17" i="2" s="1"/>
  <c r="AB17" i="2" s="1"/>
  <c r="AC17" i="2"/>
  <c r="P17" i="2"/>
  <c r="S17" i="2" s="1"/>
  <c r="R17" i="2" s="1"/>
  <c r="J17" i="2"/>
  <c r="M17" i="2" s="1"/>
  <c r="L17" i="2" s="1"/>
  <c r="D17" i="2"/>
  <c r="G17" i="2" s="1"/>
  <c r="F17" i="2" s="1"/>
  <c r="AA16" i="2"/>
  <c r="U16" i="2"/>
  <c r="T16" i="2"/>
  <c r="Z16" i="2" s="1"/>
  <c r="AC16" i="2"/>
  <c r="P16" i="2"/>
  <c r="S16" i="2" s="1"/>
  <c r="R16" i="2" s="1"/>
  <c r="J16" i="2"/>
  <c r="M16" i="2" s="1"/>
  <c r="L16" i="2" s="1"/>
  <c r="D16" i="2"/>
  <c r="G16" i="2" s="1"/>
  <c r="F16" i="2" s="1"/>
  <c r="AA15" i="2"/>
  <c r="U15" i="2"/>
  <c r="T15" i="2"/>
  <c r="Z15" i="2" s="1"/>
  <c r="AC15" i="2"/>
  <c r="P15" i="2"/>
  <c r="S15" i="2" s="1"/>
  <c r="R15" i="2" s="1"/>
  <c r="J15" i="2"/>
  <c r="M15" i="2" s="1"/>
  <c r="L15" i="2" s="1"/>
  <c r="D15" i="2"/>
  <c r="G15" i="2" s="1"/>
  <c r="F15" i="2" s="1"/>
  <c r="AA14" i="2"/>
  <c r="U14" i="2"/>
  <c r="T14" i="2"/>
  <c r="Z14" i="2" s="1"/>
  <c r="AB14" i="2" s="1"/>
  <c r="AC14" i="2"/>
  <c r="P14" i="2"/>
  <c r="S14" i="2" s="1"/>
  <c r="R14" i="2" s="1"/>
  <c r="J14" i="2"/>
  <c r="M14" i="2" s="1"/>
  <c r="L14" i="2" s="1"/>
  <c r="D14" i="2"/>
  <c r="G14" i="2" s="1"/>
  <c r="F14" i="2" s="1"/>
  <c r="AA13" i="2"/>
  <c r="U13" i="2"/>
  <c r="T13" i="2"/>
  <c r="Z13" i="2" s="1"/>
  <c r="AB13" i="2" s="1"/>
  <c r="AC13" i="2"/>
  <c r="P13" i="2"/>
  <c r="S13" i="2" s="1"/>
  <c r="R13" i="2" s="1"/>
  <c r="J13" i="2"/>
  <c r="M13" i="2" s="1"/>
  <c r="L13" i="2" s="1"/>
  <c r="D13" i="2"/>
  <c r="G13" i="2" s="1"/>
  <c r="F13" i="2" s="1"/>
  <c r="AA12" i="2"/>
  <c r="U12" i="2"/>
  <c r="T12" i="2"/>
  <c r="Z12" i="2" s="1"/>
  <c r="AC12" i="2"/>
  <c r="P12" i="2"/>
  <c r="S12" i="2" s="1"/>
  <c r="R12" i="2" s="1"/>
  <c r="J12" i="2"/>
  <c r="M12" i="2" s="1"/>
  <c r="L12" i="2" s="1"/>
  <c r="D12" i="2"/>
  <c r="G12" i="2" s="1"/>
  <c r="F12" i="2" s="1"/>
  <c r="AA11" i="2"/>
  <c r="U11" i="2"/>
  <c r="T11" i="2"/>
  <c r="Z11" i="2" s="1"/>
  <c r="AC11" i="2"/>
  <c r="P11" i="2"/>
  <c r="S11" i="2" s="1"/>
  <c r="R11" i="2" s="1"/>
  <c r="J11" i="2"/>
  <c r="M11" i="2" s="1"/>
  <c r="L11" i="2" s="1"/>
  <c r="D11" i="2"/>
  <c r="G11" i="2" s="1"/>
  <c r="F11" i="2" s="1"/>
  <c r="AA10" i="2"/>
  <c r="U10" i="2"/>
  <c r="T10" i="2"/>
  <c r="P10" i="2"/>
  <c r="J10" i="2"/>
  <c r="D10" i="2"/>
  <c r="J26" i="1"/>
  <c r="T22" i="1"/>
  <c r="T16" i="1"/>
  <c r="T13" i="1"/>
  <c r="T12" i="1"/>
  <c r="T8" i="1"/>
  <c r="T17" i="1"/>
  <c r="Q24" i="1"/>
  <c r="Q18" i="1"/>
  <c r="Q9" i="1"/>
  <c r="S7" i="1"/>
  <c r="T7" i="1" s="1"/>
  <c r="S8" i="1"/>
  <c r="S10" i="1"/>
  <c r="T10" i="1" s="1"/>
  <c r="S11" i="1"/>
  <c r="T11" i="1" s="1"/>
  <c r="S12" i="1"/>
  <c r="S13" i="1"/>
  <c r="S14" i="1"/>
  <c r="T14" i="1" s="1"/>
  <c r="S15" i="1"/>
  <c r="T15" i="1" s="1"/>
  <c r="S16" i="1"/>
  <c r="S17" i="1"/>
  <c r="S19" i="1"/>
  <c r="T19" i="1" s="1"/>
  <c r="S20" i="1"/>
  <c r="T20" i="1" s="1"/>
  <c r="S21" i="1"/>
  <c r="T21" i="1" s="1"/>
  <c r="S22" i="1"/>
  <c r="S23" i="1"/>
  <c r="T23" i="1" s="1"/>
  <c r="S25" i="1"/>
  <c r="T25" i="1" s="1"/>
  <c r="S26" i="1"/>
  <c r="T26" i="1" s="1"/>
  <c r="E15" i="1"/>
  <c r="E25" i="1"/>
  <c r="E19" i="1"/>
  <c r="E13" i="1"/>
  <c r="C22" i="1"/>
  <c r="B22" i="1"/>
  <c r="E84" i="1"/>
  <c r="D31" i="1"/>
  <c r="C28" i="1"/>
  <c r="B28" i="1"/>
  <c r="H27" i="1"/>
  <c r="G27" i="1"/>
  <c r="C27" i="1"/>
  <c r="B27" i="1"/>
  <c r="B92" i="1" s="1"/>
  <c r="W26" i="1"/>
  <c r="V26" i="1"/>
  <c r="X26" i="1" s="1"/>
  <c r="M26" i="1"/>
  <c r="L26" i="1"/>
  <c r="N26" i="1" s="1"/>
  <c r="I26" i="1"/>
  <c r="D26" i="1"/>
  <c r="W25" i="1"/>
  <c r="V25" i="1"/>
  <c r="X25" i="1" s="1"/>
  <c r="M25" i="1"/>
  <c r="L25" i="1"/>
  <c r="N25" i="1" s="1"/>
  <c r="I25" i="1"/>
  <c r="D25" i="1"/>
  <c r="Y24" i="1"/>
  <c r="W24" i="1"/>
  <c r="V24" i="1"/>
  <c r="O24" i="1"/>
  <c r="M24" i="1"/>
  <c r="L24" i="1"/>
  <c r="W23" i="1"/>
  <c r="V23" i="1"/>
  <c r="X23" i="1" s="1"/>
  <c r="M23" i="1"/>
  <c r="L23" i="1"/>
  <c r="N23" i="1" s="1"/>
  <c r="I23" i="1"/>
  <c r="D23" i="1"/>
  <c r="E23" i="1" s="1"/>
  <c r="W22" i="1"/>
  <c r="V22" i="1"/>
  <c r="X22" i="1" s="1"/>
  <c r="M22" i="1"/>
  <c r="L22" i="1"/>
  <c r="N22" i="1" s="1"/>
  <c r="I22" i="1"/>
  <c r="D22" i="1"/>
  <c r="E22" i="1" s="1"/>
  <c r="W21" i="1"/>
  <c r="V21" i="1"/>
  <c r="X21" i="1" s="1"/>
  <c r="M21" i="1"/>
  <c r="L21" i="1"/>
  <c r="N21" i="1" s="1"/>
  <c r="I21" i="1"/>
  <c r="D21" i="1"/>
  <c r="W20" i="1"/>
  <c r="V20" i="1"/>
  <c r="X20" i="1" s="1"/>
  <c r="M20" i="1"/>
  <c r="L20" i="1"/>
  <c r="N20" i="1" s="1"/>
  <c r="I20" i="1"/>
  <c r="D20" i="1"/>
  <c r="E20" i="1" s="1"/>
  <c r="W19" i="1"/>
  <c r="V19" i="1"/>
  <c r="X19" i="1" s="1"/>
  <c r="M19" i="1"/>
  <c r="L19" i="1"/>
  <c r="N19" i="1" s="1"/>
  <c r="I19" i="1"/>
  <c r="D19" i="1"/>
  <c r="Y18" i="1"/>
  <c r="W18" i="1"/>
  <c r="V18" i="1"/>
  <c r="O18" i="1"/>
  <c r="M18" i="1"/>
  <c r="L18" i="1"/>
  <c r="W17" i="1"/>
  <c r="V17" i="1"/>
  <c r="X17" i="1" s="1"/>
  <c r="M17" i="1"/>
  <c r="L17" i="1"/>
  <c r="N17" i="1" s="1"/>
  <c r="I17" i="1"/>
  <c r="D17" i="1"/>
  <c r="E17" i="1" s="1"/>
  <c r="W16" i="1"/>
  <c r="V16" i="1"/>
  <c r="X16" i="1" s="1"/>
  <c r="M16" i="1"/>
  <c r="L16" i="1"/>
  <c r="N16" i="1" s="1"/>
  <c r="I16" i="1"/>
  <c r="D16" i="1"/>
  <c r="E16" i="1" s="1"/>
  <c r="W15" i="1"/>
  <c r="V15" i="1"/>
  <c r="X15" i="1" s="1"/>
  <c r="M15" i="1"/>
  <c r="L15" i="1"/>
  <c r="N15" i="1" s="1"/>
  <c r="I15" i="1"/>
  <c r="D15" i="1"/>
  <c r="W14" i="1"/>
  <c r="V14" i="1"/>
  <c r="X14" i="1" s="1"/>
  <c r="M14" i="1"/>
  <c r="L14" i="1"/>
  <c r="N14" i="1" s="1"/>
  <c r="I14" i="1"/>
  <c r="J14" i="1" s="1"/>
  <c r="D14" i="1"/>
  <c r="E14" i="1" s="1"/>
  <c r="W13" i="1"/>
  <c r="V13" i="1"/>
  <c r="X13" i="1" s="1"/>
  <c r="M13" i="1"/>
  <c r="L13" i="1"/>
  <c r="N13" i="1" s="1"/>
  <c r="I13" i="1"/>
  <c r="D13" i="1"/>
  <c r="W12" i="1"/>
  <c r="V12" i="1"/>
  <c r="X12" i="1" s="1"/>
  <c r="M12" i="1"/>
  <c r="L12" i="1"/>
  <c r="N12" i="1" s="1"/>
  <c r="I12" i="1"/>
  <c r="D12" i="1"/>
  <c r="E12" i="1" s="1"/>
  <c r="W11" i="1"/>
  <c r="V11" i="1"/>
  <c r="X11" i="1" s="1"/>
  <c r="M11" i="1"/>
  <c r="L11" i="1"/>
  <c r="N11" i="1" s="1"/>
  <c r="I11" i="1"/>
  <c r="D11" i="1"/>
  <c r="E11" i="1" s="1"/>
  <c r="W10" i="1"/>
  <c r="V10" i="1"/>
  <c r="X10" i="1" s="1"/>
  <c r="M10" i="1"/>
  <c r="L10" i="1"/>
  <c r="N10" i="1" s="1"/>
  <c r="I10" i="1"/>
  <c r="D10" i="1"/>
  <c r="E10" i="1" s="1"/>
  <c r="Y9" i="1"/>
  <c r="W9" i="1"/>
  <c r="V9" i="1"/>
  <c r="O9" i="1"/>
  <c r="M9" i="1"/>
  <c r="L9" i="1"/>
  <c r="W8" i="1"/>
  <c r="V8" i="1"/>
  <c r="X8" i="1" s="1"/>
  <c r="M8" i="1"/>
  <c r="L8" i="1"/>
  <c r="N8" i="1" s="1"/>
  <c r="I8" i="1"/>
  <c r="D8" i="1"/>
  <c r="W7" i="1"/>
  <c r="V7" i="1"/>
  <c r="R27" i="1"/>
  <c r="Q27" i="1"/>
  <c r="M7" i="1"/>
  <c r="L7" i="1"/>
  <c r="I7" i="1"/>
  <c r="I27" i="1" s="1"/>
  <c r="D7" i="1"/>
  <c r="E7" i="1" s="1"/>
  <c r="U25" i="2" l="1"/>
  <c r="J25" i="2"/>
  <c r="AA25" i="2"/>
  <c r="AB12" i="2"/>
  <c r="AB16" i="2"/>
  <c r="AB23" i="2"/>
  <c r="D20" i="2"/>
  <c r="D25" i="2" s="1"/>
  <c r="E26" i="2" s="1"/>
  <c r="L27" i="1"/>
  <c r="V27" i="1"/>
  <c r="M27" i="1"/>
  <c r="W27" i="1"/>
  <c r="P25" i="2"/>
  <c r="AB11" i="2"/>
  <c r="AB15" i="2"/>
  <c r="G10" i="2"/>
  <c r="M10" i="2"/>
  <c r="S10" i="2"/>
  <c r="V10" i="2"/>
  <c r="W10" i="2"/>
  <c r="Z10" i="2"/>
  <c r="AC10" i="2"/>
  <c r="AE11" i="2"/>
  <c r="AD11" i="2" s="1"/>
  <c r="AE12" i="2"/>
  <c r="AD12" i="2" s="1"/>
  <c r="AE13" i="2"/>
  <c r="AD13" i="2" s="1"/>
  <c r="AE14" i="2"/>
  <c r="AD14" i="2" s="1"/>
  <c r="AE15" i="2"/>
  <c r="AD15" i="2" s="1"/>
  <c r="AE16" i="2"/>
  <c r="AD16" i="2" s="1"/>
  <c r="AE17" i="2"/>
  <c r="AD17" i="2" s="1"/>
  <c r="AE19" i="2"/>
  <c r="AD19" i="2" s="1"/>
  <c r="F21" i="2"/>
  <c r="G20" i="2"/>
  <c r="F20" i="2" s="1"/>
  <c r="L21" i="2"/>
  <c r="M20" i="2"/>
  <c r="L20" i="2" s="1"/>
  <c r="R21" i="2"/>
  <c r="S20" i="2"/>
  <c r="R20" i="2" s="1"/>
  <c r="AE21" i="2"/>
  <c r="AB2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K26" i="2"/>
  <c r="V18" i="2"/>
  <c r="V19" i="2"/>
  <c r="W19" i="2"/>
  <c r="T20" i="2"/>
  <c r="Z20" i="2" s="1"/>
  <c r="V21" i="2"/>
  <c r="W21" i="2"/>
  <c r="AE22" i="2"/>
  <c r="AD22" i="2" s="1"/>
  <c r="AE23" i="2"/>
  <c r="AD23" i="2" s="1"/>
  <c r="AE24" i="2"/>
  <c r="AD24" i="2" s="1"/>
  <c r="V22" i="2"/>
  <c r="W22" i="2"/>
  <c r="V23" i="2"/>
  <c r="W23" i="2"/>
  <c r="V24" i="2"/>
  <c r="W24" i="2"/>
  <c r="O8" i="1"/>
  <c r="P8" i="1" s="1"/>
  <c r="U8" i="1"/>
  <c r="Y8" i="1"/>
  <c r="Z8" i="1" s="1"/>
  <c r="D28" i="1"/>
  <c r="D27" i="1"/>
  <c r="F7" i="1"/>
  <c r="J7" i="1"/>
  <c r="K7" i="1" s="1"/>
  <c r="N7" i="1"/>
  <c r="X7" i="1"/>
  <c r="E8" i="1"/>
  <c r="F8" i="1" s="1"/>
  <c r="J8" i="1"/>
  <c r="K8" i="1" s="1"/>
  <c r="F10" i="1"/>
  <c r="O10" i="1"/>
  <c r="P10" i="1" s="1"/>
  <c r="U10" i="1"/>
  <c r="Y10" i="1"/>
  <c r="Z10" i="1" s="1"/>
  <c r="O11" i="1"/>
  <c r="P11" i="1" s="1"/>
  <c r="U11" i="1"/>
  <c r="Y11" i="1"/>
  <c r="Z11" i="1" s="1"/>
  <c r="O12" i="1"/>
  <c r="P12" i="1" s="1"/>
  <c r="U12" i="1"/>
  <c r="Y12" i="1"/>
  <c r="Z12" i="1" s="1"/>
  <c r="O13" i="1"/>
  <c r="P13" i="1" s="1"/>
  <c r="U13" i="1"/>
  <c r="Y13" i="1"/>
  <c r="Z13" i="1" s="1"/>
  <c r="O14" i="1"/>
  <c r="P14" i="1" s="1"/>
  <c r="U14" i="1"/>
  <c r="Y14" i="1"/>
  <c r="Z14" i="1" s="1"/>
  <c r="O15" i="1"/>
  <c r="P15" i="1" s="1"/>
  <c r="U15" i="1"/>
  <c r="Y15" i="1"/>
  <c r="Z15" i="1" s="1"/>
  <c r="O16" i="1"/>
  <c r="P16" i="1" s="1"/>
  <c r="U16" i="1"/>
  <c r="Y16" i="1"/>
  <c r="Z16" i="1" s="1"/>
  <c r="O17" i="1"/>
  <c r="P17" i="1" s="1"/>
  <c r="U17" i="1"/>
  <c r="Y17" i="1"/>
  <c r="Z17" i="1" s="1"/>
  <c r="O19" i="1"/>
  <c r="P19" i="1" s="1"/>
  <c r="U19" i="1"/>
  <c r="Y19" i="1"/>
  <c r="Z19" i="1" s="1"/>
  <c r="O20" i="1"/>
  <c r="P20" i="1" s="1"/>
  <c r="U20" i="1"/>
  <c r="Y20" i="1"/>
  <c r="Z20" i="1" s="1"/>
  <c r="O21" i="1"/>
  <c r="P21" i="1" s="1"/>
  <c r="U21" i="1"/>
  <c r="Y21" i="1"/>
  <c r="Z21" i="1" s="1"/>
  <c r="O22" i="1"/>
  <c r="P22" i="1" s="1"/>
  <c r="U22" i="1"/>
  <c r="J10" i="1"/>
  <c r="K10" i="1" s="1"/>
  <c r="F11" i="1"/>
  <c r="J11" i="1"/>
  <c r="K11" i="1" s="1"/>
  <c r="F12" i="1"/>
  <c r="J12" i="1"/>
  <c r="K12" i="1" s="1"/>
  <c r="F13" i="1"/>
  <c r="J13" i="1"/>
  <c r="K13" i="1" s="1"/>
  <c r="F14" i="1"/>
  <c r="K14" i="1"/>
  <c r="F15" i="1"/>
  <c r="J15" i="1"/>
  <c r="K15" i="1" s="1"/>
  <c r="F16" i="1"/>
  <c r="J16" i="1"/>
  <c r="K16" i="1" s="1"/>
  <c r="F17" i="1"/>
  <c r="J17" i="1"/>
  <c r="K17" i="1" s="1"/>
  <c r="F19" i="1"/>
  <c r="J19" i="1"/>
  <c r="K19" i="1" s="1"/>
  <c r="F20" i="1"/>
  <c r="J20" i="1"/>
  <c r="K20" i="1" s="1"/>
  <c r="E21" i="1"/>
  <c r="F21" i="1" s="1"/>
  <c r="J21" i="1"/>
  <c r="K21" i="1" s="1"/>
  <c r="F22" i="1"/>
  <c r="J22" i="1"/>
  <c r="K22" i="1" s="1"/>
  <c r="Y22" i="1"/>
  <c r="Z22" i="1" s="1"/>
  <c r="O23" i="1"/>
  <c r="P23" i="1" s="1"/>
  <c r="U23" i="1"/>
  <c r="Y23" i="1"/>
  <c r="Z23" i="1" s="1"/>
  <c r="O25" i="1"/>
  <c r="P25" i="1" s="1"/>
  <c r="U25" i="1"/>
  <c r="Y25" i="1"/>
  <c r="Z25" i="1" s="1"/>
  <c r="O26" i="1"/>
  <c r="P26" i="1" s="1"/>
  <c r="U26" i="1"/>
  <c r="Y26" i="1"/>
  <c r="Z26" i="1" s="1"/>
  <c r="F23" i="1"/>
  <c r="J23" i="1"/>
  <c r="K23" i="1" s="1"/>
  <c r="F25" i="1"/>
  <c r="J25" i="1"/>
  <c r="K25" i="1" s="1"/>
  <c r="E26" i="1"/>
  <c r="F26" i="1" s="1"/>
  <c r="K26" i="1"/>
  <c r="Y24" i="2" l="1"/>
  <c r="X24" i="2" s="1"/>
  <c r="Y23" i="2"/>
  <c r="X23" i="2" s="1"/>
  <c r="Y22" i="2"/>
  <c r="X22" i="2" s="1"/>
  <c r="W20" i="2"/>
  <c r="W25" i="2" s="1"/>
  <c r="Y21" i="2"/>
  <c r="V20" i="2"/>
  <c r="Y19" i="2"/>
  <c r="X19" i="2" s="1"/>
  <c r="AC18" i="2"/>
  <c r="AE18" i="2" s="1"/>
  <c r="AD18" i="2" s="1"/>
  <c r="W18" i="2"/>
  <c r="Y18" i="2" s="1"/>
  <c r="X18" i="2" s="1"/>
  <c r="Y17" i="2"/>
  <c r="X17" i="2" s="1"/>
  <c r="Y16" i="2"/>
  <c r="X16" i="2" s="1"/>
  <c r="Y15" i="2"/>
  <c r="X15" i="2" s="1"/>
  <c r="Y14" i="2"/>
  <c r="X14" i="2" s="1"/>
  <c r="Y13" i="2"/>
  <c r="X13" i="2" s="1"/>
  <c r="Y12" i="2"/>
  <c r="X12" i="2" s="1"/>
  <c r="Y11" i="2"/>
  <c r="X11" i="2" s="1"/>
  <c r="AD21" i="2"/>
  <c r="AE20" i="2"/>
  <c r="AD20" i="2" s="1"/>
  <c r="S18" i="2"/>
  <c r="R18" i="2" s="1"/>
  <c r="AC25" i="2"/>
  <c r="Z25" i="2"/>
  <c r="AB10" i="2"/>
  <c r="V25" i="2"/>
  <c r="Y10" i="2"/>
  <c r="T25" i="2"/>
  <c r="S25" i="2"/>
  <c r="R10" i="2"/>
  <c r="Q25" i="2"/>
  <c r="Q26" i="2" s="1"/>
  <c r="M25" i="2"/>
  <c r="L10" i="2"/>
  <c r="G25" i="2"/>
  <c r="F10" i="2"/>
  <c r="X27" i="1"/>
  <c r="Y7" i="1"/>
  <c r="Y27" i="1" s="1"/>
  <c r="S27" i="1"/>
  <c r="T27" i="1"/>
  <c r="N27" i="1"/>
  <c r="O7" i="1"/>
  <c r="O27" i="1" s="1"/>
  <c r="K27" i="1"/>
  <c r="I89" i="1" s="1"/>
  <c r="J27" i="1"/>
  <c r="F28" i="1"/>
  <c r="F27" i="1"/>
  <c r="E28" i="1"/>
  <c r="E27" i="1"/>
  <c r="D89" i="1"/>
  <c r="E57" i="1"/>
  <c r="E89" i="1" l="1"/>
  <c r="J89" i="1"/>
  <c r="G26" i="2"/>
  <c r="F25" i="2"/>
  <c r="M26" i="2"/>
  <c r="L25" i="2"/>
  <c r="S26" i="2"/>
  <c r="R25" i="2"/>
  <c r="X10" i="2"/>
  <c r="W26" i="2"/>
  <c r="AB25" i="2"/>
  <c r="AC26" i="2" s="1"/>
  <c r="AE10" i="2"/>
  <c r="X21" i="2"/>
  <c r="X20" i="2" s="1"/>
  <c r="Y20" i="2"/>
  <c r="Y25" i="2" s="1"/>
  <c r="P7" i="1"/>
  <c r="P27" i="1" s="1"/>
  <c r="O89" i="1" s="1"/>
  <c r="U7" i="1"/>
  <c r="Z7" i="1"/>
  <c r="Z27" i="1" s="1"/>
  <c r="Y89" i="1" s="1"/>
  <c r="X89" i="1"/>
  <c r="N89" i="1" l="1"/>
  <c r="Y26" i="2"/>
  <c r="X25" i="2"/>
  <c r="AE25" i="2"/>
  <c r="AD10" i="2"/>
  <c r="U27" i="1"/>
  <c r="AE26" i="2" l="1"/>
  <c r="AD25" i="2"/>
  <c r="T89" i="1"/>
  <c r="S8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Ямщикова Ольга Ивановна</author>
  </authors>
  <commentList>
    <comment ref="Q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Ямщикова Ольга Ивановна:</t>
        </r>
        <r>
          <rPr>
            <sz val="9"/>
            <color indexed="81"/>
            <rFont val="Tahoma"/>
            <family val="2"/>
            <charset val="204"/>
          </rPr>
          <t xml:space="preserve">
+261т.р. Доп.2ед.</t>
        </r>
      </text>
    </comment>
    <comment ref="Q2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Ямщикова Ольга Ивановна:</t>
        </r>
        <r>
          <rPr>
            <sz val="9"/>
            <color indexed="81"/>
            <rFont val="Tahoma"/>
            <family val="2"/>
            <charset val="204"/>
          </rPr>
          <t xml:space="preserve">
+815т.р. Доп. 5ед.</t>
        </r>
      </text>
    </comment>
    <comment ref="Q2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Ямщикова Ольга Ивановна:</t>
        </r>
        <r>
          <rPr>
            <sz val="9"/>
            <color indexed="81"/>
            <rFont val="Tahoma"/>
            <family val="2"/>
            <charset val="204"/>
          </rPr>
          <t xml:space="preserve">
+468т.р. Доп. 2ед.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yamshikova.oi</author>
  </authors>
  <commentList>
    <comment ref="B2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yamshikova.oi:</t>
        </r>
        <r>
          <rPr>
            <sz val="9"/>
            <color indexed="81"/>
            <rFont val="Tahoma"/>
            <family val="2"/>
            <charset val="204"/>
          </rPr>
          <t xml:space="preserve">
+229т.р. ШКИ с 01.09.23г.
</t>
        </r>
      </text>
    </comment>
    <comment ref="C22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yamshikova.oi:</t>
        </r>
        <r>
          <rPr>
            <sz val="9"/>
            <color indexed="81"/>
            <rFont val="Tahoma"/>
            <family val="2"/>
            <charset val="204"/>
          </rPr>
          <t xml:space="preserve">
+43т.р. ШКИ с 01.07.23г.</t>
        </r>
      </text>
    </comment>
  </commentList>
</comments>
</file>

<file path=xl/sharedStrings.xml><?xml version="1.0" encoding="utf-8"?>
<sst xmlns="http://schemas.openxmlformats.org/spreadsheetml/2006/main" count="313" uniqueCount="183">
  <si>
    <t>тыс.руб.</t>
  </si>
  <si>
    <t>учреждение</t>
  </si>
  <si>
    <r>
      <t xml:space="preserve">Плановый ФОТ педагогических работников 2023 года с учетом дополнительных ассигнований и  </t>
    </r>
    <r>
      <rPr>
        <b/>
        <u/>
        <sz val="8"/>
        <rFont val="Times New Roman"/>
        <family val="1"/>
        <charset val="204"/>
      </rPr>
      <t>с  учетом планируемого увеличения окладов на 7%</t>
    </r>
  </si>
  <si>
    <r>
      <t xml:space="preserve">Плановый ФОТ педагогических работников 2023 года с учетом дополнительных ассигнований и  </t>
    </r>
    <r>
      <rPr>
        <b/>
        <u/>
        <sz val="8"/>
        <rFont val="Times New Roman"/>
        <family val="1"/>
        <charset val="204"/>
      </rPr>
      <t>с  учетом планируемого увеличения окладов на 15%</t>
    </r>
  </si>
  <si>
    <t>тарификация</t>
  </si>
  <si>
    <t>пед.работники штатное</t>
  </si>
  <si>
    <t xml:space="preserve">итого педработники </t>
  </si>
  <si>
    <t xml:space="preserve">стимулирующий фонд </t>
  </si>
  <si>
    <t xml:space="preserve">всего ФОТ пед.работников в 2023 г. </t>
  </si>
  <si>
    <t>тарификация +7%</t>
  </si>
  <si>
    <t>пед.работники штатное +7%</t>
  </si>
  <si>
    <t>итого педработники з/пл</t>
  </si>
  <si>
    <t>тарификация +10%</t>
  </si>
  <si>
    <t>пед.работники штатное +10%</t>
  </si>
  <si>
    <t>тарификация +15%</t>
  </si>
  <si>
    <t>пед.работники штатное +15%</t>
  </si>
  <si>
    <t xml:space="preserve">всего ФОТ пед.работников в 2019 г. </t>
  </si>
  <si>
    <t>Музыкальные школы</t>
  </si>
  <si>
    <t>МБУ ДО ДМШ № 3</t>
  </si>
  <si>
    <t>МБУ ДО ДМШ №4 им.Свердлова</t>
  </si>
  <si>
    <t>Школы искусств</t>
  </si>
  <si>
    <t xml:space="preserve"> МБУ ДО ДШИ ЦР</t>
  </si>
  <si>
    <t>МБУ ДОД ШИ "Лицей искусств"</t>
  </si>
  <si>
    <t>МБУ ДО ДШИ им. Балакирева</t>
  </si>
  <si>
    <t>МБУ ДО ДШИ № 1</t>
  </si>
  <si>
    <t>МБУ ДО ДШИ им.Свиридова</t>
  </si>
  <si>
    <t>МБУ ДО ДШИ Гармония</t>
  </si>
  <si>
    <t>МБУ ДО ДШИ Камертон</t>
  </si>
  <si>
    <t xml:space="preserve">МБУ ДО ДШИ "Форте" </t>
  </si>
  <si>
    <t>Художественные школы</t>
  </si>
  <si>
    <t>МБУ ДО ДХШ № 1</t>
  </si>
  <si>
    <t>МБУ ДО ДХШ им.Репина</t>
  </si>
  <si>
    <t>МБУ ДО ДХШ № 3</t>
  </si>
  <si>
    <t>МБУ ДО ДХШ им.Шагала</t>
  </si>
  <si>
    <t>Хореографическая школа</t>
  </si>
  <si>
    <t>ДК и Центры</t>
  </si>
  <si>
    <t xml:space="preserve">МБУ ДО ДДК </t>
  </si>
  <si>
    <t>МБУ ДО ЦТДиЮ "Истоки"</t>
  </si>
  <si>
    <t xml:space="preserve">Итого </t>
  </si>
  <si>
    <t>школы</t>
  </si>
  <si>
    <t>ФОТ педагогических работников (тарификация + штатное + стимулирующие)составляет</t>
  </si>
  <si>
    <r>
      <t>С изм по УПлану</t>
    </r>
    <r>
      <rPr>
        <sz val="12"/>
        <color theme="1"/>
        <rFont val="Times New Roman"/>
        <family val="2"/>
        <charset val="204"/>
      </rPr>
      <t>: муз.отд. 1,7 преп.ч., 0,4 конц.ч., театр.отд. 1,4 преп.ч., 0,2 конц.ч., хореограф.отд. 1 преп.ч., 0,3 конц.ч., худож.отд. 1</t>
    </r>
  </si>
  <si>
    <t>С изм. по контингенту:</t>
  </si>
  <si>
    <t>уменьшение контингента по общеразв.пр.</t>
  </si>
  <si>
    <t xml:space="preserve">   Гармония 4 худ., 1 хореограф., 7 муз.</t>
  </si>
  <si>
    <t xml:space="preserve">   Форте 13 худ., 14 музык.</t>
  </si>
  <si>
    <t xml:space="preserve">   Свиридова 3 музык., 1 худ.</t>
  </si>
  <si>
    <t xml:space="preserve">   ДШИ-1 10 муз.</t>
  </si>
  <si>
    <t xml:space="preserve">   ДМШ-4 театр.отд. -11 с 01.09.16, -11 с 01.09.17</t>
  </si>
  <si>
    <t xml:space="preserve">   Истоки театр. -20</t>
  </si>
  <si>
    <t>ТК ФГТ живопись 2 класс 10 чел. переведены на общеразвив.пр.</t>
  </si>
  <si>
    <t>Балакирева увелич.контингента 10 чел. общеразвив.муз.отд., 10 ФГТ дух.инстр., 10 народные</t>
  </si>
  <si>
    <t>Лицей искусств прием на ФГТ по заявке учреждения на 01.09.16 и на 01.09.17</t>
  </si>
  <si>
    <t>ДДК 60 театрал.отд. перевести на музык.отд.30, прием 30 хореографы</t>
  </si>
  <si>
    <t>ДМШ-4 ФГТ на 01.09.15 г. убрать на общеразвивающие программы: 139 муз., 15 театр.</t>
  </si>
  <si>
    <t>изменение ФОТ, УМЕНЬШЕН НА 7005 т.р. на штатное прочих работников</t>
  </si>
  <si>
    <t xml:space="preserve">ДШИ-1 ФГТ на 01.09.15 г. убратьна общеразвивающие программы: 40муз, 20 худож. </t>
  </si>
  <si>
    <t>Гармония ФГТ на 01.09.15 г. убратьна общеразвивающие программы: 25 муз., 14 хореографы</t>
  </si>
  <si>
    <t>Структура фонда</t>
  </si>
  <si>
    <t>Предусмотрено Едиными рекомендациями</t>
  </si>
  <si>
    <t>не менее 70%</t>
  </si>
  <si>
    <t>препод-ль</t>
  </si>
  <si>
    <t>10708-13845</t>
  </si>
  <si>
    <t>11458-14814</t>
  </si>
  <si>
    <t>11779-15230</t>
  </si>
  <si>
    <t>12314-15922</t>
  </si>
  <si>
    <t>концерт-р</t>
  </si>
  <si>
    <t>9344-12071</t>
  </si>
  <si>
    <t>9998-12916</t>
  </si>
  <si>
    <t>10278-13278</t>
  </si>
  <si>
    <t>10746-13882</t>
  </si>
  <si>
    <t>Ямщикова О.И. 543 112</t>
  </si>
  <si>
    <r>
      <t xml:space="preserve">Плановый ФОТ педагогических работников  2024 года  с учетом дополнительных ассигнований на выполнение Указов Президента РФ  </t>
    </r>
    <r>
      <rPr>
        <b/>
        <u/>
        <sz val="8"/>
        <rFont val="Times New Roman"/>
        <family val="1"/>
        <charset val="204"/>
      </rPr>
      <t>без учета планируемых изменений</t>
    </r>
  </si>
  <si>
    <r>
      <t xml:space="preserve">Плановый ФОТ педагогических работников 2024 года с учетом дополнительных ассигнований и  </t>
    </r>
    <r>
      <rPr>
        <b/>
        <u/>
        <sz val="8"/>
        <rFont val="Times New Roman"/>
        <family val="1"/>
        <charset val="204"/>
      </rPr>
      <t>с  учетом планируемого увеличения окладов на 10%</t>
    </r>
  </si>
  <si>
    <t>ФОТ +9,5%</t>
  </si>
  <si>
    <t>Плановый ФОТ 2022 год с учетом дополнительных средств согласно решению Думы от 23.11.2022 (КВР 111)</t>
  </si>
  <si>
    <r>
      <t xml:space="preserve">Плановый ФОТ  2023 года  учетом дополнительных ассигнований на выполнение Указа Президента РФ </t>
    </r>
    <r>
      <rPr>
        <b/>
        <u/>
        <sz val="12"/>
        <color theme="1"/>
        <rFont val="Times New Roman"/>
        <family val="1"/>
        <charset val="204"/>
      </rPr>
      <t>с учетом планируемого увеличения окладов на 15%</t>
    </r>
    <r>
      <rPr>
        <sz val="12"/>
        <color theme="1"/>
        <rFont val="Times New Roman"/>
        <family val="2"/>
        <charset val="204"/>
      </rPr>
      <t xml:space="preserve"> (КВР 111)</t>
    </r>
  </si>
  <si>
    <t>Всего по учреждению</t>
  </si>
  <si>
    <t>в том числе</t>
  </si>
  <si>
    <t>ФОТ руководителя в год</t>
  </si>
  <si>
    <t>ФОТ работников в год</t>
  </si>
  <si>
    <t xml:space="preserve">ФОТ руководителя в год </t>
  </si>
  <si>
    <t>ФОТ руководителя в год +10%</t>
  </si>
  <si>
    <t>ФОТ руководителя в год +15%</t>
  </si>
  <si>
    <t>Всего</t>
  </si>
  <si>
    <t xml:space="preserve">в том числе </t>
  </si>
  <si>
    <t>по окладам</t>
  </si>
  <si>
    <t>стимулирующие</t>
  </si>
  <si>
    <t xml:space="preserve">по окладам </t>
  </si>
  <si>
    <r>
      <t>по окладам +10</t>
    </r>
    <r>
      <rPr>
        <b/>
        <sz val="8"/>
        <color theme="1"/>
        <rFont val="Times New Roman"/>
        <family val="1"/>
        <charset val="204"/>
      </rPr>
      <t>%</t>
    </r>
  </si>
  <si>
    <r>
      <t>по окладам +15</t>
    </r>
    <r>
      <rPr>
        <b/>
        <sz val="8"/>
        <color theme="1"/>
        <rFont val="Times New Roman"/>
        <family val="1"/>
        <charset val="204"/>
      </rPr>
      <t>%</t>
    </r>
  </si>
  <si>
    <t>%  к окладам</t>
  </si>
  <si>
    <t>сумма</t>
  </si>
  <si>
    <t>МБУК "Тольяттинский краеведческий музей"</t>
  </si>
  <si>
    <t>МБУК ГМК "Наследие" (экомузей)</t>
  </si>
  <si>
    <t>МБУК "Тольяттинский художественный музей"</t>
  </si>
  <si>
    <t>МБУК "Библиотеки Тольятти"</t>
  </si>
  <si>
    <t>МБУК ОДБ</t>
  </si>
  <si>
    <t>МАУИ Драмтеатр "Колесо" им.Г.Б.Дроздова</t>
  </si>
  <si>
    <t>МБУИ "Тольяттинкий театр кукол"</t>
  </si>
  <si>
    <t>МБУИ МДТ</t>
  </si>
  <si>
    <t>МАУИ ТЮЗ "Дилижанс"</t>
  </si>
  <si>
    <t>МБУК ДЦ "Русич"</t>
  </si>
  <si>
    <t>МАУ КЦ "Автоград"</t>
  </si>
  <si>
    <t xml:space="preserve"> - культурно-досуговая деятельность</t>
  </si>
  <si>
    <t xml:space="preserve"> - библиотечная деятельность</t>
  </si>
  <si>
    <t>МАУ КДЦ "Буревестник"</t>
  </si>
  <si>
    <t>МАУК ПКИТ им.К.Г.Сахарова</t>
  </si>
  <si>
    <t>Итого</t>
  </si>
  <si>
    <t xml:space="preserve">Предусмотрено Едиными рекомендациями </t>
  </si>
  <si>
    <t>не менее 50%</t>
  </si>
  <si>
    <t>рук-ль бюджет</t>
  </si>
  <si>
    <t>рук-ль МАУ</t>
  </si>
  <si>
    <t>27750-41625</t>
  </si>
  <si>
    <t>30525-45788</t>
  </si>
  <si>
    <t>31913-47869</t>
  </si>
  <si>
    <t>работники</t>
  </si>
  <si>
    <t>8636-24550</t>
  </si>
  <si>
    <t>9500-27005</t>
  </si>
  <si>
    <t>10638-28233</t>
  </si>
  <si>
    <t>Расчет ФОТ после увеличения должностных окладов работников учреждений культуры и искусства, находящихся в ведомственном подчинении департамента культуры, в 2024 году</t>
  </si>
  <si>
    <r>
      <t xml:space="preserve">Плановый ФОТ  2024 года  с учетом дополнительных ассигнований на выполнение Указа Президента РФ  </t>
    </r>
    <r>
      <rPr>
        <b/>
        <u/>
        <sz val="12"/>
        <color theme="1"/>
        <rFont val="Times New Roman"/>
        <family val="1"/>
        <charset val="204"/>
      </rPr>
      <t xml:space="preserve">без учета планируемых изменений </t>
    </r>
    <r>
      <rPr>
        <sz val="12"/>
        <color theme="1"/>
        <rFont val="Times New Roman"/>
        <family val="2"/>
        <charset val="204"/>
      </rPr>
      <t>(КВР 111)</t>
    </r>
  </si>
  <si>
    <t xml:space="preserve"> +12,1% к первонач.ФОТ</t>
  </si>
  <si>
    <t>Руководитель учреждения</t>
  </si>
  <si>
    <t>Прочие работники (за исключением руководителя и педработников)</t>
  </si>
  <si>
    <t>стимулирующий фонд</t>
  </si>
  <si>
    <t>всего</t>
  </si>
  <si>
    <t xml:space="preserve">по окладу </t>
  </si>
  <si>
    <t>мат.помощь</t>
  </si>
  <si>
    <t>%</t>
  </si>
  <si>
    <t>средний %</t>
  </si>
  <si>
    <t>МБУ ДО МШ-3</t>
  </si>
  <si>
    <t>МБУ ДО МШ-4 им.Свердлова</t>
  </si>
  <si>
    <t>МБУ ДО ШИ ЦР</t>
  </si>
  <si>
    <t>МБУ ДО ШИ "Лицей искусств"</t>
  </si>
  <si>
    <t>МБУ ДО ДШИ им.Балакирева</t>
  </si>
  <si>
    <t>МБУ ДО ШИ-1</t>
  </si>
  <si>
    <t>МБУ ДО ШИ им.Свиридова</t>
  </si>
  <si>
    <t>МБУ ДО ДШИ "Камертон"</t>
  </si>
  <si>
    <t>МБУ ДО ДШИ "Гармония"</t>
  </si>
  <si>
    <t>МБУ ДО ДШИ "Форте"</t>
  </si>
  <si>
    <t>МБУ ДО ХШ-1</t>
  </si>
  <si>
    <t>МБУ ДО ХШ им.Репина</t>
  </si>
  <si>
    <t>МБУ ДО ДХШ-3</t>
  </si>
  <si>
    <t>МБУ ДО ХШ им.М.Шагала*</t>
  </si>
  <si>
    <t>МБУ ДО Хореографическая школа</t>
  </si>
  <si>
    <t>МБУ ДО ДДК</t>
  </si>
  <si>
    <t>МБУ ДО ЦРТДЮ "Истоки"</t>
  </si>
  <si>
    <t>Плановый ФОТ 2023 год по состоянию на 01.01.2023   (КВР 111)</t>
  </si>
  <si>
    <r>
      <t xml:space="preserve">по окладу </t>
    </r>
    <r>
      <rPr>
        <b/>
        <i/>
        <sz val="8"/>
        <color theme="1"/>
        <rFont val="Times New Roman"/>
        <family val="1"/>
        <charset val="204"/>
      </rPr>
      <t>+18,5%</t>
    </r>
  </si>
  <si>
    <r>
      <t xml:space="preserve">по окладу
</t>
    </r>
    <r>
      <rPr>
        <b/>
        <sz val="8"/>
        <color theme="1"/>
        <rFont val="Times New Roman"/>
        <family val="1"/>
        <charset val="204"/>
      </rPr>
      <t xml:space="preserve"> </t>
    </r>
    <r>
      <rPr>
        <b/>
        <i/>
        <sz val="8"/>
        <color theme="1"/>
        <rFont val="Times New Roman"/>
        <family val="1"/>
        <charset val="204"/>
      </rPr>
      <t>+ от 18,5% до 60%</t>
    </r>
  </si>
  <si>
    <t>Расчет ФОТ после увеличения должностных окладов прочих (непедагогических) работников учреждений дополнительного образования, находящихся в ведомственном подчинении департамента культуры, в 2024 году</t>
  </si>
  <si>
    <t xml:space="preserve">Расчет ФОТ после увеличения должностных окладов педагогических работников учреждений дополнительного образования, находящихся в ведомственном подчинении департамента культуры, в  2024 году  </t>
  </si>
  <si>
    <t>Плановый ФОТ 2023 год по состоянию на 01.01.2023 с учетом решения Думы от 08.02.2023  (КВР 111), тыс.руб.</t>
  </si>
  <si>
    <r>
      <t xml:space="preserve">Плановый ФОТ  2024 года  с учетом дополнительных ассигнований на увеличение МРОТ и индексацию на 18,5%  </t>
    </r>
    <r>
      <rPr>
        <b/>
        <i/>
        <u/>
        <sz val="10"/>
        <color theme="1"/>
        <rFont val="Times New Roman"/>
        <family val="1"/>
        <charset val="204"/>
      </rPr>
      <t>без учета планируемых изменений</t>
    </r>
    <r>
      <rPr>
        <sz val="10"/>
        <color theme="1"/>
        <rFont val="Times New Roman"/>
        <family val="2"/>
        <charset val="204"/>
      </rPr>
      <t xml:space="preserve"> (КВР 111), тыс.руб.</t>
    </r>
  </si>
  <si>
    <r>
      <t xml:space="preserve">Плановый ФОТ  2024 года  с учетом дополнительных ассигнований 
 </t>
    </r>
    <r>
      <rPr>
        <b/>
        <i/>
        <u/>
        <sz val="10"/>
        <color theme="1"/>
        <rFont val="Times New Roman"/>
        <family val="1"/>
        <charset val="204"/>
      </rPr>
      <t>с учетом индексации окладов на 18,5%</t>
    </r>
    <r>
      <rPr>
        <sz val="10"/>
        <color theme="1"/>
        <rFont val="Times New Roman"/>
        <family val="2"/>
        <charset val="204"/>
      </rPr>
      <t xml:space="preserve">   (КВР 111), тыс.руб.</t>
    </r>
  </si>
  <si>
    <r>
      <t xml:space="preserve">Плановый ФОТ  2024 года  с учетом дополнительных ассигнований 
</t>
    </r>
    <r>
      <rPr>
        <b/>
        <i/>
        <u/>
        <sz val="10"/>
        <color theme="1"/>
        <rFont val="Times New Roman"/>
        <family val="1"/>
        <charset val="204"/>
      </rPr>
      <t xml:space="preserve"> с учетом индексации окладов на 18,5%  и дополнительного увеличения окладов</t>
    </r>
    <r>
      <rPr>
        <sz val="10"/>
        <color theme="1"/>
        <rFont val="Times New Roman"/>
        <family val="2"/>
        <charset val="204"/>
      </rPr>
      <t xml:space="preserve"> (КВР 111), тыс.руб.</t>
    </r>
  </si>
  <si>
    <t>Дополнительные ассигнования на выполнение Указов Президента РФ</t>
  </si>
  <si>
    <t>ФОТ</t>
  </si>
  <si>
    <t>начисления на ФОТ 30,2%</t>
  </si>
  <si>
    <t>в т.ч. педагогических работников</t>
  </si>
  <si>
    <t>МБУ ДО ДМШ-3</t>
  </si>
  <si>
    <t>МБУ ДО ДМШ-4 им.В.М.Свердлова</t>
  </si>
  <si>
    <t>МБУ ДО ДШИ ЦР</t>
  </si>
  <si>
    <t>МБУ ДО ДШИ "Лицей искусств"</t>
  </si>
  <si>
    <t>МБУ ДО ДШИ им.М.А.Балакирева</t>
  </si>
  <si>
    <t>МБУ ДО ДШИ-1</t>
  </si>
  <si>
    <t>МБУ ДО ДШИ им.Г.В.Свиридова</t>
  </si>
  <si>
    <t>МБУ ДО ДХШ-1</t>
  </si>
  <si>
    <t>МБУ ДО ДХШ им.М.Шагала</t>
  </si>
  <si>
    <t>МБУ ДО Хореографическая школа им.М.М.Плисецкой</t>
  </si>
  <si>
    <t>Итого 0703 дополнит. образование</t>
  </si>
  <si>
    <t>МБУК" Библиотеки Тольятти"</t>
  </si>
  <si>
    <t>МБУИ "Тольяттинский театр кукол "</t>
  </si>
  <si>
    <t>МАУК ПКИТ им. К.Г.Сахарова</t>
  </si>
  <si>
    <t>ИТОГО культура</t>
  </si>
  <si>
    <t>ВСЕГО по ГРБС</t>
  </si>
  <si>
    <t>вм.ч.прочие работники</t>
  </si>
  <si>
    <t xml:space="preserve">Информация о дополнительных средствах на оплату труда работников муниципальных учреждений, находящихся в ведомственном подчинении департамента культуры, предусмотренных в бюджете городского округа Тольятти на 2024 год  </t>
  </si>
  <si>
    <t>Плановый ФОТ педагогических работников (списочный состав, внешние совместители, пед.деятельность АУП) 2023 года (без учета дополнительных средств на единовременную выплату в сентябре )</t>
  </si>
  <si>
    <r>
      <t xml:space="preserve">Плановый ФОТ  2024 года  учетом дополнительных ассигнований на выполнение Указа Президента РФ </t>
    </r>
    <r>
      <rPr>
        <b/>
        <u/>
        <sz val="12"/>
        <color theme="1"/>
        <rFont val="Times New Roman"/>
        <family val="1"/>
        <charset val="204"/>
      </rPr>
      <t>с учетом планируемого увеличения окладов на 10%</t>
    </r>
    <r>
      <rPr>
        <sz val="12"/>
        <color theme="1"/>
        <rFont val="Times New Roman"/>
        <family val="2"/>
        <charset val="204"/>
      </rPr>
      <t xml:space="preserve"> (КВР 111)</t>
    </r>
  </si>
  <si>
    <t xml:space="preserve">всего ФОТ пед.работников в 2024 г. </t>
  </si>
  <si>
    <t xml:space="preserve">Дополнительные асссигнования на увеличение МРОТ и индексацию на 18,5% с 01.01.2024  заработной платы работников муниципальных учрежденияй,  на которых не распространяется действие Указов  Президента РФ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</si>
</sst>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%"/>
    <numFmt numFmtId="166" formatCode="_-* #,##0,_р_._-;\-* #,##0,_р_._-;_-* &quot;- &quot;_р_._-;_-@_-"/>
    <numFmt numFmtId="167" formatCode="_-* #,##0.00,_р_._-;\-* #,##0.00,_р_._-;_-* \-??\ _р_._-;_-@_-"/>
    <numFmt numFmtId="168" formatCode="0.00000%"/>
  </numFmts>
  <fonts count="46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0"/>
      <name val="Times New Roman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8"/>
      <color theme="1"/>
      <name val="Times New Roman"/>
      <family val="2"/>
      <charset val="204"/>
    </font>
    <font>
      <b/>
      <sz val="8"/>
      <color theme="1"/>
      <name val="Times New Roman"/>
      <family val="1"/>
      <charset val="204"/>
    </font>
    <font>
      <sz val="8"/>
      <name val="Times New Roman Cyr"/>
      <charset val="204"/>
    </font>
    <font>
      <i/>
      <sz val="1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i/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 Cyr"/>
      <charset val="204"/>
    </font>
    <font>
      <i/>
      <sz val="6"/>
      <name val="Times New Roman Cyr"/>
      <charset val="204"/>
    </font>
    <font>
      <sz val="6"/>
      <name val="Times New Roman Cyr"/>
      <charset val="204"/>
    </font>
    <font>
      <i/>
      <sz val="8"/>
      <name val="Times New Roman Cyr"/>
      <charset val="204"/>
    </font>
    <font>
      <b/>
      <i/>
      <sz val="10"/>
      <name val="Times New Roman Cyr"/>
      <charset val="204"/>
    </font>
    <font>
      <b/>
      <i/>
      <sz val="8"/>
      <name val="Times New Roman Cyr"/>
      <charset val="204"/>
    </font>
    <font>
      <b/>
      <sz val="10"/>
      <name val="Times New Roman Cyr"/>
      <charset val="204"/>
    </font>
    <font>
      <sz val="8"/>
      <name val="Times New Roman Cyr"/>
      <family val="1"/>
      <charset val="204"/>
    </font>
    <font>
      <i/>
      <sz val="10"/>
      <name val="Times New Roman Cyr"/>
      <charset val="204"/>
    </font>
    <font>
      <b/>
      <sz val="8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" fillId="0" borderId="0"/>
    <xf numFmtId="0" fontId="1" fillId="0" borderId="0"/>
    <xf numFmtId="166" fontId="17" fillId="0" borderId="0" applyFill="0" applyBorder="0" applyAlignment="0" applyProtection="0"/>
    <xf numFmtId="167" fontId="17" fillId="0" borderId="0" applyFill="0" applyBorder="0" applyAlignment="0" applyProtection="0"/>
    <xf numFmtId="0" fontId="33" fillId="0" borderId="0"/>
    <xf numFmtId="0" fontId="17" fillId="0" borderId="0"/>
  </cellStyleXfs>
  <cellXfs count="196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vertical="center"/>
    </xf>
    <xf numFmtId="0" fontId="4" fillId="3" borderId="1" xfId="1" applyFont="1" applyFill="1" applyBorder="1" applyAlignment="1">
      <alignment vertical="center"/>
    </xf>
    <xf numFmtId="0" fontId="7" fillId="2" borderId="6" xfId="1" applyFont="1" applyFill="1" applyBorder="1" applyAlignment="1">
      <alignment horizontal="center" wrapText="1"/>
    </xf>
    <xf numFmtId="0" fontId="3" fillId="2" borderId="6" xfId="1" applyFont="1" applyFill="1" applyBorder="1" applyAlignment="1">
      <alignment horizontal="right"/>
    </xf>
    <xf numFmtId="0" fontId="3" fillId="2" borderId="7" xfId="1" applyFont="1" applyFill="1" applyBorder="1" applyAlignment="1">
      <alignment horizontal="right"/>
    </xf>
    <xf numFmtId="0" fontId="3" fillId="0" borderId="6" xfId="1" applyFont="1" applyBorder="1" applyAlignment="1">
      <alignment horizontal="right"/>
    </xf>
    <xf numFmtId="3" fontId="3" fillId="0" borderId="6" xfId="1" applyNumberFormat="1" applyFont="1" applyBorder="1" applyAlignment="1">
      <alignment horizontal="right"/>
    </xf>
    <xf numFmtId="3" fontId="7" fillId="0" borderId="6" xfId="1" applyNumberFormat="1" applyFont="1" applyBorder="1" applyAlignment="1">
      <alignment horizontal="right"/>
    </xf>
    <xf numFmtId="0" fontId="3" fillId="2" borderId="1" xfId="2" applyFont="1" applyFill="1" applyBorder="1" applyAlignment="1">
      <alignment horizontal="left" wrapText="1"/>
    </xf>
    <xf numFmtId="3" fontId="3" fillId="2" borderId="1" xfId="1" applyNumberFormat="1" applyFont="1" applyFill="1" applyBorder="1" applyAlignment="1">
      <alignment horizontal="right" wrapText="1"/>
    </xf>
    <xf numFmtId="3" fontId="3" fillId="2" borderId="2" xfId="1" applyNumberFormat="1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3" fillId="4" borderId="6" xfId="1" applyFont="1" applyFill="1" applyBorder="1" applyAlignment="1">
      <alignment horizontal="right"/>
    </xf>
    <xf numFmtId="0" fontId="8" fillId="0" borderId="0" xfId="1" applyFont="1"/>
    <xf numFmtId="0" fontId="3" fillId="2" borderId="1" xfId="1" applyFont="1" applyFill="1" applyBorder="1" applyAlignment="1">
      <alignment horizontal="left" wrapText="1"/>
    </xf>
    <xf numFmtId="0" fontId="7" fillId="2" borderId="1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6" xfId="1" applyNumberFormat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3" fontId="7" fillId="0" borderId="1" xfId="1" applyNumberFormat="1" applyFont="1" applyBorder="1" applyAlignment="1">
      <alignment horizontal="right"/>
    </xf>
    <xf numFmtId="0" fontId="1" fillId="2" borderId="0" xfId="1" applyFill="1"/>
    <xf numFmtId="0" fontId="7" fillId="2" borderId="1" xfId="2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 wrapText="1"/>
    </xf>
    <xf numFmtId="3" fontId="7" fillId="2" borderId="1" xfId="1" applyNumberFormat="1" applyFont="1" applyFill="1" applyBorder="1" applyAlignment="1">
      <alignment horizontal="right" wrapText="1"/>
    </xf>
    <xf numFmtId="3" fontId="7" fillId="2" borderId="1" xfId="1" applyNumberFormat="1" applyFont="1" applyFill="1" applyBorder="1" applyAlignment="1">
      <alignment horizontal="right"/>
    </xf>
    <xf numFmtId="0" fontId="7" fillId="0" borderId="1" xfId="1" applyFont="1" applyBorder="1"/>
    <xf numFmtId="3" fontId="7" fillId="0" borderId="1" xfId="1" applyNumberFormat="1" applyFont="1" applyBorder="1"/>
    <xf numFmtId="3" fontId="7" fillId="0" borderId="0" xfId="1" applyNumberFormat="1" applyFont="1"/>
    <xf numFmtId="0" fontId="9" fillId="0" borderId="0" xfId="1" applyFont="1"/>
    <xf numFmtId="0" fontId="3" fillId="0" borderId="0" xfId="1" applyFont="1" applyAlignment="1">
      <alignment horizontal="right" wrapText="1"/>
    </xf>
    <xf numFmtId="0" fontId="3" fillId="0" borderId="0" xfId="1" applyFont="1"/>
    <xf numFmtId="3" fontId="1" fillId="0" borderId="0" xfId="1" applyNumberFormat="1"/>
    <xf numFmtId="0" fontId="1" fillId="0" borderId="0" xfId="1" applyAlignment="1">
      <alignment horizontal="left" wrapText="1"/>
    </xf>
    <xf numFmtId="0" fontId="10" fillId="0" borderId="0" xfId="1" applyFont="1"/>
    <xf numFmtId="0" fontId="1" fillId="0" borderId="0" xfId="1" applyAlignment="1">
      <alignment horizontal="center"/>
    </xf>
    <xf numFmtId="0" fontId="11" fillId="0" borderId="0" xfId="1" applyFont="1"/>
    <xf numFmtId="165" fontId="12" fillId="0" borderId="0" xfId="1" applyNumberFormat="1" applyFont="1"/>
    <xf numFmtId="0" fontId="12" fillId="0" borderId="0" xfId="1" applyFont="1"/>
    <xf numFmtId="0" fontId="13" fillId="0" borderId="0" xfId="1" applyFont="1" applyAlignment="1">
      <alignment wrapText="1"/>
    </xf>
    <xf numFmtId="0" fontId="13" fillId="0" borderId="0" xfId="1" applyFont="1"/>
    <xf numFmtId="0" fontId="13" fillId="0" borderId="0" xfId="1" applyFont="1" applyAlignment="1">
      <alignment horizontal="right"/>
    </xf>
    <xf numFmtId="0" fontId="4" fillId="0" borderId="0" xfId="1" applyFont="1"/>
    <xf numFmtId="0" fontId="4" fillId="0" borderId="0" xfId="1" applyFont="1" applyAlignment="1">
      <alignment horizontal="right"/>
    </xf>
    <xf numFmtId="3" fontId="4" fillId="0" borderId="0" xfId="1" applyNumberFormat="1" applyFont="1"/>
    <xf numFmtId="0" fontId="14" fillId="0" borderId="0" xfId="0" applyFont="1"/>
    <xf numFmtId="0" fontId="1" fillId="0" borderId="0" xfId="1" applyAlignment="1">
      <alignment vertical="center"/>
    </xf>
    <xf numFmtId="0" fontId="1" fillId="5" borderId="0" xfId="1" applyFill="1"/>
    <xf numFmtId="1" fontId="1" fillId="0" borderId="0" xfId="1" applyNumberFormat="1" applyAlignment="1">
      <alignment horizontal="left"/>
    </xf>
    <xf numFmtId="0" fontId="20" fillId="0" borderId="7" xfId="1" applyFont="1" applyBorder="1" applyAlignment="1">
      <alignment horizontal="right" wrapText="1"/>
    </xf>
    <xf numFmtId="3" fontId="20" fillId="2" borderId="2" xfId="1" applyNumberFormat="1" applyFont="1" applyFill="1" applyBorder="1" applyAlignment="1">
      <alignment horizontal="right"/>
    </xf>
    <xf numFmtId="0" fontId="20" fillId="2" borderId="2" xfId="1" applyFont="1" applyFill="1" applyBorder="1" applyAlignment="1">
      <alignment horizontal="right"/>
    </xf>
    <xf numFmtId="0" fontId="23" fillId="0" borderId="1" xfId="0" applyFont="1" applyBorder="1" applyAlignment="1">
      <alignment horizontal="center" vertical="center" wrapText="1"/>
    </xf>
    <xf numFmtId="0" fontId="3" fillId="0" borderId="1" xfId="5" applyFont="1" applyBorder="1"/>
    <xf numFmtId="0" fontId="4" fillId="0" borderId="1" xfId="5" applyFont="1" applyBorder="1" applyAlignment="1">
      <alignment horizontal="right"/>
    </xf>
    <xf numFmtId="0" fontId="23" fillId="0" borderId="1" xfId="0" applyFont="1" applyBorder="1" applyAlignment="1">
      <alignment horizontal="right"/>
    </xf>
    <xf numFmtId="0" fontId="17" fillId="0" borderId="1" xfId="7" applyFont="1" applyBorder="1" applyAlignment="1">
      <alignment horizontal="left" vertical="center" wrapText="1"/>
    </xf>
    <xf numFmtId="0" fontId="25" fillId="0" borderId="1" xfId="7" applyFont="1" applyBorder="1" applyAlignment="1">
      <alignment horizontal="right" vertical="center" wrapText="1"/>
    </xf>
    <xf numFmtId="49" fontId="3" fillId="0" borderId="1" xfId="5" applyNumberFormat="1" applyFont="1" applyBorder="1" applyAlignment="1">
      <alignment horizontal="left"/>
    </xf>
    <xf numFmtId="49" fontId="26" fillId="0" borderId="1" xfId="5" applyNumberFormat="1" applyFont="1" applyBorder="1" applyAlignment="1">
      <alignment horizontal="left"/>
    </xf>
    <xf numFmtId="0" fontId="13" fillId="0" borderId="1" xfId="5" applyFont="1" applyBorder="1" applyAlignment="1">
      <alignment horizontal="right"/>
    </xf>
    <xf numFmtId="0" fontId="27" fillId="0" borderId="1" xfId="0" applyFont="1" applyBorder="1" applyAlignment="1">
      <alignment horizontal="right"/>
    </xf>
    <xf numFmtId="0" fontId="28" fillId="0" borderId="0" xfId="0" applyFont="1"/>
    <xf numFmtId="0" fontId="3" fillId="0" borderId="1" xfId="5" applyFont="1" applyBorder="1" applyAlignment="1">
      <alignment horizontal="left"/>
    </xf>
    <xf numFmtId="0" fontId="29" fillId="0" borderId="1" xfId="0" applyFont="1" applyBorder="1" applyAlignment="1">
      <alignment horizontal="right"/>
    </xf>
    <xf numFmtId="0" fontId="21" fillId="0" borderId="1" xfId="0" applyFont="1" applyBorder="1"/>
    <xf numFmtId="0" fontId="24" fillId="0" borderId="1" xfId="0" applyFont="1" applyBorder="1"/>
    <xf numFmtId="0" fontId="24" fillId="0" borderId="1" xfId="0" applyFont="1" applyBorder="1" applyAlignment="1">
      <alignment horizontal="right"/>
    </xf>
    <xf numFmtId="0" fontId="21" fillId="0" borderId="0" xfId="0" applyFont="1"/>
    <xf numFmtId="0" fontId="30" fillId="0" borderId="1" xfId="0" applyFont="1" applyBorder="1"/>
    <xf numFmtId="0" fontId="31" fillId="0" borderId="1" xfId="0" applyFont="1" applyBorder="1"/>
    <xf numFmtId="9" fontId="31" fillId="0" borderId="1" xfId="0" applyNumberFormat="1" applyFont="1" applyBorder="1"/>
    <xf numFmtId="165" fontId="31" fillId="0" borderId="1" xfId="0" applyNumberFormat="1" applyFont="1" applyBorder="1"/>
    <xf numFmtId="0" fontId="23" fillId="0" borderId="0" xfId="0" applyFont="1"/>
    <xf numFmtId="0" fontId="32" fillId="0" borderId="1" xfId="0" applyFont="1" applyBorder="1"/>
    <xf numFmtId="0" fontId="27" fillId="0" borderId="1" xfId="0" applyFont="1" applyBorder="1"/>
    <xf numFmtId="9" fontId="27" fillId="0" borderId="1" xfId="0" applyNumberFormat="1" applyFont="1" applyBorder="1"/>
    <xf numFmtId="165" fontId="27" fillId="0" borderId="1" xfId="0" applyNumberFormat="1" applyFont="1" applyBorder="1"/>
    <xf numFmtId="165" fontId="27" fillId="0" borderId="1" xfId="0" applyNumberFormat="1" applyFont="1" applyBorder="1" applyAlignment="1">
      <alignment horizontal="center"/>
    </xf>
    <xf numFmtId="0" fontId="29" fillId="0" borderId="0" xfId="0" applyFont="1"/>
    <xf numFmtId="0" fontId="30" fillId="0" borderId="0" xfId="0" applyFont="1"/>
    <xf numFmtId="0" fontId="31" fillId="0" borderId="0" xfId="0" applyFont="1"/>
    <xf numFmtId="9" fontId="31" fillId="0" borderId="0" xfId="0" applyNumberFormat="1" applyFont="1"/>
    <xf numFmtId="165" fontId="31" fillId="0" borderId="0" xfId="0" applyNumberFormat="1" applyFont="1"/>
    <xf numFmtId="0" fontId="27" fillId="0" borderId="0" xfId="0" applyFont="1"/>
    <xf numFmtId="165" fontId="31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0" fillId="0" borderId="0" xfId="0" applyAlignment="1">
      <alignment horizontal="left"/>
    </xf>
    <xf numFmtId="0" fontId="14" fillId="0" borderId="0" xfId="10" applyFont="1"/>
    <xf numFmtId="0" fontId="14" fillId="0" borderId="0" xfId="10" applyFont="1" applyAlignment="1">
      <alignment horizontal="right"/>
    </xf>
    <xf numFmtId="0" fontId="33" fillId="0" borderId="0" xfId="10"/>
    <xf numFmtId="0" fontId="33" fillId="0" borderId="0" xfId="10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0" fontId="23" fillId="0" borderId="1" xfId="10" applyFont="1" applyBorder="1" applyAlignment="1">
      <alignment horizontal="center" vertical="center" wrapText="1"/>
    </xf>
    <xf numFmtId="0" fontId="4" fillId="0" borderId="1" xfId="5" applyFont="1" applyBorder="1"/>
    <xf numFmtId="0" fontId="14" fillId="0" borderId="1" xfId="3" applyFont="1" applyBorder="1"/>
    <xf numFmtId="9" fontId="14" fillId="0" borderId="1" xfId="3" applyNumberFormat="1" applyFont="1" applyBorder="1"/>
    <xf numFmtId="168" fontId="23" fillId="0" borderId="1" xfId="3" applyNumberFormat="1" applyFont="1" applyBorder="1"/>
    <xf numFmtId="0" fontId="14" fillId="0" borderId="1" xfId="10" applyFont="1" applyBorder="1"/>
    <xf numFmtId="9" fontId="14" fillId="0" borderId="1" xfId="10" applyNumberFormat="1" applyFont="1" applyBorder="1"/>
    <xf numFmtId="168" fontId="23" fillId="0" borderId="1" xfId="10" applyNumberFormat="1" applyFont="1" applyBorder="1"/>
    <xf numFmtId="0" fontId="35" fillId="0" borderId="1" xfId="10" applyFont="1" applyBorder="1"/>
    <xf numFmtId="0" fontId="35" fillId="0" borderId="1" xfId="3" applyFont="1" applyBorder="1"/>
    <xf numFmtId="168" fontId="24" fillId="0" borderId="1" xfId="10" applyNumberFormat="1" applyFont="1" applyBorder="1"/>
    <xf numFmtId="0" fontId="21" fillId="0" borderId="0" xfId="10" applyFont="1"/>
    <xf numFmtId="0" fontId="17" fillId="0" borderId="0" xfId="11"/>
    <xf numFmtId="0" fontId="36" fillId="0" borderId="0" xfId="11" applyFont="1" applyAlignment="1">
      <alignment horizontal="center" vertical="center" wrapText="1"/>
    </xf>
    <xf numFmtId="0" fontId="17" fillId="0" borderId="1" xfId="7" applyFont="1" applyBorder="1" applyAlignment="1">
      <alignment horizontal="center" vertical="center" wrapText="1"/>
    </xf>
    <xf numFmtId="0" fontId="4" fillId="0" borderId="1" xfId="3" applyFont="1" applyBorder="1"/>
    <xf numFmtId="0" fontId="25" fillId="0" borderId="1" xfId="11" applyFont="1" applyBorder="1"/>
    <xf numFmtId="0" fontId="39" fillId="0" borderId="1" xfId="11" applyFont="1" applyBorder="1"/>
    <xf numFmtId="0" fontId="25" fillId="0" borderId="1" xfId="7" applyFont="1" applyBorder="1" applyAlignment="1">
      <alignment horizontal="right" vertical="center"/>
    </xf>
    <xf numFmtId="0" fontId="40" fillId="0" borderId="1" xfId="7" applyFont="1" applyBorder="1" applyAlignment="1">
      <alignment horizontal="center" vertical="center" wrapText="1"/>
    </xf>
    <xf numFmtId="0" fontId="12" fillId="0" borderId="1" xfId="3" applyFont="1" applyBorder="1"/>
    <xf numFmtId="0" fontId="41" fillId="0" borderId="1" xfId="7" applyFont="1" applyBorder="1" applyAlignment="1">
      <alignment vertical="center" wrapText="1"/>
    </xf>
    <xf numFmtId="0" fontId="42" fillId="0" borderId="0" xfId="11" applyFont="1"/>
    <xf numFmtId="0" fontId="43" fillId="0" borderId="1" xfId="7" applyFont="1" applyBorder="1" applyAlignment="1">
      <alignment horizontal="right" vertical="center"/>
    </xf>
    <xf numFmtId="0" fontId="25" fillId="0" borderId="1" xfId="7" applyFont="1" applyBorder="1" applyAlignment="1">
      <alignment horizontal="left" vertical="center" wrapText="1"/>
    </xf>
    <xf numFmtId="0" fontId="25" fillId="0" borderId="1" xfId="7" applyFont="1" applyBorder="1" applyAlignment="1">
      <alignment vertical="center" wrapText="1"/>
    </xf>
    <xf numFmtId="49" fontId="4" fillId="0" borderId="1" xfId="3" applyNumberFormat="1" applyFont="1" applyBorder="1" applyAlignment="1">
      <alignment horizontal="left"/>
    </xf>
    <xf numFmtId="0" fontId="13" fillId="0" borderId="1" xfId="3" applyFont="1" applyBorder="1"/>
    <xf numFmtId="0" fontId="44" fillId="0" borderId="1" xfId="7" applyFont="1" applyBorder="1" applyAlignment="1">
      <alignment horizontal="center" vertical="center" wrapText="1"/>
    </xf>
    <xf numFmtId="49" fontId="13" fillId="0" borderId="1" xfId="3" applyNumberFormat="1" applyFont="1" applyBorder="1" applyAlignment="1">
      <alignment horizontal="left"/>
    </xf>
    <xf numFmtId="0" fontId="39" fillId="0" borderId="1" xfId="7" applyFont="1" applyBorder="1" applyAlignment="1">
      <alignment horizontal="right" vertical="center"/>
    </xf>
    <xf numFmtId="0" fontId="39" fillId="0" borderId="1" xfId="7" applyFont="1" applyBorder="1" applyAlignment="1">
      <alignment horizontal="right" vertical="center" wrapText="1"/>
    </xf>
    <xf numFmtId="0" fontId="40" fillId="0" borderId="0" xfId="11" applyFont="1"/>
    <xf numFmtId="0" fontId="4" fillId="0" borderId="1" xfId="3" applyFont="1" applyBorder="1" applyAlignment="1">
      <alignment horizontal="left"/>
    </xf>
    <xf numFmtId="0" fontId="42" fillId="0" borderId="1" xfId="7" applyFont="1" applyBorder="1" applyAlignment="1">
      <alignment horizontal="center" vertical="center" wrapText="1"/>
    </xf>
    <xf numFmtId="0" fontId="41" fillId="0" borderId="1" xfId="7" applyFont="1" applyBorder="1" applyAlignment="1">
      <alignment horizontal="left" vertical="center" wrapText="1"/>
    </xf>
    <xf numFmtId="0" fontId="45" fillId="0" borderId="1" xfId="7" applyFont="1" applyBorder="1" applyAlignment="1">
      <alignment vertical="center" wrapText="1"/>
    </xf>
    <xf numFmtId="0" fontId="42" fillId="0" borderId="1" xfId="7" applyFont="1" applyBorder="1" applyAlignment="1">
      <alignment horizontal="left" vertical="center" wrapText="1"/>
    </xf>
    <xf numFmtId="0" fontId="25" fillId="0" borderId="0" xfId="11" applyFont="1"/>
    <xf numFmtId="3" fontId="17" fillId="0" borderId="0" xfId="11" applyNumberFormat="1"/>
    <xf numFmtId="0" fontId="21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 wrapText="1"/>
    </xf>
    <xf numFmtId="0" fontId="9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14" fillId="0" borderId="2" xfId="10" applyFont="1" applyBorder="1" applyAlignment="1">
      <alignment horizontal="center" vertical="center"/>
    </xf>
    <xf numFmtId="0" fontId="14" fillId="0" borderId="3" xfId="10" applyFont="1" applyBorder="1" applyAlignment="1">
      <alignment horizontal="center" vertical="center"/>
    </xf>
    <xf numFmtId="0" fontId="14" fillId="0" borderId="4" xfId="10" applyFont="1" applyBorder="1" applyAlignment="1">
      <alignment horizontal="center" vertical="center"/>
    </xf>
    <xf numFmtId="0" fontId="14" fillId="0" borderId="1" xfId="10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4" fillId="0" borderId="1" xfId="10" applyFont="1" applyBorder="1" applyAlignment="1">
      <alignment horizontal="center"/>
    </xf>
    <xf numFmtId="0" fontId="14" fillId="0" borderId="2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7" borderId="3" xfId="10" applyFont="1" applyFill="1" applyBorder="1" applyAlignment="1">
      <alignment horizontal="center" vertical="center" wrapText="1"/>
    </xf>
    <xf numFmtId="0" fontId="14" fillId="8" borderId="2" xfId="10" applyFont="1" applyFill="1" applyBorder="1" applyAlignment="1">
      <alignment horizontal="center" vertical="center" wrapText="1"/>
    </xf>
    <xf numFmtId="0" fontId="14" fillId="8" borderId="3" xfId="10" applyFont="1" applyFill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23" fillId="0" borderId="1" xfId="3" applyFont="1" applyBorder="1" applyAlignment="1">
      <alignment horizontal="center" vertical="center" wrapText="1"/>
    </xf>
    <xf numFmtId="0" fontId="23" fillId="0" borderId="1" xfId="10" applyFont="1" applyBorder="1" applyAlignment="1">
      <alignment horizontal="center" vertical="center" wrapText="1"/>
    </xf>
    <xf numFmtId="0" fontId="14" fillId="6" borderId="3" xfId="10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" wrapText="1"/>
    </xf>
    <xf numFmtId="0" fontId="37" fillId="0" borderId="5" xfId="11" applyFont="1" applyBorder="1" applyAlignment="1">
      <alignment horizontal="center" vertical="center" wrapText="1"/>
    </xf>
    <xf numFmtId="0" fontId="37" fillId="0" borderId="6" xfId="11" applyFont="1" applyBorder="1" applyAlignment="1">
      <alignment horizontal="center" vertical="center" wrapText="1"/>
    </xf>
    <xf numFmtId="0" fontId="38" fillId="0" borderId="1" xfId="11" applyFont="1" applyBorder="1" applyAlignment="1">
      <alignment horizontal="center" vertical="center" wrapText="1"/>
    </xf>
    <xf numFmtId="0" fontId="25" fillId="0" borderId="5" xfId="11" applyFont="1" applyBorder="1" applyAlignment="1">
      <alignment horizontal="center" vertical="center" wrapText="1"/>
    </xf>
    <xf numFmtId="0" fontId="25" fillId="0" borderId="6" xfId="11" applyFont="1" applyBorder="1" applyAlignment="1">
      <alignment horizontal="center" vertical="center" wrapText="1"/>
    </xf>
    <xf numFmtId="0" fontId="37" fillId="0" borderId="9" xfId="11" applyFont="1" applyBorder="1" applyAlignment="1">
      <alignment horizontal="center" vertical="center" wrapText="1"/>
    </xf>
    <xf numFmtId="0" fontId="37" fillId="0" borderId="10" xfId="11" applyFont="1" applyBorder="1" applyAlignment="1">
      <alignment horizontal="center" vertical="center" wrapText="1"/>
    </xf>
    <xf numFmtId="0" fontId="37" fillId="0" borderId="7" xfId="11" applyFont="1" applyBorder="1" applyAlignment="1">
      <alignment horizontal="center" vertical="center" wrapText="1"/>
    </xf>
    <xf numFmtId="0" fontId="37" fillId="0" borderId="11" xfId="11" applyFont="1" applyBorder="1" applyAlignment="1">
      <alignment horizontal="center" vertical="center" wrapText="1"/>
    </xf>
    <xf numFmtId="0" fontId="36" fillId="0" borderId="0" xfId="11" applyFont="1" applyAlignment="1">
      <alignment horizontal="center" vertical="center" wrapText="1"/>
    </xf>
    <xf numFmtId="0" fontId="25" fillId="0" borderId="1" xfId="7" applyFont="1" applyBorder="1" applyAlignment="1">
      <alignment horizontal="center" vertical="center" wrapText="1"/>
    </xf>
    <xf numFmtId="0" fontId="25" fillId="0" borderId="2" xfId="11" applyFont="1" applyBorder="1" applyAlignment="1">
      <alignment horizontal="center" vertical="center" wrapText="1"/>
    </xf>
    <xf numFmtId="0" fontId="25" fillId="0" borderId="3" xfId="11" applyFont="1" applyBorder="1" applyAlignment="1">
      <alignment horizontal="center" vertical="center" wrapText="1"/>
    </xf>
    <xf numFmtId="0" fontId="25" fillId="0" borderId="4" xfId="11" applyFont="1" applyBorder="1" applyAlignment="1">
      <alignment horizontal="center" vertical="center" wrapText="1"/>
    </xf>
    <xf numFmtId="0" fontId="25" fillId="0" borderId="1" xfId="11" applyFont="1" applyBorder="1" applyAlignment="1">
      <alignment horizontal="center" vertical="center" wrapText="1"/>
    </xf>
  </cellXfs>
  <cellStyles count="12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2 3" xfId="10" xr:uid="{00000000-0005-0000-0000-000003000000}"/>
    <cellStyle name="Обычный 3" xfId="1" xr:uid="{00000000-0005-0000-0000-000004000000}"/>
    <cellStyle name="Обычный 3 2" xfId="5" xr:uid="{00000000-0005-0000-0000-000005000000}"/>
    <cellStyle name="Обычный 4" xfId="6" xr:uid="{00000000-0005-0000-0000-000006000000}"/>
    <cellStyle name="Обычный_Бюджет 2000 091199" xfId="7" xr:uid="{00000000-0005-0000-0000-000007000000}"/>
    <cellStyle name="Обычный_Сведения о контингенте и штатах" xfId="2" xr:uid="{00000000-0005-0000-0000-000008000000}"/>
    <cellStyle name="Обычный_ФОТ при переходе на НСОТ" xfId="11" xr:uid="{00000000-0005-0000-0000-000009000000}"/>
    <cellStyle name="Тысячи [0]_ауп" xfId="8" xr:uid="{00000000-0005-0000-0000-00000A000000}"/>
    <cellStyle name="Тысячи_ауп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in/&#1052;&#1086;&#1080;%20&#1076;&#1086;&#1082;&#1091;&#1084;&#1077;&#1085;&#1090;&#1099;/&#1044;&#1077;&#1087;&#1072;&#1088;&#1090;&#1072;&#1084;&#1077;&#1085;&#1090;/&#1041;&#1102;&#1076;&#1078;&#1077;&#1090;%202009/Room809_002/&#1087;&#1088;&#1086;&#1077;&#1082;&#1090;%202002/&#1055;&#1088;&#1086;&#1075;&#1088;&#1072;&#1084;&#1084;&#1072;/&#1092;&#1080;&#1085;&#1072;&#1085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4"/>
  <sheetViews>
    <sheetView tabSelected="1" topLeftCell="D1" zoomScale="70" zoomScaleNormal="70" workbookViewId="0">
      <selection activeCell="X33" sqref="X33"/>
    </sheetView>
  </sheetViews>
  <sheetFormatPr defaultRowHeight="15.75" outlineLevelRow="1" outlineLevelCol="1" x14ac:dyDescent="0.25"/>
  <cols>
    <col min="1" max="1" width="33.25" customWidth="1"/>
    <col min="2" max="3" width="8" customWidth="1"/>
    <col min="4" max="4" width="7.375" customWidth="1"/>
    <col min="5" max="5" width="8" customWidth="1"/>
    <col min="6" max="6" width="5.25" customWidth="1"/>
    <col min="7" max="7" width="8" customWidth="1"/>
    <col min="8" max="8" width="8.125" hidden="1" customWidth="1" outlineLevel="1"/>
    <col min="9" max="9" width="7.375" hidden="1" customWidth="1" outlineLevel="1"/>
    <col min="10" max="10" width="7.875" hidden="1" customWidth="1" outlineLevel="1"/>
    <col min="11" max="11" width="7.375" hidden="1" customWidth="1" outlineLevel="1"/>
    <col min="12" max="12" width="5" hidden="1" customWidth="1" outlineLevel="1"/>
    <col min="13" max="13" width="7.625" hidden="1" customWidth="1" outlineLevel="1"/>
    <col min="14" max="14" width="8.5" customWidth="1" collapsed="1"/>
    <col min="15" max="15" width="7.75" customWidth="1"/>
    <col min="16" max="16" width="6.75" customWidth="1"/>
    <col min="17" max="17" width="7.75" customWidth="1"/>
    <col min="18" max="18" width="6.125" customWidth="1"/>
    <col min="19" max="19" width="7.625" customWidth="1"/>
    <col min="20" max="20" width="8.625" customWidth="1"/>
    <col min="21" max="21" width="8.125" customWidth="1"/>
    <col min="22" max="22" width="7.125" customWidth="1"/>
    <col min="23" max="23" width="8.125" customWidth="1"/>
    <col min="24" max="24" width="5.875" customWidth="1"/>
    <col min="25" max="25" width="7.25" customWidth="1"/>
    <col min="26" max="26" width="8.25" hidden="1" customWidth="1" outlineLevel="1"/>
    <col min="27" max="28" width="8.75" hidden="1" customWidth="1" outlineLevel="1"/>
    <col min="29" max="29" width="7.25" hidden="1" customWidth="1" outlineLevel="1"/>
    <col min="30" max="30" width="6.125" hidden="1" customWidth="1" outlineLevel="1"/>
    <col min="31" max="31" width="7.75" hidden="1" customWidth="1" outlineLevel="1"/>
    <col min="32" max="32" width="8.75" collapsed="1"/>
  </cols>
  <sheetData>
    <row r="1" spans="1:31" ht="36.4" customHeight="1" x14ac:dyDescent="0.25">
      <c r="B1" s="138" t="s">
        <v>120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</row>
    <row r="3" spans="1:31" x14ac:dyDescent="0.25">
      <c r="Y3" t="s">
        <v>0</v>
      </c>
    </row>
    <row r="4" spans="1:31" ht="76.900000000000006" customHeight="1" x14ac:dyDescent="0.25">
      <c r="A4" s="146"/>
      <c r="B4" s="149" t="s">
        <v>148</v>
      </c>
      <c r="C4" s="149"/>
      <c r="D4" s="149"/>
      <c r="E4" s="149"/>
      <c r="F4" s="149"/>
      <c r="G4" s="149"/>
      <c r="H4" s="149" t="s">
        <v>75</v>
      </c>
      <c r="I4" s="149"/>
      <c r="J4" s="149"/>
      <c r="K4" s="149"/>
      <c r="L4" s="149"/>
      <c r="M4" s="149"/>
      <c r="N4" s="140" t="s">
        <v>121</v>
      </c>
      <c r="O4" s="141"/>
      <c r="P4" s="141"/>
      <c r="Q4" s="141"/>
      <c r="R4" s="141"/>
      <c r="S4" s="142"/>
      <c r="T4" s="140" t="s">
        <v>180</v>
      </c>
      <c r="U4" s="141"/>
      <c r="V4" s="141"/>
      <c r="W4" s="141"/>
      <c r="X4" s="141"/>
      <c r="Y4" s="142"/>
      <c r="Z4" s="140" t="s">
        <v>76</v>
      </c>
      <c r="AA4" s="141"/>
      <c r="AB4" s="141"/>
      <c r="AC4" s="141"/>
      <c r="AD4" s="141"/>
      <c r="AE4" s="142"/>
    </row>
    <row r="5" spans="1:31" ht="15.6" customHeight="1" x14ac:dyDescent="0.25">
      <c r="A5" s="147"/>
      <c r="B5" s="139" t="s">
        <v>77</v>
      </c>
      <c r="C5" s="139" t="s">
        <v>78</v>
      </c>
      <c r="D5" s="139"/>
      <c r="E5" s="139"/>
      <c r="F5" s="139"/>
      <c r="G5" s="139"/>
      <c r="H5" s="139" t="s">
        <v>77</v>
      </c>
      <c r="I5" s="139" t="s">
        <v>78</v>
      </c>
      <c r="J5" s="139"/>
      <c r="K5" s="139"/>
      <c r="L5" s="139"/>
      <c r="M5" s="139"/>
      <c r="N5" s="139" t="s">
        <v>77</v>
      </c>
      <c r="O5" s="139" t="s">
        <v>78</v>
      </c>
      <c r="P5" s="139"/>
      <c r="Q5" s="139"/>
      <c r="R5" s="139"/>
      <c r="S5" s="139"/>
      <c r="T5" s="139" t="s">
        <v>77</v>
      </c>
      <c r="U5" s="139" t="s">
        <v>78</v>
      </c>
      <c r="V5" s="139"/>
      <c r="W5" s="139"/>
      <c r="X5" s="139"/>
      <c r="Y5" s="139"/>
      <c r="Z5" s="139" t="s">
        <v>77</v>
      </c>
      <c r="AA5" s="139" t="s">
        <v>78</v>
      </c>
      <c r="AB5" s="139"/>
      <c r="AC5" s="139"/>
      <c r="AD5" s="139"/>
      <c r="AE5" s="139"/>
    </row>
    <row r="6" spans="1:31" ht="21" customHeight="1" x14ac:dyDescent="0.25">
      <c r="A6" s="147"/>
      <c r="B6" s="139"/>
      <c r="C6" s="143" t="s">
        <v>79</v>
      </c>
      <c r="D6" s="139" t="s">
        <v>80</v>
      </c>
      <c r="E6" s="139"/>
      <c r="F6" s="139"/>
      <c r="G6" s="139"/>
      <c r="H6" s="139"/>
      <c r="I6" s="143" t="s">
        <v>79</v>
      </c>
      <c r="J6" s="139" t="s">
        <v>80</v>
      </c>
      <c r="K6" s="139"/>
      <c r="L6" s="139"/>
      <c r="M6" s="139"/>
      <c r="N6" s="139"/>
      <c r="O6" s="139" t="s">
        <v>81</v>
      </c>
      <c r="P6" s="139" t="s">
        <v>80</v>
      </c>
      <c r="Q6" s="139"/>
      <c r="R6" s="139"/>
      <c r="S6" s="139"/>
      <c r="T6" s="139"/>
      <c r="U6" s="139" t="s">
        <v>82</v>
      </c>
      <c r="V6" s="139" t="s">
        <v>80</v>
      </c>
      <c r="W6" s="139"/>
      <c r="X6" s="139"/>
      <c r="Y6" s="139"/>
      <c r="Z6" s="139"/>
      <c r="AA6" s="139" t="s">
        <v>83</v>
      </c>
      <c r="AB6" s="139" t="s">
        <v>80</v>
      </c>
      <c r="AC6" s="139"/>
      <c r="AD6" s="139"/>
      <c r="AE6" s="139"/>
    </row>
    <row r="7" spans="1:31" ht="21" customHeight="1" x14ac:dyDescent="0.25">
      <c r="A7" s="147"/>
      <c r="B7" s="139"/>
      <c r="C7" s="144"/>
      <c r="D7" s="139" t="s">
        <v>84</v>
      </c>
      <c r="E7" s="139" t="s">
        <v>85</v>
      </c>
      <c r="F7" s="139"/>
      <c r="G7" s="139"/>
      <c r="H7" s="139"/>
      <c r="I7" s="144"/>
      <c r="J7" s="139" t="s">
        <v>84</v>
      </c>
      <c r="K7" s="139" t="s">
        <v>85</v>
      </c>
      <c r="L7" s="139"/>
      <c r="M7" s="139"/>
      <c r="N7" s="139"/>
      <c r="O7" s="139"/>
      <c r="P7" s="139" t="s">
        <v>84</v>
      </c>
      <c r="Q7" s="139" t="s">
        <v>85</v>
      </c>
      <c r="R7" s="139"/>
      <c r="S7" s="139"/>
      <c r="T7" s="139"/>
      <c r="U7" s="139"/>
      <c r="V7" s="139" t="s">
        <v>84</v>
      </c>
      <c r="W7" s="139" t="s">
        <v>85</v>
      </c>
      <c r="X7" s="139"/>
      <c r="Y7" s="139"/>
      <c r="Z7" s="139"/>
      <c r="AA7" s="139"/>
      <c r="AB7" s="139" t="s">
        <v>84</v>
      </c>
      <c r="AC7" s="139" t="s">
        <v>85</v>
      </c>
      <c r="AD7" s="139"/>
      <c r="AE7" s="139"/>
    </row>
    <row r="8" spans="1:31" ht="21" customHeight="1" x14ac:dyDescent="0.25">
      <c r="A8" s="147"/>
      <c r="B8" s="139"/>
      <c r="C8" s="144"/>
      <c r="D8" s="139"/>
      <c r="E8" s="139" t="s">
        <v>86</v>
      </c>
      <c r="F8" s="139" t="s">
        <v>87</v>
      </c>
      <c r="G8" s="139"/>
      <c r="H8" s="139"/>
      <c r="I8" s="144"/>
      <c r="J8" s="139"/>
      <c r="K8" s="139" t="s">
        <v>86</v>
      </c>
      <c r="L8" s="139" t="s">
        <v>87</v>
      </c>
      <c r="M8" s="139"/>
      <c r="N8" s="139"/>
      <c r="O8" s="139"/>
      <c r="P8" s="139"/>
      <c r="Q8" s="139" t="s">
        <v>88</v>
      </c>
      <c r="R8" s="139" t="s">
        <v>87</v>
      </c>
      <c r="S8" s="139"/>
      <c r="T8" s="139"/>
      <c r="U8" s="139"/>
      <c r="V8" s="139"/>
      <c r="W8" s="139" t="s">
        <v>89</v>
      </c>
      <c r="X8" s="139" t="s">
        <v>87</v>
      </c>
      <c r="Y8" s="139"/>
      <c r="Z8" s="139"/>
      <c r="AA8" s="139"/>
      <c r="AB8" s="139"/>
      <c r="AC8" s="139" t="s">
        <v>90</v>
      </c>
      <c r="AD8" s="139" t="s">
        <v>87</v>
      </c>
      <c r="AE8" s="139"/>
    </row>
    <row r="9" spans="1:31" ht="30" customHeight="1" x14ac:dyDescent="0.25">
      <c r="A9" s="148"/>
      <c r="B9" s="139"/>
      <c r="C9" s="145"/>
      <c r="D9" s="139"/>
      <c r="E9" s="139"/>
      <c r="F9" s="57" t="s">
        <v>91</v>
      </c>
      <c r="G9" s="57" t="s">
        <v>92</v>
      </c>
      <c r="H9" s="139"/>
      <c r="I9" s="145"/>
      <c r="J9" s="139"/>
      <c r="K9" s="139"/>
      <c r="L9" s="57" t="s">
        <v>91</v>
      </c>
      <c r="M9" s="57" t="s">
        <v>92</v>
      </c>
      <c r="N9" s="139"/>
      <c r="O9" s="139"/>
      <c r="P9" s="139"/>
      <c r="Q9" s="139"/>
      <c r="R9" s="57" t="s">
        <v>91</v>
      </c>
      <c r="S9" s="57" t="s">
        <v>92</v>
      </c>
      <c r="T9" s="139"/>
      <c r="U9" s="139"/>
      <c r="V9" s="139"/>
      <c r="W9" s="139"/>
      <c r="X9" s="57" t="s">
        <v>91</v>
      </c>
      <c r="Y9" s="57" t="s">
        <v>92</v>
      </c>
      <c r="Z9" s="139"/>
      <c r="AA9" s="139"/>
      <c r="AB9" s="139"/>
      <c r="AC9" s="139"/>
      <c r="AD9" s="57" t="s">
        <v>91</v>
      </c>
      <c r="AE9" s="57" t="s">
        <v>92</v>
      </c>
    </row>
    <row r="10" spans="1:31" x14ac:dyDescent="0.25">
      <c r="A10" s="58" t="s">
        <v>93</v>
      </c>
      <c r="B10" s="59">
        <v>18131</v>
      </c>
      <c r="C10" s="60">
        <v>725</v>
      </c>
      <c r="D10" s="60">
        <f t="shared" ref="D10:D19" si="0">B10-C10</f>
        <v>17406</v>
      </c>
      <c r="E10" s="60">
        <f>1971+6460</f>
        <v>8431</v>
      </c>
      <c r="F10" s="60">
        <f>ROUND(G10/E10*100,1)</f>
        <v>106.5</v>
      </c>
      <c r="G10" s="60">
        <f>D10-E10</f>
        <v>8975</v>
      </c>
      <c r="H10" s="59">
        <v>16006000</v>
      </c>
      <c r="I10" s="60">
        <v>658627</v>
      </c>
      <c r="J10" s="60">
        <f t="shared" ref="J10:J19" si="1">H10-I10</f>
        <v>15347373</v>
      </c>
      <c r="K10" s="60">
        <v>7664784</v>
      </c>
      <c r="L10" s="60">
        <f>ROUND(M10/K10*100,1)</f>
        <v>100.2</v>
      </c>
      <c r="M10" s="60">
        <f>J10-K10</f>
        <v>7682589</v>
      </c>
      <c r="N10" s="59">
        <v>20125</v>
      </c>
      <c r="O10" s="60">
        <v>725</v>
      </c>
      <c r="P10" s="60">
        <f t="shared" ref="P10:P19" si="2">N10-O10</f>
        <v>19400</v>
      </c>
      <c r="Q10" s="60">
        <f>1971+6460</f>
        <v>8431</v>
      </c>
      <c r="R10" s="60">
        <f>ROUND(S10/Q10*100,1)</f>
        <v>130.1</v>
      </c>
      <c r="S10" s="60">
        <f>P10-Q10</f>
        <v>10969</v>
      </c>
      <c r="T10" s="59">
        <f>N10</f>
        <v>20125</v>
      </c>
      <c r="U10" s="60">
        <f>ROUND(O10*1.1,0)</f>
        <v>798</v>
      </c>
      <c r="V10" s="60">
        <f>T10-U10</f>
        <v>19327</v>
      </c>
      <c r="W10" s="60">
        <f>ROUND(Q10*1.1,0)</f>
        <v>9274</v>
      </c>
      <c r="X10" s="60">
        <f>ROUND(Y10/W10*100,1)</f>
        <v>108.4</v>
      </c>
      <c r="Y10" s="60">
        <f>V10-W10</f>
        <v>10053</v>
      </c>
      <c r="Z10" s="59">
        <f>T10</f>
        <v>20125</v>
      </c>
      <c r="AA10" s="60">
        <f>ROUND(O10*1.15,0)</f>
        <v>834</v>
      </c>
      <c r="AB10" s="60">
        <f>Z10-AA10</f>
        <v>19291</v>
      </c>
      <c r="AC10" s="60">
        <f>ROUND(Q10*1.15,0)</f>
        <v>9696</v>
      </c>
      <c r="AD10" s="60">
        <f>ROUND(AE10/AC10*100,1)</f>
        <v>99</v>
      </c>
      <c r="AE10" s="60">
        <f>AB10-AC10</f>
        <v>9595</v>
      </c>
    </row>
    <row r="11" spans="1:31" x14ac:dyDescent="0.25">
      <c r="A11" s="58" t="s">
        <v>94</v>
      </c>
      <c r="B11" s="59">
        <v>4731</v>
      </c>
      <c r="C11" s="60">
        <v>675</v>
      </c>
      <c r="D11" s="60">
        <f t="shared" si="0"/>
        <v>4056</v>
      </c>
      <c r="E11" s="60">
        <f>465+1664</f>
        <v>2129</v>
      </c>
      <c r="F11" s="60">
        <f t="shared" ref="F11:F20" si="3">ROUND(G11/E11*100,1)</f>
        <v>90.5</v>
      </c>
      <c r="G11" s="60">
        <f t="shared" ref="G11:G19" si="4">D11-E11</f>
        <v>1927</v>
      </c>
      <c r="H11" s="59">
        <v>4175000</v>
      </c>
      <c r="I11" s="60">
        <v>613721</v>
      </c>
      <c r="J11" s="60">
        <f t="shared" si="1"/>
        <v>3561279</v>
      </c>
      <c r="K11" s="60">
        <v>1935504</v>
      </c>
      <c r="L11" s="60">
        <f t="shared" ref="L11:L25" si="5">ROUND(M11/K11*100,1)</f>
        <v>84</v>
      </c>
      <c r="M11" s="60">
        <f t="shared" ref="M11:M24" si="6">J11-K11</f>
        <v>1625775</v>
      </c>
      <c r="N11" s="59">
        <v>5250</v>
      </c>
      <c r="O11" s="60">
        <v>675</v>
      </c>
      <c r="P11" s="60">
        <f t="shared" si="2"/>
        <v>4575</v>
      </c>
      <c r="Q11" s="60">
        <f>465+1664</f>
        <v>2129</v>
      </c>
      <c r="R11" s="60">
        <f t="shared" ref="R11:R20" si="7">ROUND(S11/Q11*100,1)</f>
        <v>114.9</v>
      </c>
      <c r="S11" s="60">
        <f t="shared" ref="S11:S19" si="8">P11-Q11</f>
        <v>2446</v>
      </c>
      <c r="T11" s="59">
        <f t="shared" ref="T11:T24" si="9">N11</f>
        <v>5250</v>
      </c>
      <c r="U11" s="60">
        <f t="shared" ref="U11:U19" si="10">ROUND(O11*1.1,0)</f>
        <v>743</v>
      </c>
      <c r="V11" s="60">
        <f t="shared" ref="V11:V24" si="11">T11-U11</f>
        <v>4507</v>
      </c>
      <c r="W11" s="60">
        <f t="shared" ref="W11:W19" si="12">ROUND(Q11*1.1,0)</f>
        <v>2342</v>
      </c>
      <c r="X11" s="60">
        <f t="shared" ref="X11:X25" si="13">ROUND(Y11/W11*100,1)</f>
        <v>92.4</v>
      </c>
      <c r="Y11" s="60">
        <f t="shared" ref="Y11:Y24" si="14">V11-W11</f>
        <v>2165</v>
      </c>
      <c r="Z11" s="59">
        <f t="shared" ref="Z11:Z24" si="15">T11</f>
        <v>5250</v>
      </c>
      <c r="AA11" s="60">
        <f t="shared" ref="AA11:AA24" si="16">ROUND(O11*1.15,0)</f>
        <v>776</v>
      </c>
      <c r="AB11" s="60">
        <f t="shared" ref="AB11:AB19" si="17">Z11-AA11</f>
        <v>4474</v>
      </c>
      <c r="AC11" s="60">
        <f t="shared" ref="AC11:AC24" si="18">ROUND(Q11*1.15,0)</f>
        <v>2448</v>
      </c>
      <c r="AD11" s="60">
        <f t="shared" ref="AD11:AD20" si="19">ROUND(AE11/AC11*100,1)</f>
        <v>82.8</v>
      </c>
      <c r="AE11" s="60">
        <f t="shared" ref="AE11:AE19" si="20">AB11-AC11</f>
        <v>2026</v>
      </c>
    </row>
    <row r="12" spans="1:31" x14ac:dyDescent="0.25">
      <c r="A12" s="58" t="s">
        <v>95</v>
      </c>
      <c r="B12" s="59">
        <v>10155</v>
      </c>
      <c r="C12" s="60">
        <v>675</v>
      </c>
      <c r="D12" s="60">
        <f t="shared" si="0"/>
        <v>9480</v>
      </c>
      <c r="E12" s="60">
        <f>836+3559+148</f>
        <v>4543</v>
      </c>
      <c r="F12" s="60">
        <f t="shared" si="3"/>
        <v>108.7</v>
      </c>
      <c r="G12" s="60">
        <f t="shared" si="4"/>
        <v>4937</v>
      </c>
      <c r="H12" s="59">
        <v>8963000</v>
      </c>
      <c r="I12" s="60">
        <v>613721</v>
      </c>
      <c r="J12" s="60">
        <f t="shared" si="1"/>
        <v>8349279</v>
      </c>
      <c r="K12" s="60">
        <v>4129854</v>
      </c>
      <c r="L12" s="60">
        <f t="shared" si="5"/>
        <v>102.2</v>
      </c>
      <c r="M12" s="60">
        <f t="shared" si="6"/>
        <v>4219425</v>
      </c>
      <c r="N12" s="59">
        <v>11271</v>
      </c>
      <c r="O12" s="60">
        <v>675</v>
      </c>
      <c r="P12" s="60">
        <f t="shared" si="2"/>
        <v>10596</v>
      </c>
      <c r="Q12" s="60">
        <f>836+3559+148</f>
        <v>4543</v>
      </c>
      <c r="R12" s="60">
        <f t="shared" si="7"/>
        <v>133.19999999999999</v>
      </c>
      <c r="S12" s="60">
        <f t="shared" si="8"/>
        <v>6053</v>
      </c>
      <c r="T12" s="59">
        <f t="shared" si="9"/>
        <v>11271</v>
      </c>
      <c r="U12" s="60">
        <f t="shared" si="10"/>
        <v>743</v>
      </c>
      <c r="V12" s="60">
        <f t="shared" si="11"/>
        <v>10528</v>
      </c>
      <c r="W12" s="60">
        <f t="shared" si="12"/>
        <v>4997</v>
      </c>
      <c r="X12" s="60">
        <f t="shared" si="13"/>
        <v>110.7</v>
      </c>
      <c r="Y12" s="60">
        <f t="shared" si="14"/>
        <v>5531</v>
      </c>
      <c r="Z12" s="59">
        <f t="shared" si="15"/>
        <v>11271</v>
      </c>
      <c r="AA12" s="60">
        <f t="shared" si="16"/>
        <v>776</v>
      </c>
      <c r="AB12" s="60">
        <f t="shared" si="17"/>
        <v>10495</v>
      </c>
      <c r="AC12" s="60">
        <f t="shared" si="18"/>
        <v>5224</v>
      </c>
      <c r="AD12" s="60">
        <f t="shared" si="19"/>
        <v>100.9</v>
      </c>
      <c r="AE12" s="60">
        <f t="shared" si="20"/>
        <v>5271</v>
      </c>
    </row>
    <row r="13" spans="1:31" x14ac:dyDescent="0.25">
      <c r="A13" s="61" t="s">
        <v>96</v>
      </c>
      <c r="B13" s="62">
        <v>76329</v>
      </c>
      <c r="C13" s="60">
        <v>725</v>
      </c>
      <c r="D13" s="60">
        <f t="shared" si="0"/>
        <v>75604</v>
      </c>
      <c r="E13" s="60">
        <f>2829+40934+148</f>
        <v>43911</v>
      </c>
      <c r="F13" s="60">
        <f t="shared" si="3"/>
        <v>72.2</v>
      </c>
      <c r="G13" s="60">
        <f t="shared" si="4"/>
        <v>31693</v>
      </c>
      <c r="H13" s="62">
        <v>67393000</v>
      </c>
      <c r="I13" s="60">
        <v>658627</v>
      </c>
      <c r="J13" s="60">
        <f t="shared" si="1"/>
        <v>66734373</v>
      </c>
      <c r="K13" s="60">
        <v>39918702</v>
      </c>
      <c r="L13" s="60">
        <f t="shared" si="5"/>
        <v>67.2</v>
      </c>
      <c r="M13" s="60">
        <f t="shared" si="6"/>
        <v>26815671</v>
      </c>
      <c r="N13" s="62">
        <v>84710</v>
      </c>
      <c r="O13" s="60">
        <v>725</v>
      </c>
      <c r="P13" s="60">
        <f t="shared" si="2"/>
        <v>83985</v>
      </c>
      <c r="Q13" s="60">
        <f>2829+40934+148</f>
        <v>43911</v>
      </c>
      <c r="R13" s="60">
        <f t="shared" si="7"/>
        <v>91.3</v>
      </c>
      <c r="S13" s="60">
        <f t="shared" si="8"/>
        <v>40074</v>
      </c>
      <c r="T13" s="59">
        <f t="shared" si="9"/>
        <v>84710</v>
      </c>
      <c r="U13" s="60">
        <f t="shared" si="10"/>
        <v>798</v>
      </c>
      <c r="V13" s="60">
        <f t="shared" si="11"/>
        <v>83912</v>
      </c>
      <c r="W13" s="60">
        <f t="shared" si="12"/>
        <v>48302</v>
      </c>
      <c r="X13" s="60">
        <f t="shared" si="13"/>
        <v>73.7</v>
      </c>
      <c r="Y13" s="60">
        <f t="shared" si="14"/>
        <v>35610</v>
      </c>
      <c r="Z13" s="59">
        <f t="shared" si="15"/>
        <v>84710</v>
      </c>
      <c r="AA13" s="60">
        <f t="shared" si="16"/>
        <v>834</v>
      </c>
      <c r="AB13" s="60">
        <f t="shared" si="17"/>
        <v>83876</v>
      </c>
      <c r="AC13" s="60">
        <f t="shared" si="18"/>
        <v>50498</v>
      </c>
      <c r="AD13" s="60">
        <f t="shared" si="19"/>
        <v>66.099999999999994</v>
      </c>
      <c r="AE13" s="60">
        <f t="shared" si="20"/>
        <v>33378</v>
      </c>
    </row>
    <row r="14" spans="1:31" x14ac:dyDescent="0.25">
      <c r="A14" s="61" t="s">
        <v>97</v>
      </c>
      <c r="B14" s="62">
        <v>35626</v>
      </c>
      <c r="C14" s="60">
        <v>675</v>
      </c>
      <c r="D14" s="60">
        <f t="shared" si="0"/>
        <v>34951</v>
      </c>
      <c r="E14" s="60">
        <f>2266+17937+122</f>
        <v>20325</v>
      </c>
      <c r="F14" s="60">
        <f t="shared" si="3"/>
        <v>72</v>
      </c>
      <c r="G14" s="60">
        <f t="shared" si="4"/>
        <v>14626</v>
      </c>
      <c r="H14" s="62">
        <v>31449000</v>
      </c>
      <c r="I14" s="60">
        <v>613721</v>
      </c>
      <c r="J14" s="60">
        <f t="shared" si="1"/>
        <v>30835279</v>
      </c>
      <c r="K14" s="60">
        <v>18477156</v>
      </c>
      <c r="L14" s="60">
        <f t="shared" si="5"/>
        <v>66.900000000000006</v>
      </c>
      <c r="M14" s="60">
        <f t="shared" si="6"/>
        <v>12358123</v>
      </c>
      <c r="N14" s="62">
        <v>39525</v>
      </c>
      <c r="O14" s="60">
        <v>675</v>
      </c>
      <c r="P14" s="60">
        <f t="shared" si="2"/>
        <v>38850</v>
      </c>
      <c r="Q14" s="60">
        <f>2266+17937+122</f>
        <v>20325</v>
      </c>
      <c r="R14" s="60">
        <f t="shared" si="7"/>
        <v>91.1</v>
      </c>
      <c r="S14" s="60">
        <f t="shared" si="8"/>
        <v>18525</v>
      </c>
      <c r="T14" s="59">
        <f t="shared" si="9"/>
        <v>39525</v>
      </c>
      <c r="U14" s="60">
        <f t="shared" si="10"/>
        <v>743</v>
      </c>
      <c r="V14" s="60">
        <f t="shared" si="11"/>
        <v>38782</v>
      </c>
      <c r="W14" s="60">
        <f t="shared" si="12"/>
        <v>22358</v>
      </c>
      <c r="X14" s="60">
        <f t="shared" si="13"/>
        <v>73.5</v>
      </c>
      <c r="Y14" s="60">
        <f t="shared" si="14"/>
        <v>16424</v>
      </c>
      <c r="Z14" s="59">
        <f t="shared" si="15"/>
        <v>39525</v>
      </c>
      <c r="AA14" s="60">
        <f t="shared" si="16"/>
        <v>776</v>
      </c>
      <c r="AB14" s="60">
        <f t="shared" si="17"/>
        <v>38749</v>
      </c>
      <c r="AC14" s="60">
        <f t="shared" si="18"/>
        <v>23374</v>
      </c>
      <c r="AD14" s="60">
        <f t="shared" si="19"/>
        <v>65.8</v>
      </c>
      <c r="AE14" s="60">
        <f t="shared" si="20"/>
        <v>15375</v>
      </c>
    </row>
    <row r="15" spans="1:31" x14ac:dyDescent="0.25">
      <c r="A15" s="58" t="s">
        <v>98</v>
      </c>
      <c r="B15" s="59">
        <v>41156</v>
      </c>
      <c r="C15" s="60">
        <v>1261</v>
      </c>
      <c r="D15" s="60">
        <f t="shared" si="0"/>
        <v>39895</v>
      </c>
      <c r="E15" s="60">
        <f>2776+21164+878</f>
        <v>24818</v>
      </c>
      <c r="F15" s="60">
        <f t="shared" si="3"/>
        <v>60.8</v>
      </c>
      <c r="G15" s="60">
        <f t="shared" si="4"/>
        <v>15077</v>
      </c>
      <c r="H15" s="59">
        <v>36324000</v>
      </c>
      <c r="I15" s="60">
        <v>1147000</v>
      </c>
      <c r="J15" s="60">
        <f t="shared" si="1"/>
        <v>35177000</v>
      </c>
      <c r="K15" s="60">
        <v>22561938</v>
      </c>
      <c r="L15" s="60">
        <f t="shared" si="5"/>
        <v>55.9</v>
      </c>
      <c r="M15" s="60">
        <f t="shared" si="6"/>
        <v>12615062</v>
      </c>
      <c r="N15" s="59">
        <v>45672</v>
      </c>
      <c r="O15" s="60">
        <v>1261</v>
      </c>
      <c r="P15" s="60">
        <f t="shared" si="2"/>
        <v>44411</v>
      </c>
      <c r="Q15" s="60">
        <f>2776+21164+878</f>
        <v>24818</v>
      </c>
      <c r="R15" s="60">
        <f t="shared" si="7"/>
        <v>78.900000000000006</v>
      </c>
      <c r="S15" s="60">
        <f t="shared" si="8"/>
        <v>19593</v>
      </c>
      <c r="T15" s="59">
        <f t="shared" si="9"/>
        <v>45672</v>
      </c>
      <c r="U15" s="60">
        <f t="shared" si="10"/>
        <v>1387</v>
      </c>
      <c r="V15" s="60">
        <f t="shared" si="11"/>
        <v>44285</v>
      </c>
      <c r="W15" s="60">
        <f t="shared" si="12"/>
        <v>27300</v>
      </c>
      <c r="X15" s="60">
        <f t="shared" si="13"/>
        <v>62.2</v>
      </c>
      <c r="Y15" s="60">
        <f t="shared" si="14"/>
        <v>16985</v>
      </c>
      <c r="Z15" s="59">
        <f t="shared" si="15"/>
        <v>45672</v>
      </c>
      <c r="AA15" s="60">
        <f t="shared" si="16"/>
        <v>1450</v>
      </c>
      <c r="AB15" s="60">
        <f t="shared" si="17"/>
        <v>44222</v>
      </c>
      <c r="AC15" s="60">
        <f t="shared" si="18"/>
        <v>28541</v>
      </c>
      <c r="AD15" s="60">
        <f t="shared" si="19"/>
        <v>54.9</v>
      </c>
      <c r="AE15" s="60">
        <f t="shared" si="20"/>
        <v>15681</v>
      </c>
    </row>
    <row r="16" spans="1:31" x14ac:dyDescent="0.25">
      <c r="A16" s="58" t="s">
        <v>99</v>
      </c>
      <c r="B16" s="59">
        <v>20906</v>
      </c>
      <c r="C16" s="60">
        <v>675</v>
      </c>
      <c r="D16" s="60">
        <f t="shared" si="0"/>
        <v>20231</v>
      </c>
      <c r="E16" s="60">
        <f>2139+10015+148</f>
        <v>12302</v>
      </c>
      <c r="F16" s="60">
        <f t="shared" si="3"/>
        <v>64.5</v>
      </c>
      <c r="G16" s="60">
        <f t="shared" si="4"/>
        <v>7929</v>
      </c>
      <c r="H16" s="59">
        <v>18457000</v>
      </c>
      <c r="I16" s="60">
        <v>613721</v>
      </c>
      <c r="J16" s="60">
        <f t="shared" si="1"/>
        <v>17843279</v>
      </c>
      <c r="K16" s="60">
        <v>11184564</v>
      </c>
      <c r="L16" s="60">
        <f t="shared" si="5"/>
        <v>59.5</v>
      </c>
      <c r="M16" s="60">
        <f t="shared" si="6"/>
        <v>6658715</v>
      </c>
      <c r="N16" s="59">
        <v>23195</v>
      </c>
      <c r="O16" s="60">
        <v>675</v>
      </c>
      <c r="P16" s="60">
        <f t="shared" si="2"/>
        <v>22520</v>
      </c>
      <c r="Q16" s="60">
        <f>2139+10049+148</f>
        <v>12336</v>
      </c>
      <c r="R16" s="60">
        <f t="shared" si="7"/>
        <v>82.6</v>
      </c>
      <c r="S16" s="60">
        <f t="shared" si="8"/>
        <v>10184</v>
      </c>
      <c r="T16" s="59">
        <f t="shared" si="9"/>
        <v>23195</v>
      </c>
      <c r="U16" s="60">
        <f t="shared" si="10"/>
        <v>743</v>
      </c>
      <c r="V16" s="60">
        <f t="shared" si="11"/>
        <v>22452</v>
      </c>
      <c r="W16" s="60">
        <f t="shared" si="12"/>
        <v>13570</v>
      </c>
      <c r="X16" s="60">
        <f t="shared" si="13"/>
        <v>65.5</v>
      </c>
      <c r="Y16" s="60">
        <f t="shared" si="14"/>
        <v>8882</v>
      </c>
      <c r="Z16" s="59">
        <f t="shared" si="15"/>
        <v>23195</v>
      </c>
      <c r="AA16" s="60">
        <f t="shared" si="16"/>
        <v>776</v>
      </c>
      <c r="AB16" s="60">
        <f t="shared" si="17"/>
        <v>22419</v>
      </c>
      <c r="AC16" s="60">
        <f t="shared" si="18"/>
        <v>14186</v>
      </c>
      <c r="AD16" s="60">
        <f t="shared" si="19"/>
        <v>58</v>
      </c>
      <c r="AE16" s="60">
        <f t="shared" si="20"/>
        <v>8233</v>
      </c>
    </row>
    <row r="17" spans="1:31" x14ac:dyDescent="0.25">
      <c r="A17" s="58" t="s">
        <v>100</v>
      </c>
      <c r="B17" s="59">
        <v>27325</v>
      </c>
      <c r="C17" s="60">
        <v>725</v>
      </c>
      <c r="D17" s="60">
        <f t="shared" si="0"/>
        <v>26600</v>
      </c>
      <c r="E17" s="60">
        <f>1733+12997+270</f>
        <v>15000</v>
      </c>
      <c r="F17" s="60">
        <f t="shared" si="3"/>
        <v>77.3</v>
      </c>
      <c r="G17" s="60">
        <f t="shared" si="4"/>
        <v>11600</v>
      </c>
      <c r="H17" s="59">
        <v>24124000</v>
      </c>
      <c r="I17" s="60">
        <v>658627</v>
      </c>
      <c r="J17" s="60">
        <f t="shared" si="1"/>
        <v>23465373</v>
      </c>
      <c r="K17" s="60">
        <v>13706550</v>
      </c>
      <c r="L17" s="60">
        <f t="shared" si="5"/>
        <v>71.2</v>
      </c>
      <c r="M17" s="60">
        <f t="shared" si="6"/>
        <v>9758823</v>
      </c>
      <c r="N17" s="59">
        <v>30320</v>
      </c>
      <c r="O17" s="60">
        <v>725</v>
      </c>
      <c r="P17" s="60">
        <f t="shared" si="2"/>
        <v>29595</v>
      </c>
      <c r="Q17" s="60">
        <f>1733+12997+270</f>
        <v>15000</v>
      </c>
      <c r="R17" s="60">
        <f t="shared" si="7"/>
        <v>97.3</v>
      </c>
      <c r="S17" s="60">
        <f t="shared" si="8"/>
        <v>14595</v>
      </c>
      <c r="T17" s="59">
        <f t="shared" si="9"/>
        <v>30320</v>
      </c>
      <c r="U17" s="60">
        <f t="shared" si="10"/>
        <v>798</v>
      </c>
      <c r="V17" s="60">
        <f t="shared" si="11"/>
        <v>29522</v>
      </c>
      <c r="W17" s="60">
        <f t="shared" si="12"/>
        <v>16500</v>
      </c>
      <c r="X17" s="60">
        <f t="shared" si="13"/>
        <v>78.900000000000006</v>
      </c>
      <c r="Y17" s="60">
        <f t="shared" si="14"/>
        <v>13022</v>
      </c>
      <c r="Z17" s="59">
        <f t="shared" si="15"/>
        <v>30320</v>
      </c>
      <c r="AA17" s="60">
        <f t="shared" si="16"/>
        <v>834</v>
      </c>
      <c r="AB17" s="60">
        <f t="shared" si="17"/>
        <v>29486</v>
      </c>
      <c r="AC17" s="60">
        <f t="shared" si="18"/>
        <v>17250</v>
      </c>
      <c r="AD17" s="60">
        <f t="shared" si="19"/>
        <v>70.900000000000006</v>
      </c>
      <c r="AE17" s="60">
        <f t="shared" si="20"/>
        <v>12236</v>
      </c>
    </row>
    <row r="18" spans="1:31" x14ac:dyDescent="0.25">
      <c r="A18" s="63" t="s">
        <v>101</v>
      </c>
      <c r="B18" s="59">
        <v>19168</v>
      </c>
      <c r="C18" s="60">
        <v>1189</v>
      </c>
      <c r="D18" s="60">
        <f t="shared" si="0"/>
        <v>17979</v>
      </c>
      <c r="E18" s="60">
        <f>1383+10049+74</f>
        <v>11506</v>
      </c>
      <c r="F18" s="60">
        <f t="shared" si="3"/>
        <v>56.3</v>
      </c>
      <c r="G18" s="60">
        <f t="shared" si="4"/>
        <v>6473</v>
      </c>
      <c r="H18" s="59">
        <v>16493000</v>
      </c>
      <c r="I18" s="60">
        <v>1050430</v>
      </c>
      <c r="J18" s="60">
        <f t="shared" si="1"/>
        <v>15442570</v>
      </c>
      <c r="K18" s="60">
        <f>10008996</f>
        <v>10008996</v>
      </c>
      <c r="L18" s="60">
        <f t="shared" si="5"/>
        <v>54.3</v>
      </c>
      <c r="M18" s="60">
        <f t="shared" si="6"/>
        <v>5433574</v>
      </c>
      <c r="N18" s="59">
        <v>22647</v>
      </c>
      <c r="O18" s="60">
        <v>1189</v>
      </c>
      <c r="P18" s="60">
        <f t="shared" si="2"/>
        <v>21458</v>
      </c>
      <c r="Q18" s="60">
        <f>1344+10435+74+261</f>
        <v>12114</v>
      </c>
      <c r="R18" s="60">
        <f t="shared" si="7"/>
        <v>77.099999999999994</v>
      </c>
      <c r="S18" s="60">
        <f t="shared" si="8"/>
        <v>9344</v>
      </c>
      <c r="T18" s="59">
        <f t="shared" si="9"/>
        <v>22647</v>
      </c>
      <c r="U18" s="60">
        <f t="shared" si="10"/>
        <v>1308</v>
      </c>
      <c r="V18" s="60">
        <f t="shared" si="11"/>
        <v>21339</v>
      </c>
      <c r="W18" s="60">
        <f t="shared" si="12"/>
        <v>13325</v>
      </c>
      <c r="X18" s="60">
        <f t="shared" si="13"/>
        <v>60.1</v>
      </c>
      <c r="Y18" s="60">
        <f t="shared" si="14"/>
        <v>8014</v>
      </c>
      <c r="Z18" s="59">
        <f t="shared" si="15"/>
        <v>22647</v>
      </c>
      <c r="AA18" s="60">
        <f t="shared" si="16"/>
        <v>1367</v>
      </c>
      <c r="AB18" s="60">
        <f t="shared" si="17"/>
        <v>21280</v>
      </c>
      <c r="AC18" s="60">
        <f t="shared" si="18"/>
        <v>13931</v>
      </c>
      <c r="AD18" s="60">
        <f t="shared" si="19"/>
        <v>52.8</v>
      </c>
      <c r="AE18" s="60">
        <f t="shared" si="20"/>
        <v>7349</v>
      </c>
    </row>
    <row r="19" spans="1:31" x14ac:dyDescent="0.25">
      <c r="A19" s="58" t="s">
        <v>102</v>
      </c>
      <c r="B19" s="59">
        <v>15400</v>
      </c>
      <c r="C19" s="60">
        <v>725</v>
      </c>
      <c r="D19" s="60">
        <f t="shared" si="0"/>
        <v>14675</v>
      </c>
      <c r="E19" s="60">
        <f>1143+6248</f>
        <v>7391</v>
      </c>
      <c r="F19" s="60">
        <f t="shared" si="3"/>
        <v>98.6</v>
      </c>
      <c r="G19" s="60">
        <f t="shared" si="4"/>
        <v>7284</v>
      </c>
      <c r="H19" s="59">
        <v>13592000</v>
      </c>
      <c r="I19" s="60">
        <v>658627</v>
      </c>
      <c r="J19" s="60">
        <f t="shared" si="1"/>
        <v>12933373</v>
      </c>
      <c r="K19" s="60">
        <v>6719322</v>
      </c>
      <c r="L19" s="60">
        <f t="shared" si="5"/>
        <v>92.5</v>
      </c>
      <c r="M19" s="60">
        <f t="shared" si="6"/>
        <v>6214051</v>
      </c>
      <c r="N19" s="59">
        <v>17092</v>
      </c>
      <c r="O19" s="60">
        <v>725</v>
      </c>
      <c r="P19" s="60">
        <f t="shared" si="2"/>
        <v>16367</v>
      </c>
      <c r="Q19" s="60">
        <f>1143+6248</f>
        <v>7391</v>
      </c>
      <c r="R19" s="60">
        <f t="shared" si="7"/>
        <v>121.4</v>
      </c>
      <c r="S19" s="60">
        <f t="shared" si="8"/>
        <v>8976</v>
      </c>
      <c r="T19" s="59">
        <f t="shared" si="9"/>
        <v>17092</v>
      </c>
      <c r="U19" s="60">
        <f t="shared" si="10"/>
        <v>798</v>
      </c>
      <c r="V19" s="60">
        <f t="shared" si="11"/>
        <v>16294</v>
      </c>
      <c r="W19" s="60">
        <f t="shared" si="12"/>
        <v>8130</v>
      </c>
      <c r="X19" s="60">
        <f t="shared" si="13"/>
        <v>100.4</v>
      </c>
      <c r="Y19" s="60">
        <f t="shared" si="14"/>
        <v>8164</v>
      </c>
      <c r="Z19" s="59">
        <f t="shared" si="15"/>
        <v>17092</v>
      </c>
      <c r="AA19" s="60">
        <f t="shared" si="16"/>
        <v>834</v>
      </c>
      <c r="AB19" s="60">
        <f t="shared" si="17"/>
        <v>16258</v>
      </c>
      <c r="AC19" s="60">
        <f t="shared" si="18"/>
        <v>8500</v>
      </c>
      <c r="AD19" s="60">
        <f t="shared" si="19"/>
        <v>91.3</v>
      </c>
      <c r="AE19" s="60">
        <f t="shared" si="20"/>
        <v>7758</v>
      </c>
    </row>
    <row r="20" spans="1:31" x14ac:dyDescent="0.25">
      <c r="A20" s="63" t="s">
        <v>103</v>
      </c>
      <c r="B20" s="59">
        <f>B21+B22</f>
        <v>49796</v>
      </c>
      <c r="C20" s="59">
        <f t="shared" ref="C20:E20" si="21">C21+C22</f>
        <v>1419</v>
      </c>
      <c r="D20" s="59">
        <f t="shared" si="21"/>
        <v>48377</v>
      </c>
      <c r="E20" s="59">
        <f t="shared" si="21"/>
        <v>27494</v>
      </c>
      <c r="F20" s="60">
        <f t="shared" si="3"/>
        <v>76</v>
      </c>
      <c r="G20" s="59">
        <f t="shared" ref="G20" si="22">G21+G22</f>
        <v>20883</v>
      </c>
      <c r="H20" s="59">
        <f>H21+H22</f>
        <v>43966000</v>
      </c>
      <c r="I20" s="59">
        <f t="shared" ref="I20:Y20" si="23">I21+I22</f>
        <v>1290375</v>
      </c>
      <c r="J20" s="59">
        <f t="shared" si="23"/>
        <v>42675625</v>
      </c>
      <c r="K20" s="59">
        <f t="shared" si="23"/>
        <v>24203592</v>
      </c>
      <c r="L20" s="60">
        <f t="shared" si="5"/>
        <v>76.3</v>
      </c>
      <c r="M20" s="59">
        <f t="shared" si="23"/>
        <v>18472033</v>
      </c>
      <c r="N20" s="59">
        <f t="shared" si="23"/>
        <v>57052</v>
      </c>
      <c r="O20" s="59">
        <f t="shared" si="23"/>
        <v>1419</v>
      </c>
      <c r="P20" s="59">
        <f>P21+P22</f>
        <v>55633</v>
      </c>
      <c r="Q20" s="59">
        <f>Q21+Q22</f>
        <v>28309</v>
      </c>
      <c r="R20" s="60">
        <f t="shared" si="7"/>
        <v>96.5</v>
      </c>
      <c r="S20" s="59">
        <f>S21+S22</f>
        <v>27324</v>
      </c>
      <c r="T20" s="59">
        <f t="shared" si="9"/>
        <v>57052</v>
      </c>
      <c r="U20" s="59">
        <f t="shared" si="23"/>
        <v>1561</v>
      </c>
      <c r="V20" s="59">
        <f t="shared" si="23"/>
        <v>55491</v>
      </c>
      <c r="W20" s="59">
        <f t="shared" si="23"/>
        <v>31140</v>
      </c>
      <c r="X20" s="59">
        <f t="shared" si="23"/>
        <v>156.6</v>
      </c>
      <c r="Y20" s="59">
        <f t="shared" si="23"/>
        <v>24351</v>
      </c>
      <c r="Z20" s="59">
        <f t="shared" si="15"/>
        <v>57052</v>
      </c>
      <c r="AA20" s="59">
        <f t="shared" ref="AA20:AE20" si="24">AA21+AA22</f>
        <v>1632</v>
      </c>
      <c r="AB20" s="59">
        <f t="shared" si="24"/>
        <v>55420</v>
      </c>
      <c r="AC20" s="59">
        <f t="shared" si="24"/>
        <v>32556</v>
      </c>
      <c r="AD20" s="60">
        <f t="shared" si="19"/>
        <v>70.2</v>
      </c>
      <c r="AE20" s="59">
        <f t="shared" si="24"/>
        <v>22864</v>
      </c>
    </row>
    <row r="21" spans="1:31" s="67" customFormat="1" x14ac:dyDescent="0.25">
      <c r="A21" s="64" t="s">
        <v>104</v>
      </c>
      <c r="B21" s="65">
        <v>29421</v>
      </c>
      <c r="C21" s="66">
        <v>1419</v>
      </c>
      <c r="D21" s="66">
        <f>B21-C21</f>
        <v>28002</v>
      </c>
      <c r="E21" s="66">
        <f>4130+11682+198</f>
        <v>16010</v>
      </c>
      <c r="F21" s="66">
        <f>ROUND(G21/E21*100,1)</f>
        <v>74.900000000000006</v>
      </c>
      <c r="G21" s="66">
        <f>D21-E21</f>
        <v>11992</v>
      </c>
      <c r="H21" s="65">
        <v>25976000</v>
      </c>
      <c r="I21" s="66">
        <v>1290375</v>
      </c>
      <c r="J21" s="66">
        <f>H21-I21</f>
        <v>24685625</v>
      </c>
      <c r="K21" s="66">
        <v>13763964</v>
      </c>
      <c r="L21" s="66">
        <f>ROUND(M21/K21*100,1)</f>
        <v>79.3</v>
      </c>
      <c r="M21" s="66">
        <f>J21-K21</f>
        <v>10921661</v>
      </c>
      <c r="N21" s="65">
        <v>34440</v>
      </c>
      <c r="O21" s="66">
        <v>1419</v>
      </c>
      <c r="P21" s="66">
        <f>N21-O21</f>
        <v>33021</v>
      </c>
      <c r="Q21" s="66">
        <f>4130+11682+198+815</f>
        <v>16825</v>
      </c>
      <c r="R21" s="66">
        <f>ROUND(S21/Q21*100,1)</f>
        <v>96.3</v>
      </c>
      <c r="S21" s="66">
        <f>P21-Q21</f>
        <v>16196</v>
      </c>
      <c r="T21" s="59">
        <f t="shared" si="9"/>
        <v>34440</v>
      </c>
      <c r="U21" s="66">
        <f>ROUND(O21*1.1,0)</f>
        <v>1561</v>
      </c>
      <c r="V21" s="66">
        <f>T21-U21</f>
        <v>32879</v>
      </c>
      <c r="W21" s="66">
        <f>ROUND(Q21*1.1,0)</f>
        <v>18508</v>
      </c>
      <c r="X21" s="66">
        <f>ROUND(Y21/W21*100,1)</f>
        <v>77.599999999999994</v>
      </c>
      <c r="Y21" s="66">
        <f>V21-W21</f>
        <v>14371</v>
      </c>
      <c r="Z21" s="59">
        <f t="shared" si="15"/>
        <v>34440</v>
      </c>
      <c r="AA21" s="66">
        <f t="shared" si="16"/>
        <v>1632</v>
      </c>
      <c r="AB21" s="66">
        <f>Z21-AA21</f>
        <v>32808</v>
      </c>
      <c r="AC21" s="66">
        <f t="shared" si="18"/>
        <v>19349</v>
      </c>
      <c r="AD21" s="66">
        <f>ROUND(AE21/AC21*100,1)</f>
        <v>69.599999999999994</v>
      </c>
      <c r="AE21" s="66">
        <f>AB21-AC21</f>
        <v>13459</v>
      </c>
    </row>
    <row r="22" spans="1:31" s="67" customFormat="1" x14ac:dyDescent="0.25">
      <c r="A22" s="64" t="s">
        <v>105</v>
      </c>
      <c r="B22" s="65">
        <v>20375</v>
      </c>
      <c r="C22" s="66"/>
      <c r="D22" s="66">
        <f>B22-C22</f>
        <v>20375</v>
      </c>
      <c r="E22" s="66">
        <f>208+11276</f>
        <v>11484</v>
      </c>
      <c r="F22" s="66">
        <f>ROUND(G22/E22*100,1)</f>
        <v>77.400000000000006</v>
      </c>
      <c r="G22" s="66">
        <f>D22-E22</f>
        <v>8891</v>
      </c>
      <c r="H22" s="65">
        <v>17990000</v>
      </c>
      <c r="I22" s="66"/>
      <c r="J22" s="66">
        <f>H22-I22</f>
        <v>17990000</v>
      </c>
      <c r="K22" s="66">
        <v>10439628</v>
      </c>
      <c r="L22" s="66">
        <f>ROUND(M22/K22*100,1)</f>
        <v>72.3</v>
      </c>
      <c r="M22" s="66">
        <f>J22-K22</f>
        <v>7550372</v>
      </c>
      <c r="N22" s="65">
        <v>22612</v>
      </c>
      <c r="O22" s="66"/>
      <c r="P22" s="66">
        <f>N22-O22</f>
        <v>22612</v>
      </c>
      <c r="Q22" s="66">
        <f>208+11276</f>
        <v>11484</v>
      </c>
      <c r="R22" s="66">
        <f>ROUND(S22/Q22*100,1)</f>
        <v>96.9</v>
      </c>
      <c r="S22" s="66">
        <f>P22-Q22</f>
        <v>11128</v>
      </c>
      <c r="T22" s="59">
        <f t="shared" si="9"/>
        <v>22612</v>
      </c>
      <c r="U22" s="66"/>
      <c r="V22" s="66">
        <f>T22-U22</f>
        <v>22612</v>
      </c>
      <c r="W22" s="66">
        <f t="shared" ref="W22:W24" si="25">ROUND(Q22*1.1,0)</f>
        <v>12632</v>
      </c>
      <c r="X22" s="66">
        <f>ROUND(Y22/W22*100,1)</f>
        <v>79</v>
      </c>
      <c r="Y22" s="66">
        <f>V22-W22</f>
        <v>9980</v>
      </c>
      <c r="Z22" s="59">
        <f t="shared" si="15"/>
        <v>22612</v>
      </c>
      <c r="AA22" s="66">
        <f t="shared" si="16"/>
        <v>0</v>
      </c>
      <c r="AB22" s="66">
        <f>Z22-AA22</f>
        <v>22612</v>
      </c>
      <c r="AC22" s="66">
        <f t="shared" si="18"/>
        <v>13207</v>
      </c>
      <c r="AD22" s="66">
        <f>ROUND(AE22/AC22*100,1)</f>
        <v>71.2</v>
      </c>
      <c r="AE22" s="66">
        <f>AB22-AC22</f>
        <v>9405</v>
      </c>
    </row>
    <row r="23" spans="1:31" x14ac:dyDescent="0.25">
      <c r="A23" s="68" t="s">
        <v>106</v>
      </c>
      <c r="B23" s="59">
        <v>8967</v>
      </c>
      <c r="C23" s="60">
        <v>946</v>
      </c>
      <c r="D23" s="60">
        <f>B23-C23</f>
        <v>8021</v>
      </c>
      <c r="E23" s="60">
        <f>1180+3899</f>
        <v>5079</v>
      </c>
      <c r="F23" s="60">
        <f t="shared" ref="F23:F25" si="26">ROUND(G23/E23*100,1)</f>
        <v>57.9</v>
      </c>
      <c r="G23" s="60">
        <f t="shared" ref="G23:G24" si="27">D23-E23</f>
        <v>2942</v>
      </c>
      <c r="H23" s="59">
        <v>7918000</v>
      </c>
      <c r="I23" s="60">
        <v>860250</v>
      </c>
      <c r="J23" s="60">
        <f>H23-I23</f>
        <v>7057750</v>
      </c>
      <c r="K23" s="60">
        <v>4616421</v>
      </c>
      <c r="L23" s="60">
        <f t="shared" si="5"/>
        <v>52.9</v>
      </c>
      <c r="M23" s="60">
        <f t="shared" si="6"/>
        <v>2441329</v>
      </c>
      <c r="N23" s="59">
        <v>10769</v>
      </c>
      <c r="O23" s="60">
        <v>946</v>
      </c>
      <c r="P23" s="60">
        <f>N23-O23</f>
        <v>9823</v>
      </c>
      <c r="Q23" s="60">
        <f>1180+3899+468</f>
        <v>5547</v>
      </c>
      <c r="R23" s="60">
        <f>ROUND(S23/Q23*100,1)</f>
        <v>77.099999999999994</v>
      </c>
      <c r="S23" s="60">
        <f>P23-Q23</f>
        <v>4276</v>
      </c>
      <c r="T23" s="59">
        <f t="shared" si="9"/>
        <v>10769</v>
      </c>
      <c r="U23" s="60">
        <f>ROUND(O23*1.1,0)</f>
        <v>1041</v>
      </c>
      <c r="V23" s="60">
        <f t="shared" si="11"/>
        <v>9728</v>
      </c>
      <c r="W23" s="69">
        <f t="shared" si="25"/>
        <v>6102</v>
      </c>
      <c r="X23" s="60">
        <f t="shared" si="13"/>
        <v>59.4</v>
      </c>
      <c r="Y23" s="60">
        <f t="shared" si="14"/>
        <v>3626</v>
      </c>
      <c r="Z23" s="59">
        <f t="shared" si="15"/>
        <v>10769</v>
      </c>
      <c r="AA23" s="60">
        <f t="shared" si="16"/>
        <v>1088</v>
      </c>
      <c r="AB23" s="60">
        <f t="shared" ref="AB23:AB24" si="28">Z23-AA23</f>
        <v>9681</v>
      </c>
      <c r="AC23" s="60">
        <f t="shared" si="18"/>
        <v>6379</v>
      </c>
      <c r="AD23" s="60">
        <f t="shared" ref="AD23:AD25" si="29">ROUND(AE23/AC23*100,1)</f>
        <v>51.8</v>
      </c>
      <c r="AE23" s="60">
        <f t="shared" ref="AE23:AE24" si="30">AB23-AC23</f>
        <v>3302</v>
      </c>
    </row>
    <row r="24" spans="1:31" x14ac:dyDescent="0.25">
      <c r="A24" s="61" t="s">
        <v>107</v>
      </c>
      <c r="B24" s="62">
        <v>17447</v>
      </c>
      <c r="C24" s="60">
        <v>1261</v>
      </c>
      <c r="D24" s="60">
        <f>B24-C24</f>
        <v>16186</v>
      </c>
      <c r="E24" s="60">
        <f>2522+5575</f>
        <v>8097</v>
      </c>
      <c r="F24" s="60">
        <f t="shared" si="26"/>
        <v>99.9</v>
      </c>
      <c r="G24" s="60">
        <f t="shared" si="27"/>
        <v>8089</v>
      </c>
      <c r="H24" s="62">
        <v>16202000</v>
      </c>
      <c r="I24" s="60">
        <v>1147000</v>
      </c>
      <c r="J24" s="60">
        <f>H24-I24</f>
        <v>15055000</v>
      </c>
      <c r="K24" s="60">
        <v>7169004</v>
      </c>
      <c r="L24" s="60">
        <f t="shared" si="5"/>
        <v>110</v>
      </c>
      <c r="M24" s="60">
        <f t="shared" si="6"/>
        <v>7885996</v>
      </c>
      <c r="N24" s="62">
        <v>19365</v>
      </c>
      <c r="O24" s="60">
        <v>1261</v>
      </c>
      <c r="P24" s="60">
        <f>N24-O24</f>
        <v>18104</v>
      </c>
      <c r="Q24" s="60">
        <f>2522+5575</f>
        <v>8097</v>
      </c>
      <c r="R24" s="60">
        <f>ROUND(S24/Q24*100,1)</f>
        <v>123.6</v>
      </c>
      <c r="S24" s="60">
        <f>P24-Q24</f>
        <v>10007</v>
      </c>
      <c r="T24" s="59">
        <f t="shared" si="9"/>
        <v>19365</v>
      </c>
      <c r="U24" s="60">
        <f>ROUND(O24*1.1,0)</f>
        <v>1387</v>
      </c>
      <c r="V24" s="60">
        <f t="shared" si="11"/>
        <v>17978</v>
      </c>
      <c r="W24" s="69">
        <f t="shared" si="25"/>
        <v>8907</v>
      </c>
      <c r="X24" s="60">
        <f t="shared" si="13"/>
        <v>101.8</v>
      </c>
      <c r="Y24" s="60">
        <f t="shared" si="14"/>
        <v>9071</v>
      </c>
      <c r="Z24" s="59">
        <f t="shared" si="15"/>
        <v>19365</v>
      </c>
      <c r="AA24" s="60">
        <f t="shared" si="16"/>
        <v>1450</v>
      </c>
      <c r="AB24" s="60">
        <f t="shared" si="28"/>
        <v>17915</v>
      </c>
      <c r="AC24" s="60">
        <f t="shared" si="18"/>
        <v>9312</v>
      </c>
      <c r="AD24" s="60">
        <f t="shared" si="29"/>
        <v>92.4</v>
      </c>
      <c r="AE24" s="60">
        <f t="shared" si="30"/>
        <v>8603</v>
      </c>
    </row>
    <row r="25" spans="1:31" s="73" customFormat="1" x14ac:dyDescent="0.25">
      <c r="A25" s="70" t="s">
        <v>108</v>
      </c>
      <c r="B25" s="71">
        <f>SUM(B10:B20,B23:B24)</f>
        <v>345137</v>
      </c>
      <c r="C25" s="71">
        <f>SUM(C10:C20,C23:C24)</f>
        <v>11676</v>
      </c>
      <c r="D25" s="71">
        <f>SUM(D10:D20,D23:D24)</f>
        <v>333461</v>
      </c>
      <c r="E25" s="71">
        <f>SUM(E10:E20,E23:E24)</f>
        <v>191026</v>
      </c>
      <c r="F25" s="72">
        <f t="shared" si="26"/>
        <v>74.599999999999994</v>
      </c>
      <c r="G25" s="71">
        <f>SUM(G10:G20,G23:G24)</f>
        <v>142435</v>
      </c>
      <c r="H25" s="71">
        <f>SUM(H10:H20,H23:H24)</f>
        <v>305062000</v>
      </c>
      <c r="I25" s="71">
        <f>SUM(I10:I20,I23:I24)</f>
        <v>10584447</v>
      </c>
      <c r="J25" s="71">
        <f>SUM(J10:J20,J23:J24)</f>
        <v>294477553</v>
      </c>
      <c r="K25" s="71">
        <f>SUM(K10:K20,K23:K24)</f>
        <v>172296387</v>
      </c>
      <c r="L25" s="72">
        <f t="shared" si="5"/>
        <v>70.900000000000006</v>
      </c>
      <c r="M25" s="71">
        <f>SUM(M10:M20,M23:M24)</f>
        <v>122181166</v>
      </c>
      <c r="N25" s="71">
        <f>SUM(N10:N20,N23:N24)</f>
        <v>386993</v>
      </c>
      <c r="O25" s="71">
        <f>SUM(O10:O20,O23:O24)</f>
        <v>11676</v>
      </c>
      <c r="P25" s="71">
        <f>SUM(P10:P20,P23:P24)</f>
        <v>375317</v>
      </c>
      <c r="Q25" s="71">
        <f>SUM(Q10:Q20,Q23:Q24)</f>
        <v>192951</v>
      </c>
      <c r="R25" s="72">
        <f>ROUND(S25/Q25*100,1)</f>
        <v>94.5</v>
      </c>
      <c r="S25" s="71">
        <f>SUM(S10:S20,S23:S24)</f>
        <v>182366</v>
      </c>
      <c r="T25" s="71">
        <f>SUM(T10:T20,T23:T24)</f>
        <v>386993</v>
      </c>
      <c r="U25" s="71">
        <f>SUM(U10:U20,U23:U24)</f>
        <v>12848</v>
      </c>
      <c r="V25" s="71">
        <f>SUM(V10:V20,V23:V24)</f>
        <v>374145</v>
      </c>
      <c r="W25" s="71">
        <f>SUM(W10:W20,W23:W24)</f>
        <v>212247</v>
      </c>
      <c r="X25" s="72">
        <f t="shared" si="13"/>
        <v>76.3</v>
      </c>
      <c r="Y25" s="71">
        <f>SUM(Y10:Y20,Y23:Y24)</f>
        <v>161898</v>
      </c>
      <c r="Z25" s="71">
        <f>SUM(Z10:Z20,Z23:Z24)</f>
        <v>386993</v>
      </c>
      <c r="AA25" s="71">
        <f>SUM(AA10:AA20,AA23:AA24)</f>
        <v>13427</v>
      </c>
      <c r="AB25" s="71">
        <f>SUM(AB10:AB20,AB23:AB24)</f>
        <v>373566</v>
      </c>
      <c r="AC25" s="71">
        <f>SUM(AC10:AC20,AC23:AC24)</f>
        <v>221895</v>
      </c>
      <c r="AD25" s="72">
        <f t="shared" si="29"/>
        <v>68.400000000000006</v>
      </c>
      <c r="AE25" s="71">
        <f>SUM(AE10:AE20,AE23:AE24)</f>
        <v>151671</v>
      </c>
    </row>
    <row r="26" spans="1:31" s="78" customFormat="1" ht="13.5" x14ac:dyDescent="0.25">
      <c r="A26" s="74" t="s">
        <v>58</v>
      </c>
      <c r="B26" s="75"/>
      <c r="C26" s="75"/>
      <c r="D26" s="76">
        <v>1</v>
      </c>
      <c r="E26" s="77">
        <f>ROUND(E25/D25,3)</f>
        <v>0.57299999999999995</v>
      </c>
      <c r="F26" s="77"/>
      <c r="G26" s="77">
        <f>ROUND(G25/D25,3)</f>
        <v>0.42699999999999999</v>
      </c>
      <c r="H26" s="75"/>
      <c r="I26" s="75"/>
      <c r="J26" s="76">
        <v>1</v>
      </c>
      <c r="K26" s="77">
        <f>ROUND(K25/J25,3)</f>
        <v>0.58499999999999996</v>
      </c>
      <c r="L26" s="77"/>
      <c r="M26" s="77">
        <f>ROUND(M25/J25,3)</f>
        <v>0.41499999999999998</v>
      </c>
      <c r="N26" s="75"/>
      <c r="O26" s="75"/>
      <c r="P26" s="76">
        <v>1</v>
      </c>
      <c r="Q26" s="77">
        <f>ROUND(Q25/P25,3)</f>
        <v>0.51400000000000001</v>
      </c>
      <c r="R26" s="77"/>
      <c r="S26" s="77">
        <f>ROUND(S25/P25,3)</f>
        <v>0.48599999999999999</v>
      </c>
      <c r="T26" s="77"/>
      <c r="U26" s="77"/>
      <c r="V26" s="76">
        <v>1</v>
      </c>
      <c r="W26" s="77">
        <f>ROUND(W25/V25,3)</f>
        <v>0.56699999999999995</v>
      </c>
      <c r="X26" s="77"/>
      <c r="Y26" s="77">
        <f>ROUND(Y25/V25,3)</f>
        <v>0.433</v>
      </c>
      <c r="Z26" s="77"/>
      <c r="AA26" s="77"/>
      <c r="AB26" s="76">
        <v>1</v>
      </c>
      <c r="AC26" s="77">
        <f>ROUND(AC25/AB25,3)</f>
        <v>0.59399999999999997</v>
      </c>
      <c r="AD26" s="77"/>
      <c r="AE26" s="77">
        <f>ROUND(AE25/AB25,3)</f>
        <v>0.40600000000000003</v>
      </c>
    </row>
    <row r="27" spans="1:31" s="84" customFormat="1" ht="12.75" x14ac:dyDescent="0.2">
      <c r="A27" s="79" t="s">
        <v>109</v>
      </c>
      <c r="B27" s="80"/>
      <c r="C27" s="80"/>
      <c r="D27" s="81"/>
      <c r="E27" s="82"/>
      <c r="F27" s="82"/>
      <c r="G27" s="82"/>
      <c r="H27" s="80"/>
      <c r="I27" s="80"/>
      <c r="J27" s="81"/>
      <c r="K27" s="82"/>
      <c r="L27" s="82"/>
      <c r="M27" s="82"/>
      <c r="N27" s="80"/>
      <c r="O27" s="80"/>
      <c r="P27" s="81"/>
      <c r="Q27" s="82"/>
      <c r="R27" s="82"/>
      <c r="S27" s="82"/>
      <c r="T27" s="82"/>
      <c r="U27" s="82"/>
      <c r="V27" s="81"/>
      <c r="W27" s="83" t="s">
        <v>110</v>
      </c>
      <c r="X27" s="83"/>
      <c r="Y27" s="83"/>
      <c r="Z27" s="82"/>
      <c r="AA27" s="82"/>
      <c r="AB27" s="81"/>
      <c r="AC27" s="83" t="s">
        <v>110</v>
      </c>
      <c r="AD27" s="83"/>
      <c r="AE27" s="83"/>
    </row>
    <row r="28" spans="1:31" s="78" customFormat="1" ht="13.5" x14ac:dyDescent="0.25">
      <c r="A28" s="85"/>
      <c r="B28" s="85"/>
      <c r="C28" s="85"/>
      <c r="D28" s="85"/>
      <c r="E28" s="85"/>
      <c r="F28" s="85"/>
      <c r="G28" s="85"/>
      <c r="H28" s="86"/>
      <c r="I28" s="86"/>
      <c r="J28" s="87"/>
      <c r="K28" s="88"/>
      <c r="L28" s="88"/>
      <c r="M28" s="88"/>
      <c r="N28" s="89" t="s">
        <v>122</v>
      </c>
      <c r="O28" s="86"/>
      <c r="P28" s="87"/>
      <c r="Q28" s="88"/>
      <c r="R28" s="88"/>
      <c r="S28" s="88"/>
      <c r="T28" s="88"/>
      <c r="U28" s="88"/>
      <c r="V28" s="87"/>
      <c r="W28" s="90"/>
      <c r="X28" s="88"/>
      <c r="Y28" s="88"/>
    </row>
    <row r="29" spans="1:31" x14ac:dyDescent="0.25">
      <c r="N29" s="89"/>
    </row>
    <row r="30" spans="1:31" hidden="1" outlineLevel="1" x14ac:dyDescent="0.25"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91" t="s">
        <v>111</v>
      </c>
      <c r="Q30" s="92">
        <v>18711</v>
      </c>
      <c r="R30" s="50"/>
      <c r="S30" s="50"/>
      <c r="V30" s="91" t="s">
        <v>111</v>
      </c>
      <c r="W30" s="92">
        <v>20582</v>
      </c>
      <c r="AB30" s="91" t="s">
        <v>111</v>
      </c>
      <c r="AC30" s="92">
        <v>21518</v>
      </c>
    </row>
    <row r="31" spans="1:31" hidden="1" outlineLevel="1" x14ac:dyDescent="0.25">
      <c r="P31" s="91" t="s">
        <v>112</v>
      </c>
      <c r="Q31" t="s">
        <v>113</v>
      </c>
      <c r="V31" s="91" t="s">
        <v>112</v>
      </c>
      <c r="W31" t="s">
        <v>114</v>
      </c>
      <c r="AB31" s="91" t="s">
        <v>112</v>
      </c>
      <c r="AC31" t="s">
        <v>115</v>
      </c>
    </row>
    <row r="32" spans="1:31" hidden="1" outlineLevel="1" x14ac:dyDescent="0.25">
      <c r="P32" s="91" t="s">
        <v>116</v>
      </c>
      <c r="Q32" t="s">
        <v>117</v>
      </c>
      <c r="V32" s="91" t="s">
        <v>116</v>
      </c>
      <c r="W32" t="s">
        <v>118</v>
      </c>
      <c r="AB32" s="91" t="s">
        <v>116</v>
      </c>
      <c r="AC32" t="s">
        <v>119</v>
      </c>
    </row>
    <row r="33" spans="1:22" collapsed="1" x14ac:dyDescent="0.25">
      <c r="V33" s="91"/>
    </row>
    <row r="34" spans="1:22" x14ac:dyDescent="0.25">
      <c r="A34" s="50" t="s">
        <v>71</v>
      </c>
    </row>
  </sheetData>
  <mergeCells count="47">
    <mergeCell ref="A4:A9"/>
    <mergeCell ref="B4:G4"/>
    <mergeCell ref="H4:M4"/>
    <mergeCell ref="N4:S4"/>
    <mergeCell ref="O6:O9"/>
    <mergeCell ref="P6:S6"/>
    <mergeCell ref="F8:G8"/>
    <mergeCell ref="K8:K9"/>
    <mergeCell ref="L8:M8"/>
    <mergeCell ref="Q8:Q9"/>
    <mergeCell ref="R8:S8"/>
    <mergeCell ref="B5:B9"/>
    <mergeCell ref="C5:G5"/>
    <mergeCell ref="H5:H9"/>
    <mergeCell ref="I5:M5"/>
    <mergeCell ref="N5:N9"/>
    <mergeCell ref="C6:C9"/>
    <mergeCell ref="D6:G6"/>
    <mergeCell ref="I6:I9"/>
    <mergeCell ref="J6:M6"/>
    <mergeCell ref="AB7:AB9"/>
    <mergeCell ref="Z4:AE4"/>
    <mergeCell ref="O5:S5"/>
    <mergeCell ref="T5:T9"/>
    <mergeCell ref="U5:Y5"/>
    <mergeCell ref="Z5:Z9"/>
    <mergeCell ref="T4:Y4"/>
    <mergeCell ref="AA5:AE5"/>
    <mergeCell ref="W8:W9"/>
    <mergeCell ref="X8:Y8"/>
    <mergeCell ref="AC8:AC9"/>
    <mergeCell ref="B1:Y1"/>
    <mergeCell ref="U6:U9"/>
    <mergeCell ref="V6:Y6"/>
    <mergeCell ref="AA6:AA9"/>
    <mergeCell ref="AB6:AE6"/>
    <mergeCell ref="D7:D9"/>
    <mergeCell ref="E7:G7"/>
    <mergeCell ref="J7:J9"/>
    <mergeCell ref="K7:M7"/>
    <mergeCell ref="P7:P9"/>
    <mergeCell ref="Q7:S7"/>
    <mergeCell ref="V7:V9"/>
    <mergeCell ref="W7:Y7"/>
    <mergeCell ref="AD8:AE8"/>
    <mergeCell ref="AC7:AE7"/>
    <mergeCell ref="E8:E9"/>
  </mergeCells>
  <pageMargins left="0" right="0" top="0.74803149606299213" bottom="0.35433070866141736" header="0.31496062992125984" footer="0.31496062992125984"/>
  <pageSetup paperSize="9" scale="80" fitToHeight="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1"/>
  <sheetViews>
    <sheetView topLeftCell="D1" zoomScale="80" zoomScaleNormal="80" workbookViewId="0">
      <selection activeCell="T5" sqref="T5"/>
    </sheetView>
  </sheetViews>
  <sheetFormatPr defaultColWidth="8" defaultRowHeight="12.75" outlineLevelRow="1" outlineLevelCol="2" x14ac:dyDescent="0.2"/>
  <cols>
    <col min="1" max="1" width="21.75" style="1" customWidth="1"/>
    <col min="2" max="2" width="6.75" style="1" customWidth="1" outlineLevel="2"/>
    <col min="3" max="3" width="6.25" style="1" customWidth="1" outlineLevel="2"/>
    <col min="4" max="4" width="6.75" style="1" customWidth="1" outlineLevel="1"/>
    <col min="5" max="5" width="7.375" style="1" customWidth="1" outlineLevel="1"/>
    <col min="6" max="6" width="8.25" style="1" customWidth="1"/>
    <col min="7" max="7" width="7.25" style="1" customWidth="1"/>
    <col min="8" max="8" width="6.5" style="1" customWidth="1"/>
    <col min="9" max="9" width="7.25" style="1" customWidth="1"/>
    <col min="10" max="10" width="7.625" style="1" customWidth="1"/>
    <col min="11" max="11" width="8.75" style="1" customWidth="1"/>
    <col min="12" max="12" width="6.75" style="1" hidden="1" customWidth="1" outlineLevel="1"/>
    <col min="13" max="13" width="7.125" style="1" hidden="1" customWidth="1" outlineLevel="1"/>
    <col min="14" max="14" width="6.75" style="1" hidden="1" customWidth="1" outlineLevel="1"/>
    <col min="15" max="15" width="7.875" style="1" hidden="1" customWidth="1" outlineLevel="1"/>
    <col min="16" max="16" width="7.625" style="1" hidden="1" customWidth="1" outlineLevel="1"/>
    <col min="17" max="17" width="7.375" style="1" customWidth="1" collapsed="1"/>
    <col min="18" max="18" width="7.125" style="1" customWidth="1"/>
    <col min="19" max="19" width="7.625" style="1" customWidth="1"/>
    <col min="20" max="20" width="7.75" style="1" customWidth="1"/>
    <col min="21" max="21" width="7.625" style="1" customWidth="1"/>
    <col min="22" max="22" width="7.25" style="1" hidden="1" customWidth="1" outlineLevel="1"/>
    <col min="23" max="24" width="0" style="1" hidden="1" customWidth="1" outlineLevel="1"/>
    <col min="25" max="25" width="7.5" style="1" hidden="1" customWidth="1" outlineLevel="1"/>
    <col min="26" max="26" width="0" style="1" hidden="1" customWidth="1" outlineLevel="1"/>
    <col min="27" max="27" width="5.375" style="1" customWidth="1" collapsed="1"/>
    <col min="28" max="16384" width="8" style="1"/>
  </cols>
  <sheetData>
    <row r="1" spans="1:27" ht="31.9" customHeight="1" x14ac:dyDescent="0.25">
      <c r="A1" s="160" t="s">
        <v>152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</row>
    <row r="2" spans="1:27" ht="15.6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0</v>
      </c>
    </row>
    <row r="3" spans="1:27" ht="50.45" customHeight="1" x14ac:dyDescent="0.2">
      <c r="A3" s="161" t="s">
        <v>1</v>
      </c>
      <c r="B3" s="156" t="s">
        <v>179</v>
      </c>
      <c r="C3" s="157"/>
      <c r="D3" s="157"/>
      <c r="E3" s="157"/>
      <c r="F3" s="158"/>
      <c r="G3" s="156" t="s">
        <v>72</v>
      </c>
      <c r="H3" s="157"/>
      <c r="I3" s="157"/>
      <c r="J3" s="157"/>
      <c r="K3" s="158"/>
      <c r="L3" s="156" t="s">
        <v>2</v>
      </c>
      <c r="M3" s="157"/>
      <c r="N3" s="157"/>
      <c r="O3" s="157"/>
      <c r="P3" s="158"/>
      <c r="Q3" s="156" t="s">
        <v>73</v>
      </c>
      <c r="R3" s="157"/>
      <c r="S3" s="157"/>
      <c r="T3" s="157"/>
      <c r="U3" s="158"/>
      <c r="V3" s="156" t="s">
        <v>3</v>
      </c>
      <c r="W3" s="157"/>
      <c r="X3" s="157"/>
      <c r="Y3" s="157"/>
      <c r="Z3" s="158"/>
    </row>
    <row r="4" spans="1:27" ht="34.15" customHeight="1" x14ac:dyDescent="0.2">
      <c r="A4" s="161"/>
      <c r="B4" s="150" t="s">
        <v>4</v>
      </c>
      <c r="C4" s="150" t="s">
        <v>5</v>
      </c>
      <c r="D4" s="150" t="s">
        <v>6</v>
      </c>
      <c r="E4" s="4" t="s">
        <v>7</v>
      </c>
      <c r="F4" s="159" t="s">
        <v>8</v>
      </c>
      <c r="G4" s="150" t="s">
        <v>4</v>
      </c>
      <c r="H4" s="150" t="s">
        <v>5</v>
      </c>
      <c r="I4" s="150" t="s">
        <v>6</v>
      </c>
      <c r="J4" s="4" t="s">
        <v>7</v>
      </c>
      <c r="K4" s="159" t="s">
        <v>181</v>
      </c>
      <c r="L4" s="150" t="s">
        <v>9</v>
      </c>
      <c r="M4" s="150" t="s">
        <v>10</v>
      </c>
      <c r="N4" s="150" t="s">
        <v>11</v>
      </c>
      <c r="O4" s="4" t="s">
        <v>7</v>
      </c>
      <c r="P4" s="159" t="s">
        <v>8</v>
      </c>
      <c r="Q4" s="150" t="s">
        <v>12</v>
      </c>
      <c r="R4" s="150" t="s">
        <v>13</v>
      </c>
      <c r="S4" s="150" t="s">
        <v>11</v>
      </c>
      <c r="T4" s="4" t="s">
        <v>7</v>
      </c>
      <c r="U4" s="159" t="s">
        <v>181</v>
      </c>
      <c r="V4" s="150" t="s">
        <v>14</v>
      </c>
      <c r="W4" s="150" t="s">
        <v>15</v>
      </c>
      <c r="X4" s="150" t="s">
        <v>11</v>
      </c>
      <c r="Y4" s="4" t="s">
        <v>7</v>
      </c>
      <c r="Z4" s="159" t="s">
        <v>16</v>
      </c>
    </row>
    <row r="5" spans="1:27" ht="34.9" customHeight="1" x14ac:dyDescent="0.2">
      <c r="A5" s="161"/>
      <c r="B5" s="151"/>
      <c r="C5" s="151"/>
      <c r="D5" s="151"/>
      <c r="E5" s="5">
        <v>45.379190000000001</v>
      </c>
      <c r="F5" s="159"/>
      <c r="G5" s="151"/>
      <c r="H5" s="151"/>
      <c r="I5" s="151"/>
      <c r="J5" s="5">
        <v>58.508150000000001</v>
      </c>
      <c r="K5" s="159"/>
      <c r="L5" s="151"/>
      <c r="M5" s="151"/>
      <c r="N5" s="151"/>
      <c r="O5" s="6">
        <v>49.456093000000003</v>
      </c>
      <c r="P5" s="159"/>
      <c r="Q5" s="151"/>
      <c r="R5" s="151"/>
      <c r="S5" s="151"/>
      <c r="T5" s="6">
        <v>44.101689999999998</v>
      </c>
      <c r="U5" s="159"/>
      <c r="V5" s="151"/>
      <c r="W5" s="151"/>
      <c r="X5" s="151"/>
      <c r="Y5" s="6">
        <v>39.059207000000001</v>
      </c>
      <c r="Z5" s="159"/>
    </row>
    <row r="6" spans="1:27" x14ac:dyDescent="0.2">
      <c r="A6" s="7" t="s">
        <v>17</v>
      </c>
      <c r="B6" s="8"/>
      <c r="C6" s="9"/>
      <c r="D6" s="8"/>
      <c r="E6" s="10"/>
      <c r="F6" s="10"/>
      <c r="G6" s="10"/>
      <c r="H6" s="10"/>
      <c r="I6" s="8"/>
      <c r="J6" s="11"/>
      <c r="K6" s="12"/>
      <c r="L6" s="8"/>
      <c r="M6" s="9"/>
      <c r="N6" s="8"/>
      <c r="O6" s="11"/>
      <c r="P6" s="10"/>
      <c r="Q6" s="8"/>
      <c r="R6" s="9"/>
      <c r="S6" s="8"/>
      <c r="T6" s="11"/>
      <c r="U6" s="10"/>
      <c r="V6" s="8"/>
      <c r="W6" s="9"/>
      <c r="X6" s="8"/>
      <c r="Y6" s="11"/>
      <c r="Z6" s="10"/>
    </row>
    <row r="7" spans="1:27" x14ac:dyDescent="0.2">
      <c r="A7" s="13" t="s">
        <v>18</v>
      </c>
      <c r="B7" s="14">
        <v>9335</v>
      </c>
      <c r="C7" s="15">
        <v>171</v>
      </c>
      <c r="D7" s="16">
        <f>B7+C7</f>
        <v>9506</v>
      </c>
      <c r="E7" s="11">
        <f>ROUND(D7*$E$5/100,0)-2</f>
        <v>4312</v>
      </c>
      <c r="F7" s="12">
        <f>D7+E7</f>
        <v>13818</v>
      </c>
      <c r="G7" s="14">
        <v>9334</v>
      </c>
      <c r="H7" s="15">
        <v>171</v>
      </c>
      <c r="I7" s="16">
        <f>G7+H7</f>
        <v>9505</v>
      </c>
      <c r="J7" s="11">
        <f t="shared" ref="J7:J25" si="0">ROUND(I7*$J$5/100,0)</f>
        <v>5561</v>
      </c>
      <c r="K7" s="12">
        <f>I7+J7</f>
        <v>15066</v>
      </c>
      <c r="L7" s="14">
        <f>ROUND(G7*1.07,)</f>
        <v>9987</v>
      </c>
      <c r="M7" s="15">
        <f>ROUND(H7*1.07,0)</f>
        <v>183</v>
      </c>
      <c r="N7" s="16">
        <f>L7+M7</f>
        <v>10170</v>
      </c>
      <c r="O7" s="10">
        <f>ROUND(N7*$O$5/100,0)</f>
        <v>5030</v>
      </c>
      <c r="P7" s="12">
        <f>N7+O7</f>
        <v>15200</v>
      </c>
      <c r="Q7" s="14">
        <v>10268</v>
      </c>
      <c r="R7" s="15">
        <v>188</v>
      </c>
      <c r="S7" s="16">
        <f>Q7+R7</f>
        <v>10456</v>
      </c>
      <c r="T7" s="10">
        <f>ROUND(S7*$T$5/100,0)-1</f>
        <v>4610</v>
      </c>
      <c r="U7" s="12">
        <f>S7+T7</f>
        <v>15066</v>
      </c>
      <c r="V7" s="14">
        <f>ROUND(G7*1.15,)</f>
        <v>10734</v>
      </c>
      <c r="W7" s="15">
        <f>ROUND(H7*1.15,0)</f>
        <v>197</v>
      </c>
      <c r="X7" s="16">
        <f>V7+W7</f>
        <v>10931</v>
      </c>
      <c r="Y7" s="10">
        <f>ROUND(X7*$Y$5/100,0)</f>
        <v>4270</v>
      </c>
      <c r="Z7" s="12">
        <f>X7+Y7</f>
        <v>15201</v>
      </c>
      <c r="AA7" s="18"/>
    </row>
    <row r="8" spans="1:27" ht="25.5" x14ac:dyDescent="0.2">
      <c r="A8" s="19" t="s">
        <v>19</v>
      </c>
      <c r="B8" s="14">
        <v>23212</v>
      </c>
      <c r="C8" s="15">
        <v>171</v>
      </c>
      <c r="D8" s="16">
        <f t="shared" ref="D8:D26" si="1">B8+C8</f>
        <v>23383</v>
      </c>
      <c r="E8" s="11">
        <f t="shared" ref="E8:E21" si="2">ROUND(D8*$E$5/100,0)</f>
        <v>10611</v>
      </c>
      <c r="F8" s="12">
        <f>D8+E8</f>
        <v>33994</v>
      </c>
      <c r="G8" s="14">
        <v>23214</v>
      </c>
      <c r="H8" s="15">
        <v>171</v>
      </c>
      <c r="I8" s="16">
        <f t="shared" ref="I8:I26" si="3">G8+H8</f>
        <v>23385</v>
      </c>
      <c r="J8" s="11">
        <f>ROUND(I8*$J$5/100,0)</f>
        <v>13682</v>
      </c>
      <c r="K8" s="12">
        <f>I8+J8</f>
        <v>37067</v>
      </c>
      <c r="L8" s="14">
        <f t="shared" ref="L8:L26" si="4">ROUND(G8*1.07,)</f>
        <v>24839</v>
      </c>
      <c r="M8" s="15">
        <f t="shared" ref="M8:M26" si="5">ROUND(H8*1.07,0)</f>
        <v>183</v>
      </c>
      <c r="N8" s="16">
        <f>L8+M8</f>
        <v>25022</v>
      </c>
      <c r="O8" s="10">
        <f t="shared" ref="O8:O26" si="6">ROUND(N8*$O$5/100,0)</f>
        <v>12375</v>
      </c>
      <c r="P8" s="12">
        <f>N8+O8</f>
        <v>37397</v>
      </c>
      <c r="Q8" s="14">
        <v>25535</v>
      </c>
      <c r="R8" s="15">
        <v>188</v>
      </c>
      <c r="S8" s="16">
        <f>Q8+R8</f>
        <v>25723</v>
      </c>
      <c r="T8" s="10">
        <f>ROUND(S8*$T$5/100,0)</f>
        <v>11344</v>
      </c>
      <c r="U8" s="12">
        <f>S8+T8</f>
        <v>37067</v>
      </c>
      <c r="V8" s="14">
        <f t="shared" ref="V8:V26" si="7">ROUND(G8*1.15,)</f>
        <v>26696</v>
      </c>
      <c r="W8" s="15">
        <f t="shared" ref="W8:W26" si="8">ROUND(H8*1.15,0)</f>
        <v>197</v>
      </c>
      <c r="X8" s="16">
        <f>V8+W8</f>
        <v>26893</v>
      </c>
      <c r="Y8" s="10">
        <f t="shared" ref="Y8:Y26" si="9">ROUND(X8*$Y$5/100,0)</f>
        <v>10504</v>
      </c>
      <c r="Z8" s="12">
        <f>X8+Y8</f>
        <v>37397</v>
      </c>
      <c r="AA8" s="18"/>
    </row>
    <row r="9" spans="1:27" x14ac:dyDescent="0.2">
      <c r="A9" s="20" t="s">
        <v>20</v>
      </c>
      <c r="B9" s="14"/>
      <c r="C9" s="21"/>
      <c r="D9" s="16"/>
      <c r="E9" s="11"/>
      <c r="F9" s="22"/>
      <c r="G9" s="14"/>
      <c r="H9" s="21"/>
      <c r="I9" s="16"/>
      <c r="J9" s="11"/>
      <c r="K9" s="12"/>
      <c r="L9" s="14">
        <f t="shared" si="4"/>
        <v>0</v>
      </c>
      <c r="M9" s="15">
        <f t="shared" si="5"/>
        <v>0</v>
      </c>
      <c r="N9" s="16"/>
      <c r="O9" s="10">
        <f t="shared" si="6"/>
        <v>0</v>
      </c>
      <c r="P9" s="22"/>
      <c r="Q9" s="14">
        <f t="shared" ref="Q9:Q24" si="10">ROUND(J9*1.1,0)</f>
        <v>0</v>
      </c>
      <c r="R9" s="21"/>
      <c r="S9" s="16"/>
      <c r="T9" s="10"/>
      <c r="U9" s="22"/>
      <c r="V9" s="14">
        <f t="shared" si="7"/>
        <v>0</v>
      </c>
      <c r="W9" s="15">
        <f t="shared" si="8"/>
        <v>0</v>
      </c>
      <c r="X9" s="16"/>
      <c r="Y9" s="10">
        <f t="shared" si="9"/>
        <v>0</v>
      </c>
      <c r="Z9" s="22"/>
      <c r="AA9" s="18"/>
    </row>
    <row r="10" spans="1:27" ht="15.75" x14ac:dyDescent="0.25">
      <c r="A10" s="19" t="s">
        <v>21</v>
      </c>
      <c r="B10" s="23">
        <v>14058</v>
      </c>
      <c r="C10" s="24">
        <v>342</v>
      </c>
      <c r="D10" s="16">
        <f>B10+C10</f>
        <v>14400</v>
      </c>
      <c r="E10" s="11">
        <f>ROUND(D10*$E$5/100,0)</f>
        <v>6535</v>
      </c>
      <c r="F10" s="12">
        <f>D10+E10</f>
        <v>20935</v>
      </c>
      <c r="G10" s="23">
        <v>14104</v>
      </c>
      <c r="H10" s="24">
        <v>342</v>
      </c>
      <c r="I10" s="16">
        <f>G10+H10</f>
        <v>14446</v>
      </c>
      <c r="J10" s="11">
        <f>ROUND(I10*$J$5/100,0)</f>
        <v>8452</v>
      </c>
      <c r="K10" s="12">
        <f>I10+J10</f>
        <v>22898</v>
      </c>
      <c r="L10" s="14">
        <f t="shared" si="4"/>
        <v>15091</v>
      </c>
      <c r="M10" s="15">
        <f t="shared" si="5"/>
        <v>366</v>
      </c>
      <c r="N10" s="16">
        <f>L10+M10</f>
        <v>15457</v>
      </c>
      <c r="O10" s="10">
        <f t="shared" si="6"/>
        <v>7644</v>
      </c>
      <c r="P10" s="12">
        <f>N10+O10</f>
        <v>23101</v>
      </c>
      <c r="Q10" s="14">
        <v>15514</v>
      </c>
      <c r="R10" s="54">
        <v>376</v>
      </c>
      <c r="S10" s="16">
        <f>Q10+R10</f>
        <v>15890</v>
      </c>
      <c r="T10" s="10">
        <f>ROUND(S10*$T$5/100,0)</f>
        <v>7008</v>
      </c>
      <c r="U10" s="12">
        <f>S10+T10</f>
        <v>22898</v>
      </c>
      <c r="V10" s="14">
        <f t="shared" si="7"/>
        <v>16220</v>
      </c>
      <c r="W10" s="15">
        <f t="shared" si="8"/>
        <v>393</v>
      </c>
      <c r="X10" s="16">
        <f>V10+W10</f>
        <v>16613</v>
      </c>
      <c r="Y10" s="10">
        <f t="shared" si="9"/>
        <v>6489</v>
      </c>
      <c r="Z10" s="12">
        <f>X10+Y10</f>
        <v>23102</v>
      </c>
      <c r="AA10" s="18"/>
    </row>
    <row r="11" spans="1:27" ht="29.45" customHeight="1" x14ac:dyDescent="0.25">
      <c r="A11" s="13" t="s">
        <v>22</v>
      </c>
      <c r="B11" s="14">
        <v>25105</v>
      </c>
      <c r="C11" s="15">
        <v>312</v>
      </c>
      <c r="D11" s="16">
        <f t="shared" si="1"/>
        <v>25417</v>
      </c>
      <c r="E11" s="11">
        <f>ROUND(D11*$E$5/100,0)+1</f>
        <v>11535</v>
      </c>
      <c r="F11" s="12">
        <f t="shared" ref="F11:F26" si="11">D11+E11</f>
        <v>36952</v>
      </c>
      <c r="G11" s="14">
        <v>25106</v>
      </c>
      <c r="H11" s="15">
        <v>315</v>
      </c>
      <c r="I11" s="16">
        <f t="shared" si="3"/>
        <v>25421</v>
      </c>
      <c r="J11" s="11">
        <f t="shared" si="0"/>
        <v>14873</v>
      </c>
      <c r="K11" s="12">
        <f t="shared" ref="K11:K26" si="12">I11+J11</f>
        <v>40294</v>
      </c>
      <c r="L11" s="14">
        <f t="shared" si="4"/>
        <v>26863</v>
      </c>
      <c r="M11" s="15">
        <f t="shared" si="5"/>
        <v>337</v>
      </c>
      <c r="N11" s="16">
        <f t="shared" ref="N11:N17" si="13">L11+M11</f>
        <v>27200</v>
      </c>
      <c r="O11" s="10">
        <f t="shared" si="6"/>
        <v>13452</v>
      </c>
      <c r="P11" s="12">
        <f t="shared" ref="P11:P17" si="14">N11+O11</f>
        <v>40652</v>
      </c>
      <c r="Q11" s="14">
        <v>27617</v>
      </c>
      <c r="R11" s="55">
        <v>347</v>
      </c>
      <c r="S11" s="16">
        <f t="shared" ref="S11:S17" si="15">Q11+R11</f>
        <v>27964</v>
      </c>
      <c r="T11" s="10">
        <f>ROUND(S11*$T$5/100,0)-3</f>
        <v>12330</v>
      </c>
      <c r="U11" s="12">
        <f t="shared" ref="U11:U26" si="16">S11+T11</f>
        <v>40294</v>
      </c>
      <c r="V11" s="14">
        <f t="shared" si="7"/>
        <v>28872</v>
      </c>
      <c r="W11" s="15">
        <f t="shared" si="8"/>
        <v>362</v>
      </c>
      <c r="X11" s="16">
        <f t="shared" ref="X11:X17" si="17">V11+W11</f>
        <v>29234</v>
      </c>
      <c r="Y11" s="10">
        <f t="shared" si="9"/>
        <v>11419</v>
      </c>
      <c r="Z11" s="12">
        <f t="shared" ref="Z11:Z17" si="18">X11+Y11</f>
        <v>40653</v>
      </c>
      <c r="AA11" s="18"/>
    </row>
    <row r="12" spans="1:27" ht="26.25" x14ac:dyDescent="0.25">
      <c r="A12" s="13" t="s">
        <v>23</v>
      </c>
      <c r="B12" s="14">
        <v>16816</v>
      </c>
      <c r="C12" s="15">
        <v>256</v>
      </c>
      <c r="D12" s="16">
        <f t="shared" si="1"/>
        <v>17072</v>
      </c>
      <c r="E12" s="11">
        <f>ROUND(D12*$E$5/100,0)</f>
        <v>7747</v>
      </c>
      <c r="F12" s="25">
        <f t="shared" si="11"/>
        <v>24819</v>
      </c>
      <c r="G12" s="14">
        <v>16817</v>
      </c>
      <c r="H12" s="15">
        <v>257</v>
      </c>
      <c r="I12" s="16">
        <f t="shared" si="3"/>
        <v>17074</v>
      </c>
      <c r="J12" s="11">
        <f>ROUND(I12*$J$5/100,0)</f>
        <v>9990</v>
      </c>
      <c r="K12" s="12">
        <f t="shared" si="12"/>
        <v>27064</v>
      </c>
      <c r="L12" s="14">
        <f t="shared" si="4"/>
        <v>17994</v>
      </c>
      <c r="M12" s="15">
        <f t="shared" si="5"/>
        <v>275</v>
      </c>
      <c r="N12" s="16">
        <f t="shared" si="13"/>
        <v>18269</v>
      </c>
      <c r="O12" s="10">
        <f t="shared" si="6"/>
        <v>9035</v>
      </c>
      <c r="P12" s="25">
        <f t="shared" si="14"/>
        <v>27304</v>
      </c>
      <c r="Q12" s="14">
        <v>18497</v>
      </c>
      <c r="R12" s="55">
        <v>282</v>
      </c>
      <c r="S12" s="16">
        <f t="shared" si="15"/>
        <v>18779</v>
      </c>
      <c r="T12" s="10">
        <f>ROUND(S12*$T$5/100,0)+3</f>
        <v>8285</v>
      </c>
      <c r="U12" s="25">
        <f t="shared" si="16"/>
        <v>27064</v>
      </c>
      <c r="V12" s="14">
        <f t="shared" si="7"/>
        <v>19340</v>
      </c>
      <c r="W12" s="15">
        <f t="shared" si="8"/>
        <v>296</v>
      </c>
      <c r="X12" s="16">
        <f t="shared" si="17"/>
        <v>19636</v>
      </c>
      <c r="Y12" s="10">
        <f t="shared" si="9"/>
        <v>7670</v>
      </c>
      <c r="Z12" s="25">
        <f t="shared" si="18"/>
        <v>27306</v>
      </c>
      <c r="AA12" s="18"/>
    </row>
    <row r="13" spans="1:27" ht="15.75" x14ac:dyDescent="0.25">
      <c r="A13" s="13" t="s">
        <v>24</v>
      </c>
      <c r="B13" s="14">
        <v>6072</v>
      </c>
      <c r="C13" s="15">
        <v>171</v>
      </c>
      <c r="D13" s="16">
        <f t="shared" si="1"/>
        <v>6243</v>
      </c>
      <c r="E13" s="11">
        <f>ROUND(D13*$E$5/100,0)-1</f>
        <v>2832</v>
      </c>
      <c r="F13" s="25">
        <f t="shared" si="11"/>
        <v>9075</v>
      </c>
      <c r="G13" s="14">
        <v>6076</v>
      </c>
      <c r="H13" s="15">
        <v>171</v>
      </c>
      <c r="I13" s="16">
        <f t="shared" si="3"/>
        <v>6247</v>
      </c>
      <c r="J13" s="11">
        <f t="shared" si="0"/>
        <v>3655</v>
      </c>
      <c r="K13" s="12">
        <f t="shared" si="12"/>
        <v>9902</v>
      </c>
      <c r="L13" s="14">
        <f t="shared" si="4"/>
        <v>6501</v>
      </c>
      <c r="M13" s="15">
        <f t="shared" si="5"/>
        <v>183</v>
      </c>
      <c r="N13" s="16">
        <f t="shared" si="13"/>
        <v>6684</v>
      </c>
      <c r="O13" s="10">
        <f t="shared" si="6"/>
        <v>3306</v>
      </c>
      <c r="P13" s="25">
        <f t="shared" si="14"/>
        <v>9990</v>
      </c>
      <c r="Q13" s="14">
        <v>6680</v>
      </c>
      <c r="R13" s="55">
        <v>188</v>
      </c>
      <c r="S13" s="16">
        <f t="shared" si="15"/>
        <v>6868</v>
      </c>
      <c r="T13" s="10">
        <f>ROUND(S13*$T$5/100,0)+5</f>
        <v>3034</v>
      </c>
      <c r="U13" s="25">
        <f t="shared" si="16"/>
        <v>9902</v>
      </c>
      <c r="V13" s="14">
        <f t="shared" si="7"/>
        <v>6987</v>
      </c>
      <c r="W13" s="15">
        <f t="shared" si="8"/>
        <v>197</v>
      </c>
      <c r="X13" s="16">
        <f t="shared" si="17"/>
        <v>7184</v>
      </c>
      <c r="Y13" s="10">
        <f t="shared" si="9"/>
        <v>2806</v>
      </c>
      <c r="Z13" s="25">
        <f t="shared" si="18"/>
        <v>9990</v>
      </c>
      <c r="AA13" s="18"/>
    </row>
    <row r="14" spans="1:27" ht="26.25" x14ac:dyDescent="0.25">
      <c r="A14" s="13" t="s">
        <v>25</v>
      </c>
      <c r="B14" s="14">
        <v>6762</v>
      </c>
      <c r="C14" s="15">
        <v>66</v>
      </c>
      <c r="D14" s="16">
        <f t="shared" si="1"/>
        <v>6828</v>
      </c>
      <c r="E14" s="11">
        <f>ROUND(D14*$E$5/100,0)</f>
        <v>3098</v>
      </c>
      <c r="F14" s="25">
        <f t="shared" si="11"/>
        <v>9926</v>
      </c>
      <c r="G14" s="14">
        <v>6763</v>
      </c>
      <c r="H14" s="15">
        <v>66</v>
      </c>
      <c r="I14" s="16">
        <f t="shared" si="3"/>
        <v>6829</v>
      </c>
      <c r="J14" s="11">
        <f>ROUND(I14*$J$5/100,0)-1</f>
        <v>3995</v>
      </c>
      <c r="K14" s="12">
        <f t="shared" si="12"/>
        <v>10824</v>
      </c>
      <c r="L14" s="14">
        <f t="shared" si="4"/>
        <v>7236</v>
      </c>
      <c r="M14" s="15">
        <f t="shared" si="5"/>
        <v>71</v>
      </c>
      <c r="N14" s="16">
        <f t="shared" si="13"/>
        <v>7307</v>
      </c>
      <c r="O14" s="10">
        <f t="shared" si="6"/>
        <v>3614</v>
      </c>
      <c r="P14" s="25">
        <f t="shared" si="14"/>
        <v>10921</v>
      </c>
      <c r="Q14" s="14">
        <v>7438</v>
      </c>
      <c r="R14" s="55">
        <v>73</v>
      </c>
      <c r="S14" s="16">
        <f t="shared" si="15"/>
        <v>7511</v>
      </c>
      <c r="T14" s="10">
        <f>ROUND(S14*$T$5/100,0)+1</f>
        <v>3313</v>
      </c>
      <c r="U14" s="25">
        <f t="shared" si="16"/>
        <v>10824</v>
      </c>
      <c r="V14" s="14">
        <f t="shared" si="7"/>
        <v>7777</v>
      </c>
      <c r="W14" s="15">
        <f t="shared" si="8"/>
        <v>76</v>
      </c>
      <c r="X14" s="16">
        <f t="shared" si="17"/>
        <v>7853</v>
      </c>
      <c r="Y14" s="10">
        <f t="shared" si="9"/>
        <v>3067</v>
      </c>
      <c r="Z14" s="25">
        <f t="shared" si="18"/>
        <v>10920</v>
      </c>
      <c r="AA14" s="18"/>
    </row>
    <row r="15" spans="1:27" ht="15.75" x14ac:dyDescent="0.25">
      <c r="A15" s="13" t="s">
        <v>26</v>
      </c>
      <c r="B15" s="14">
        <v>7989</v>
      </c>
      <c r="C15" s="15">
        <v>198</v>
      </c>
      <c r="D15" s="16">
        <f t="shared" si="1"/>
        <v>8187</v>
      </c>
      <c r="E15" s="11">
        <f>ROUND(D15*$E$5/100,0)+1</f>
        <v>3716</v>
      </c>
      <c r="F15" s="25">
        <f t="shared" si="11"/>
        <v>11903</v>
      </c>
      <c r="G15" s="14">
        <v>8037</v>
      </c>
      <c r="H15" s="15">
        <v>199</v>
      </c>
      <c r="I15" s="16">
        <f t="shared" si="3"/>
        <v>8236</v>
      </c>
      <c r="J15" s="11">
        <f t="shared" si="0"/>
        <v>4819</v>
      </c>
      <c r="K15" s="12">
        <f t="shared" si="12"/>
        <v>13055</v>
      </c>
      <c r="L15" s="14">
        <f t="shared" si="4"/>
        <v>8600</v>
      </c>
      <c r="M15" s="15">
        <f t="shared" si="5"/>
        <v>213</v>
      </c>
      <c r="N15" s="16">
        <f t="shared" si="13"/>
        <v>8813</v>
      </c>
      <c r="O15" s="10">
        <f t="shared" si="6"/>
        <v>4359</v>
      </c>
      <c r="P15" s="25">
        <f t="shared" si="14"/>
        <v>13172</v>
      </c>
      <c r="Q15" s="14">
        <v>8841</v>
      </c>
      <c r="R15" s="55">
        <v>218</v>
      </c>
      <c r="S15" s="16">
        <f t="shared" si="15"/>
        <v>9059</v>
      </c>
      <c r="T15" s="10">
        <f>ROUND(S15*$T$5/100,0)+1</f>
        <v>3996</v>
      </c>
      <c r="U15" s="25">
        <f t="shared" si="16"/>
        <v>13055</v>
      </c>
      <c r="V15" s="14">
        <f t="shared" si="7"/>
        <v>9243</v>
      </c>
      <c r="W15" s="15">
        <f t="shared" si="8"/>
        <v>229</v>
      </c>
      <c r="X15" s="16">
        <f t="shared" si="17"/>
        <v>9472</v>
      </c>
      <c r="Y15" s="10">
        <f t="shared" si="9"/>
        <v>3700</v>
      </c>
      <c r="Z15" s="25">
        <f t="shared" si="18"/>
        <v>13172</v>
      </c>
      <c r="AA15" s="18"/>
    </row>
    <row r="16" spans="1:27" ht="15.75" x14ac:dyDescent="0.25">
      <c r="A16" s="13" t="s">
        <v>27</v>
      </c>
      <c r="B16" s="14">
        <v>14334</v>
      </c>
      <c r="C16" s="15">
        <v>304</v>
      </c>
      <c r="D16" s="16">
        <f t="shared" si="1"/>
        <v>14638</v>
      </c>
      <c r="E16" s="11">
        <f>ROUND(D16*$E$5/100,0)-1</f>
        <v>6642</v>
      </c>
      <c r="F16" s="25">
        <f t="shared" si="11"/>
        <v>21280</v>
      </c>
      <c r="G16" s="14">
        <v>14332</v>
      </c>
      <c r="H16" s="15">
        <v>303</v>
      </c>
      <c r="I16" s="16">
        <f t="shared" si="3"/>
        <v>14635</v>
      </c>
      <c r="J16" s="11">
        <f t="shared" si="0"/>
        <v>8563</v>
      </c>
      <c r="K16" s="12">
        <f t="shared" si="12"/>
        <v>23198</v>
      </c>
      <c r="L16" s="14">
        <f t="shared" si="4"/>
        <v>15335</v>
      </c>
      <c r="M16" s="15">
        <f t="shared" si="5"/>
        <v>324</v>
      </c>
      <c r="N16" s="16">
        <f t="shared" si="13"/>
        <v>15659</v>
      </c>
      <c r="O16" s="10">
        <f t="shared" si="6"/>
        <v>7744</v>
      </c>
      <c r="P16" s="25">
        <f t="shared" si="14"/>
        <v>23403</v>
      </c>
      <c r="Q16" s="14">
        <v>15766</v>
      </c>
      <c r="R16" s="55">
        <v>334</v>
      </c>
      <c r="S16" s="16">
        <f t="shared" si="15"/>
        <v>16100</v>
      </c>
      <c r="T16" s="10">
        <f>ROUND(S16*$T$5/100,0)-2</f>
        <v>7098</v>
      </c>
      <c r="U16" s="25">
        <f t="shared" si="16"/>
        <v>23198</v>
      </c>
      <c r="V16" s="14">
        <f t="shared" si="7"/>
        <v>16482</v>
      </c>
      <c r="W16" s="15">
        <f t="shared" si="8"/>
        <v>348</v>
      </c>
      <c r="X16" s="16">
        <f t="shared" si="17"/>
        <v>16830</v>
      </c>
      <c r="Y16" s="10">
        <f t="shared" si="9"/>
        <v>6574</v>
      </c>
      <c r="Z16" s="25">
        <f t="shared" si="18"/>
        <v>23404</v>
      </c>
      <c r="AA16" s="18"/>
    </row>
    <row r="17" spans="1:27" ht="15.75" customHeight="1" x14ac:dyDescent="0.25">
      <c r="A17" s="19" t="s">
        <v>28</v>
      </c>
      <c r="B17" s="14">
        <v>12723</v>
      </c>
      <c r="C17" s="15">
        <v>113</v>
      </c>
      <c r="D17" s="16">
        <f t="shared" si="1"/>
        <v>12836</v>
      </c>
      <c r="E17" s="11">
        <f>ROUND(D17*$E$5/100,0)</f>
        <v>5825</v>
      </c>
      <c r="F17" s="25">
        <f t="shared" si="11"/>
        <v>18661</v>
      </c>
      <c r="G17" s="14">
        <v>12722</v>
      </c>
      <c r="H17" s="15">
        <v>114</v>
      </c>
      <c r="I17" s="16">
        <f t="shared" si="3"/>
        <v>12836</v>
      </c>
      <c r="J17" s="11">
        <f>ROUND(I17*$J$5/100,0)</f>
        <v>7510</v>
      </c>
      <c r="K17" s="12">
        <f t="shared" si="12"/>
        <v>20346</v>
      </c>
      <c r="L17" s="14">
        <f t="shared" si="4"/>
        <v>13613</v>
      </c>
      <c r="M17" s="15">
        <f t="shared" si="5"/>
        <v>122</v>
      </c>
      <c r="N17" s="16">
        <f t="shared" si="13"/>
        <v>13735</v>
      </c>
      <c r="O17" s="10">
        <f t="shared" si="6"/>
        <v>6793</v>
      </c>
      <c r="P17" s="25">
        <f t="shared" si="14"/>
        <v>20528</v>
      </c>
      <c r="Q17" s="14">
        <v>13995</v>
      </c>
      <c r="R17" s="55">
        <v>125</v>
      </c>
      <c r="S17" s="16">
        <f t="shared" si="15"/>
        <v>14120</v>
      </c>
      <c r="T17" s="10">
        <f t="shared" ref="T17" si="19">ROUND(S17*$T$5/100,0)-1</f>
        <v>6226</v>
      </c>
      <c r="U17" s="25">
        <f t="shared" si="16"/>
        <v>20346</v>
      </c>
      <c r="V17" s="14">
        <f t="shared" si="7"/>
        <v>14630</v>
      </c>
      <c r="W17" s="15">
        <f t="shared" si="8"/>
        <v>131</v>
      </c>
      <c r="X17" s="16">
        <f t="shared" si="17"/>
        <v>14761</v>
      </c>
      <c r="Y17" s="10">
        <f t="shared" si="9"/>
        <v>5766</v>
      </c>
      <c r="Z17" s="25">
        <f t="shared" si="18"/>
        <v>20527</v>
      </c>
      <c r="AA17" s="18"/>
    </row>
    <row r="18" spans="1:27" s="26" customFormat="1" ht="16.149999999999999" customHeight="1" x14ac:dyDescent="0.25">
      <c r="A18" s="20" t="s">
        <v>29</v>
      </c>
      <c r="B18" s="14"/>
      <c r="C18" s="21"/>
      <c r="D18" s="16"/>
      <c r="E18" s="11"/>
      <c r="F18" s="25"/>
      <c r="G18" s="14"/>
      <c r="H18" s="21"/>
      <c r="I18" s="16"/>
      <c r="J18" s="11"/>
      <c r="K18" s="12"/>
      <c r="L18" s="14">
        <f t="shared" si="4"/>
        <v>0</v>
      </c>
      <c r="M18" s="15">
        <f t="shared" si="5"/>
        <v>0</v>
      </c>
      <c r="N18" s="16"/>
      <c r="O18" s="10">
        <f t="shared" si="6"/>
        <v>0</v>
      </c>
      <c r="P18" s="25"/>
      <c r="Q18" s="14">
        <f t="shared" si="10"/>
        <v>0</v>
      </c>
      <c r="R18" s="56"/>
      <c r="S18" s="16"/>
      <c r="T18" s="10"/>
      <c r="U18" s="25"/>
      <c r="V18" s="14">
        <f t="shared" si="7"/>
        <v>0</v>
      </c>
      <c r="W18" s="15">
        <f t="shared" si="8"/>
        <v>0</v>
      </c>
      <c r="X18" s="16"/>
      <c r="Y18" s="10">
        <f t="shared" si="9"/>
        <v>0</v>
      </c>
      <c r="Z18" s="25"/>
      <c r="AA18" s="18"/>
    </row>
    <row r="19" spans="1:27" s="26" customFormat="1" ht="15.75" x14ac:dyDescent="0.25">
      <c r="A19" s="13" t="s">
        <v>30</v>
      </c>
      <c r="B19" s="14">
        <v>1544</v>
      </c>
      <c r="C19" s="15">
        <v>70</v>
      </c>
      <c r="D19" s="16">
        <f t="shared" si="1"/>
        <v>1614</v>
      </c>
      <c r="E19" s="11">
        <f>ROUND(D19*$E$5/100,0)+2</f>
        <v>734</v>
      </c>
      <c r="F19" s="25">
        <f t="shared" si="11"/>
        <v>2348</v>
      </c>
      <c r="G19" s="14">
        <v>1611</v>
      </c>
      <c r="H19" s="15">
        <v>71</v>
      </c>
      <c r="I19" s="16">
        <f t="shared" si="3"/>
        <v>1682</v>
      </c>
      <c r="J19" s="11">
        <f t="shared" si="0"/>
        <v>984</v>
      </c>
      <c r="K19" s="12">
        <f t="shared" si="12"/>
        <v>2666</v>
      </c>
      <c r="L19" s="14">
        <f t="shared" si="4"/>
        <v>1724</v>
      </c>
      <c r="M19" s="15">
        <f t="shared" si="5"/>
        <v>76</v>
      </c>
      <c r="N19" s="16">
        <f>L19+M19</f>
        <v>1800</v>
      </c>
      <c r="O19" s="10">
        <f t="shared" si="6"/>
        <v>890</v>
      </c>
      <c r="P19" s="25">
        <f t="shared" ref="P19:P23" si="20">N19+O19</f>
        <v>2690</v>
      </c>
      <c r="Q19" s="14">
        <v>1772</v>
      </c>
      <c r="R19" s="55">
        <v>78</v>
      </c>
      <c r="S19" s="16">
        <f>Q19+R19</f>
        <v>1850</v>
      </c>
      <c r="T19" s="10">
        <f>ROUND(S19*$T$5/100,0)</f>
        <v>816</v>
      </c>
      <c r="U19" s="25">
        <f t="shared" si="16"/>
        <v>2666</v>
      </c>
      <c r="V19" s="14">
        <f t="shared" si="7"/>
        <v>1853</v>
      </c>
      <c r="W19" s="15">
        <f t="shared" si="8"/>
        <v>82</v>
      </c>
      <c r="X19" s="16">
        <f>V19+W19</f>
        <v>1935</v>
      </c>
      <c r="Y19" s="17">
        <f>ROUND(X19*$Y$5/100,0)+1</f>
        <v>757</v>
      </c>
      <c r="Z19" s="25">
        <f t="shared" ref="Z19:Z23" si="21">X19+Y19</f>
        <v>2692</v>
      </c>
      <c r="AA19" s="18"/>
    </row>
    <row r="20" spans="1:27" s="26" customFormat="1" ht="15.75" x14ac:dyDescent="0.25">
      <c r="A20" s="13" t="s">
        <v>31</v>
      </c>
      <c r="B20" s="14">
        <v>2203</v>
      </c>
      <c r="C20" s="15">
        <v>132</v>
      </c>
      <c r="D20" s="16">
        <f t="shared" si="1"/>
        <v>2335</v>
      </c>
      <c r="E20" s="11">
        <f>ROUND(D20*$E$5/100,0)</f>
        <v>1060</v>
      </c>
      <c r="F20" s="25">
        <f t="shared" si="11"/>
        <v>3395</v>
      </c>
      <c r="G20" s="14">
        <v>2204</v>
      </c>
      <c r="H20" s="15">
        <v>132</v>
      </c>
      <c r="I20" s="16">
        <f t="shared" si="3"/>
        <v>2336</v>
      </c>
      <c r="J20" s="11">
        <f t="shared" si="0"/>
        <v>1367</v>
      </c>
      <c r="K20" s="12">
        <f t="shared" si="12"/>
        <v>3703</v>
      </c>
      <c r="L20" s="14">
        <f t="shared" si="4"/>
        <v>2358</v>
      </c>
      <c r="M20" s="15">
        <f t="shared" si="5"/>
        <v>141</v>
      </c>
      <c r="N20" s="16">
        <f>L20+M20</f>
        <v>2499</v>
      </c>
      <c r="O20" s="10">
        <f t="shared" si="6"/>
        <v>1236</v>
      </c>
      <c r="P20" s="25">
        <f t="shared" si="20"/>
        <v>3735</v>
      </c>
      <c r="Q20" s="14">
        <v>2424</v>
      </c>
      <c r="R20" s="55">
        <v>146</v>
      </c>
      <c r="S20" s="16">
        <f>Q20+R20</f>
        <v>2570</v>
      </c>
      <c r="T20" s="10">
        <f>ROUND(S20*$T$5/100,0)</f>
        <v>1133</v>
      </c>
      <c r="U20" s="25">
        <f t="shared" si="16"/>
        <v>3703</v>
      </c>
      <c r="V20" s="14">
        <f t="shared" si="7"/>
        <v>2535</v>
      </c>
      <c r="W20" s="15">
        <f t="shared" si="8"/>
        <v>152</v>
      </c>
      <c r="X20" s="16">
        <f>V20+W20</f>
        <v>2687</v>
      </c>
      <c r="Y20" s="10">
        <f t="shared" si="9"/>
        <v>1050</v>
      </c>
      <c r="Z20" s="25">
        <f t="shared" si="21"/>
        <v>3737</v>
      </c>
      <c r="AA20" s="18"/>
    </row>
    <row r="21" spans="1:27" s="26" customFormat="1" ht="15.75" x14ac:dyDescent="0.25">
      <c r="A21" s="13" t="s">
        <v>32</v>
      </c>
      <c r="B21" s="14">
        <v>2017</v>
      </c>
      <c r="C21" s="15">
        <v>76</v>
      </c>
      <c r="D21" s="16">
        <f t="shared" si="1"/>
        <v>2093</v>
      </c>
      <c r="E21" s="11">
        <f t="shared" si="2"/>
        <v>950</v>
      </c>
      <c r="F21" s="25">
        <f t="shared" si="11"/>
        <v>3043</v>
      </c>
      <c r="G21" s="14">
        <v>2031</v>
      </c>
      <c r="H21" s="15">
        <v>76</v>
      </c>
      <c r="I21" s="16">
        <f t="shared" si="3"/>
        <v>2107</v>
      </c>
      <c r="J21" s="11">
        <f t="shared" si="0"/>
        <v>1233</v>
      </c>
      <c r="K21" s="12">
        <f t="shared" si="12"/>
        <v>3340</v>
      </c>
      <c r="L21" s="14">
        <f t="shared" si="4"/>
        <v>2173</v>
      </c>
      <c r="M21" s="15">
        <f t="shared" si="5"/>
        <v>81</v>
      </c>
      <c r="N21" s="16">
        <f>L21+M21</f>
        <v>2254</v>
      </c>
      <c r="O21" s="10">
        <f t="shared" si="6"/>
        <v>1115</v>
      </c>
      <c r="P21" s="25">
        <f t="shared" si="20"/>
        <v>3369</v>
      </c>
      <c r="Q21" s="14">
        <v>2234</v>
      </c>
      <c r="R21" s="55">
        <v>83</v>
      </c>
      <c r="S21" s="16">
        <f>Q21+R21</f>
        <v>2317</v>
      </c>
      <c r="T21" s="10">
        <f>ROUND(S21*$T$5/100,0)+1</f>
        <v>1023</v>
      </c>
      <c r="U21" s="25">
        <f t="shared" si="16"/>
        <v>3340</v>
      </c>
      <c r="V21" s="14">
        <f t="shared" si="7"/>
        <v>2336</v>
      </c>
      <c r="W21" s="15">
        <f t="shared" si="8"/>
        <v>87</v>
      </c>
      <c r="X21" s="16">
        <f>V21+W21</f>
        <v>2423</v>
      </c>
      <c r="Y21" s="10">
        <f t="shared" si="9"/>
        <v>946</v>
      </c>
      <c r="Z21" s="25">
        <f t="shared" si="21"/>
        <v>3369</v>
      </c>
      <c r="AA21" s="18"/>
    </row>
    <row r="22" spans="1:27" s="26" customFormat="1" ht="15.75" x14ac:dyDescent="0.25">
      <c r="A22" s="13" t="s">
        <v>33</v>
      </c>
      <c r="B22" s="14">
        <f>2955+229</f>
        <v>3184</v>
      </c>
      <c r="C22" s="15">
        <f>171+43</f>
        <v>214</v>
      </c>
      <c r="D22" s="16">
        <f t="shared" si="1"/>
        <v>3398</v>
      </c>
      <c r="E22" s="11">
        <f>ROUND(D22*$E$5/100,0)-1</f>
        <v>1541</v>
      </c>
      <c r="F22" s="25">
        <f t="shared" si="11"/>
        <v>4939</v>
      </c>
      <c r="G22" s="14">
        <v>3672</v>
      </c>
      <c r="H22" s="15">
        <v>257</v>
      </c>
      <c r="I22" s="16">
        <f t="shared" si="3"/>
        <v>3929</v>
      </c>
      <c r="J22" s="11">
        <f t="shared" si="0"/>
        <v>2299</v>
      </c>
      <c r="K22" s="12">
        <f t="shared" si="12"/>
        <v>6228</v>
      </c>
      <c r="L22" s="14">
        <f t="shared" si="4"/>
        <v>3929</v>
      </c>
      <c r="M22" s="15">
        <f t="shared" si="5"/>
        <v>275</v>
      </c>
      <c r="N22" s="16">
        <f>L22+M22</f>
        <v>4204</v>
      </c>
      <c r="O22" s="10">
        <f t="shared" si="6"/>
        <v>2079</v>
      </c>
      <c r="P22" s="25">
        <f t="shared" si="20"/>
        <v>6283</v>
      </c>
      <c r="Q22" s="14">
        <v>4040</v>
      </c>
      <c r="R22" s="55">
        <v>282</v>
      </c>
      <c r="S22" s="16">
        <f>Q22+R22</f>
        <v>4322</v>
      </c>
      <c r="T22" s="10">
        <f>ROUND(S22*$T$5/100,0)</f>
        <v>1906</v>
      </c>
      <c r="U22" s="25">
        <f t="shared" si="16"/>
        <v>6228</v>
      </c>
      <c r="V22" s="14">
        <f t="shared" si="7"/>
        <v>4223</v>
      </c>
      <c r="W22" s="15">
        <f t="shared" si="8"/>
        <v>296</v>
      </c>
      <c r="X22" s="16">
        <f>V22+W22</f>
        <v>4519</v>
      </c>
      <c r="Y22" s="10">
        <f t="shared" si="9"/>
        <v>1765</v>
      </c>
      <c r="Z22" s="25">
        <f t="shared" si="21"/>
        <v>6284</v>
      </c>
      <c r="AA22" s="18"/>
    </row>
    <row r="23" spans="1:27" s="26" customFormat="1" ht="16.149999999999999" customHeight="1" x14ac:dyDescent="0.25">
      <c r="A23" s="27" t="s">
        <v>34</v>
      </c>
      <c r="B23" s="14">
        <v>7110</v>
      </c>
      <c r="C23" s="15">
        <v>76</v>
      </c>
      <c r="D23" s="16">
        <f t="shared" si="1"/>
        <v>7186</v>
      </c>
      <c r="E23" s="11">
        <f>ROUND(D23*$E$5/100,0)</f>
        <v>3261</v>
      </c>
      <c r="F23" s="25">
        <f t="shared" si="11"/>
        <v>10447</v>
      </c>
      <c r="G23" s="14">
        <v>7111</v>
      </c>
      <c r="H23" s="15">
        <v>76</v>
      </c>
      <c r="I23" s="16">
        <f t="shared" si="3"/>
        <v>7187</v>
      </c>
      <c r="J23" s="11">
        <f t="shared" si="0"/>
        <v>4205</v>
      </c>
      <c r="K23" s="12">
        <f t="shared" si="12"/>
        <v>11392</v>
      </c>
      <c r="L23" s="14">
        <f t="shared" si="4"/>
        <v>7609</v>
      </c>
      <c r="M23" s="15">
        <f t="shared" si="5"/>
        <v>81</v>
      </c>
      <c r="N23" s="16">
        <f>L23+M23</f>
        <v>7690</v>
      </c>
      <c r="O23" s="10">
        <f t="shared" si="6"/>
        <v>3803</v>
      </c>
      <c r="P23" s="25">
        <f t="shared" si="20"/>
        <v>11493</v>
      </c>
      <c r="Q23" s="14">
        <v>7822</v>
      </c>
      <c r="R23" s="55">
        <v>83</v>
      </c>
      <c r="S23" s="16">
        <f>Q23+R23</f>
        <v>7905</v>
      </c>
      <c r="T23" s="10">
        <f>ROUND(S23*$T$5/100,0)+1</f>
        <v>3487</v>
      </c>
      <c r="U23" s="25">
        <f t="shared" si="16"/>
        <v>11392</v>
      </c>
      <c r="V23" s="14">
        <f t="shared" si="7"/>
        <v>8178</v>
      </c>
      <c r="W23" s="15">
        <f t="shared" si="8"/>
        <v>87</v>
      </c>
      <c r="X23" s="16">
        <f>V23+W23</f>
        <v>8265</v>
      </c>
      <c r="Y23" s="10">
        <f t="shared" si="9"/>
        <v>3228</v>
      </c>
      <c r="Z23" s="25">
        <f t="shared" si="21"/>
        <v>11493</v>
      </c>
      <c r="AA23" s="18"/>
    </row>
    <row r="24" spans="1:27" s="26" customFormat="1" ht="15.75" x14ac:dyDescent="0.25">
      <c r="A24" s="27" t="s">
        <v>35</v>
      </c>
      <c r="B24" s="14"/>
      <c r="C24" s="21"/>
      <c r="D24" s="16"/>
      <c r="E24" s="11"/>
      <c r="F24" s="25"/>
      <c r="G24" s="14"/>
      <c r="H24" s="21"/>
      <c r="I24" s="16"/>
      <c r="J24" s="11"/>
      <c r="K24" s="12"/>
      <c r="L24" s="14">
        <f t="shared" si="4"/>
        <v>0</v>
      </c>
      <c r="M24" s="15">
        <f t="shared" si="5"/>
        <v>0</v>
      </c>
      <c r="N24" s="16"/>
      <c r="O24" s="10">
        <f t="shared" si="6"/>
        <v>0</v>
      </c>
      <c r="P24" s="25"/>
      <c r="Q24" s="14">
        <f t="shared" si="10"/>
        <v>0</v>
      </c>
      <c r="R24" s="56"/>
      <c r="S24" s="16"/>
      <c r="T24" s="10"/>
      <c r="U24" s="25"/>
      <c r="V24" s="14">
        <f t="shared" si="7"/>
        <v>0</v>
      </c>
      <c r="W24" s="15">
        <f t="shared" si="8"/>
        <v>0</v>
      </c>
      <c r="X24" s="16"/>
      <c r="Y24" s="10">
        <f t="shared" si="9"/>
        <v>0</v>
      </c>
      <c r="Z24" s="25"/>
      <c r="AA24" s="18"/>
    </row>
    <row r="25" spans="1:27" s="26" customFormat="1" ht="15.75" x14ac:dyDescent="0.25">
      <c r="A25" s="19" t="s">
        <v>36</v>
      </c>
      <c r="B25" s="14">
        <v>6791</v>
      </c>
      <c r="C25" s="15">
        <v>1507</v>
      </c>
      <c r="D25" s="16">
        <f t="shared" si="1"/>
        <v>8298</v>
      </c>
      <c r="E25" s="11">
        <f>ROUND(D25*$E$5/100,0)</f>
        <v>3766</v>
      </c>
      <c r="F25" s="25">
        <f t="shared" si="11"/>
        <v>12064</v>
      </c>
      <c r="G25" s="14">
        <v>6791</v>
      </c>
      <c r="H25" s="15">
        <v>1508</v>
      </c>
      <c r="I25" s="16">
        <f t="shared" si="3"/>
        <v>8299</v>
      </c>
      <c r="J25" s="11">
        <f t="shared" si="0"/>
        <v>4856</v>
      </c>
      <c r="K25" s="12">
        <f t="shared" si="12"/>
        <v>13155</v>
      </c>
      <c r="L25" s="14">
        <f t="shared" si="4"/>
        <v>7266</v>
      </c>
      <c r="M25" s="15">
        <f t="shared" si="5"/>
        <v>1614</v>
      </c>
      <c r="N25" s="16">
        <f>L25+M25</f>
        <v>8880</v>
      </c>
      <c r="O25" s="10">
        <f t="shared" si="6"/>
        <v>4392</v>
      </c>
      <c r="P25" s="25">
        <f t="shared" ref="P25:P26" si="22">N25+O25</f>
        <v>13272</v>
      </c>
      <c r="Q25" s="14">
        <v>7471</v>
      </c>
      <c r="R25" s="55">
        <v>1658</v>
      </c>
      <c r="S25" s="16">
        <f>Q25+R25</f>
        <v>9129</v>
      </c>
      <c r="T25" s="10">
        <f>ROUND(S25*$T$5/100,0)</f>
        <v>4026</v>
      </c>
      <c r="U25" s="25">
        <f t="shared" si="16"/>
        <v>13155</v>
      </c>
      <c r="V25" s="14">
        <f t="shared" si="7"/>
        <v>7810</v>
      </c>
      <c r="W25" s="15">
        <f t="shared" si="8"/>
        <v>1734</v>
      </c>
      <c r="X25" s="16">
        <f>V25+W25</f>
        <v>9544</v>
      </c>
      <c r="Y25" s="10">
        <f t="shared" si="9"/>
        <v>3728</v>
      </c>
      <c r="Z25" s="25">
        <f t="shared" ref="Z25:Z26" si="23">X25+Y25</f>
        <v>13272</v>
      </c>
      <c r="AA25" s="18"/>
    </row>
    <row r="26" spans="1:27" s="26" customFormat="1" ht="16.899999999999999" customHeight="1" x14ac:dyDescent="0.25">
      <c r="A26" s="19" t="s">
        <v>37</v>
      </c>
      <c r="B26" s="14">
        <v>4755</v>
      </c>
      <c r="C26" s="15">
        <v>1815</v>
      </c>
      <c r="D26" s="16">
        <f t="shared" si="1"/>
        <v>6570</v>
      </c>
      <c r="E26" s="11">
        <f>ROUND(D26*$E$5/100,0)+1</f>
        <v>2982</v>
      </c>
      <c r="F26" s="25">
        <f t="shared" si="11"/>
        <v>9552</v>
      </c>
      <c r="G26" s="14">
        <v>4785</v>
      </c>
      <c r="H26" s="15">
        <v>1815</v>
      </c>
      <c r="I26" s="16">
        <f t="shared" si="3"/>
        <v>6600</v>
      </c>
      <c r="J26" s="11">
        <f>ROUND(I26*$J$5/100,0)-1</f>
        <v>3861</v>
      </c>
      <c r="K26" s="12">
        <f t="shared" si="12"/>
        <v>10461</v>
      </c>
      <c r="L26" s="14">
        <f t="shared" si="4"/>
        <v>5120</v>
      </c>
      <c r="M26" s="15">
        <f t="shared" si="5"/>
        <v>1942</v>
      </c>
      <c r="N26" s="16">
        <f>L26+M26</f>
        <v>7062</v>
      </c>
      <c r="O26" s="10">
        <f t="shared" si="6"/>
        <v>3493</v>
      </c>
      <c r="P26" s="25">
        <f t="shared" si="22"/>
        <v>10555</v>
      </c>
      <c r="Q26" s="14">
        <v>5265</v>
      </c>
      <c r="R26" s="55">
        <v>1997</v>
      </c>
      <c r="S26" s="16">
        <f>Q26+R26</f>
        <v>7262</v>
      </c>
      <c r="T26" s="10">
        <f>ROUND(S26*$T$5/100,0)-4</f>
        <v>3199</v>
      </c>
      <c r="U26" s="25">
        <f t="shared" si="16"/>
        <v>10461</v>
      </c>
      <c r="V26" s="14">
        <f t="shared" si="7"/>
        <v>5503</v>
      </c>
      <c r="W26" s="15">
        <f t="shared" si="8"/>
        <v>2087</v>
      </c>
      <c r="X26" s="16">
        <f>V26+W26</f>
        <v>7590</v>
      </c>
      <c r="Y26" s="10">
        <f t="shared" si="9"/>
        <v>2965</v>
      </c>
      <c r="Z26" s="25">
        <f t="shared" si="23"/>
        <v>10555</v>
      </c>
      <c r="AA26" s="18"/>
    </row>
    <row r="27" spans="1:27" s="26" customFormat="1" ht="13.9" customHeight="1" x14ac:dyDescent="0.25">
      <c r="A27" s="28" t="s">
        <v>38</v>
      </c>
      <c r="B27" s="29">
        <f t="shared" ref="B27:U27" si="24">SUM(B6:B26)</f>
        <v>164010</v>
      </c>
      <c r="C27" s="29">
        <f t="shared" si="24"/>
        <v>5994</v>
      </c>
      <c r="D27" s="30">
        <f t="shared" si="24"/>
        <v>170004</v>
      </c>
      <c r="E27" s="30">
        <f t="shared" si="24"/>
        <v>77147</v>
      </c>
      <c r="F27" s="30">
        <f t="shared" si="24"/>
        <v>247151</v>
      </c>
      <c r="G27" s="30">
        <f t="shared" si="24"/>
        <v>164710</v>
      </c>
      <c r="H27" s="30">
        <f t="shared" si="24"/>
        <v>6044</v>
      </c>
      <c r="I27" s="30">
        <f t="shared" si="24"/>
        <v>170754</v>
      </c>
      <c r="J27" s="30">
        <f t="shared" si="24"/>
        <v>99905</v>
      </c>
      <c r="K27" s="30">
        <f t="shared" si="24"/>
        <v>270659</v>
      </c>
      <c r="L27" s="29">
        <f t="shared" ref="L27:P27" si="25">SUM(L6:L26)</f>
        <v>176238</v>
      </c>
      <c r="M27" s="30">
        <f t="shared" si="25"/>
        <v>6467</v>
      </c>
      <c r="N27" s="30">
        <f t="shared" si="25"/>
        <v>182705</v>
      </c>
      <c r="O27" s="30">
        <f t="shared" si="25"/>
        <v>90360</v>
      </c>
      <c r="P27" s="30">
        <f t="shared" si="25"/>
        <v>273065</v>
      </c>
      <c r="Q27" s="29">
        <f t="shared" si="24"/>
        <v>181179</v>
      </c>
      <c r="R27" s="30">
        <f t="shared" si="24"/>
        <v>6646</v>
      </c>
      <c r="S27" s="30">
        <f t="shared" si="24"/>
        <v>187825</v>
      </c>
      <c r="T27" s="30">
        <f t="shared" si="24"/>
        <v>82834</v>
      </c>
      <c r="U27" s="30">
        <f t="shared" si="24"/>
        <v>270659</v>
      </c>
      <c r="V27" s="29">
        <f t="shared" ref="V27:Z27" si="26">SUM(V6:V26)</f>
        <v>189419</v>
      </c>
      <c r="W27" s="30">
        <f t="shared" si="26"/>
        <v>6951</v>
      </c>
      <c r="X27" s="30">
        <f t="shared" si="26"/>
        <v>196370</v>
      </c>
      <c r="Y27" s="30">
        <f t="shared" si="26"/>
        <v>76704</v>
      </c>
      <c r="Z27" s="30">
        <f t="shared" si="26"/>
        <v>273074</v>
      </c>
      <c r="AA27" s="18"/>
    </row>
    <row r="28" spans="1:27" s="34" customFormat="1" hidden="1" outlineLevel="1" x14ac:dyDescent="0.2">
      <c r="A28" s="31" t="s">
        <v>39</v>
      </c>
      <c r="B28" s="32">
        <f>SUM(B7:B26)</f>
        <v>164010</v>
      </c>
      <c r="C28" s="32">
        <f>SUM(C7:C26)</f>
        <v>5994</v>
      </c>
      <c r="D28" s="32">
        <f>SUM(D7:D26)</f>
        <v>170004</v>
      </c>
      <c r="E28" s="32">
        <f>SUM(E7:E26)</f>
        <v>77147</v>
      </c>
      <c r="F28" s="32">
        <f>SUM(F7:F26)</f>
        <v>247151</v>
      </c>
      <c r="G28" s="33"/>
      <c r="H28" s="33"/>
      <c r="I28" s="33"/>
      <c r="J28" s="33"/>
      <c r="K28" s="33"/>
    </row>
    <row r="29" spans="1:27" ht="27" hidden="1" customHeight="1" x14ac:dyDescent="0.2">
      <c r="A29" s="152" t="s">
        <v>40</v>
      </c>
      <c r="B29" s="152"/>
      <c r="C29" s="152"/>
      <c r="D29" s="35"/>
    </row>
    <row r="30" spans="1:27" hidden="1" x14ac:dyDescent="0.2">
      <c r="A30" s="36"/>
      <c r="B30" s="36"/>
      <c r="C30" s="36"/>
      <c r="D30" s="36"/>
      <c r="E30" s="37"/>
      <c r="F30" s="37"/>
      <c r="G30" s="37"/>
      <c r="H30" s="37"/>
      <c r="I30" s="37"/>
      <c r="J30" s="37"/>
      <c r="K30" s="37"/>
    </row>
    <row r="31" spans="1:27" hidden="1" x14ac:dyDescent="0.2">
      <c r="B31" s="1">
        <v>94021</v>
      </c>
      <c r="C31" s="1">
        <v>2698</v>
      </c>
      <c r="D31" s="1">
        <f>B31+C31</f>
        <v>96719</v>
      </c>
    </row>
    <row r="32" spans="1:27" hidden="1" x14ac:dyDescent="0.2"/>
    <row r="33" spans="1:11" ht="3" hidden="1" customHeight="1" x14ac:dyDescent="0.2"/>
    <row r="34" spans="1:11" hidden="1" x14ac:dyDescent="0.2"/>
    <row r="35" spans="1:11" ht="26.25" hidden="1" customHeight="1" x14ac:dyDescent="0.25">
      <c r="A35" s="153" t="s">
        <v>41</v>
      </c>
      <c r="B35" s="154"/>
      <c r="C35" s="154"/>
      <c r="D35" s="154"/>
      <c r="E35" s="154"/>
      <c r="F35" s="154"/>
      <c r="G35" s="38"/>
      <c r="H35" s="38"/>
      <c r="I35" s="38"/>
      <c r="J35" s="38"/>
      <c r="K35" s="38"/>
    </row>
    <row r="36" spans="1:11" hidden="1" x14ac:dyDescent="0.2">
      <c r="C36" s="37"/>
    </row>
    <row r="37" spans="1:11" hidden="1" x14ac:dyDescent="0.2">
      <c r="A37" s="34" t="s">
        <v>42</v>
      </c>
    </row>
    <row r="38" spans="1:11" hidden="1" x14ac:dyDescent="0.2">
      <c r="A38" s="39" t="s">
        <v>43</v>
      </c>
    </row>
    <row r="39" spans="1:11" hidden="1" x14ac:dyDescent="0.2">
      <c r="A39" s="1" t="s">
        <v>44</v>
      </c>
    </row>
    <row r="40" spans="1:11" hidden="1" x14ac:dyDescent="0.2">
      <c r="A40" s="1" t="s">
        <v>45</v>
      </c>
    </row>
    <row r="41" spans="1:11" hidden="1" x14ac:dyDescent="0.2">
      <c r="A41" s="1" t="s">
        <v>46</v>
      </c>
    </row>
    <row r="42" spans="1:11" hidden="1" x14ac:dyDescent="0.2">
      <c r="A42" s="1" t="s">
        <v>47</v>
      </c>
    </row>
    <row r="43" spans="1:11" hidden="1" x14ac:dyDescent="0.2">
      <c r="A43" s="1" t="s">
        <v>48</v>
      </c>
    </row>
    <row r="44" spans="1:11" hidden="1" x14ac:dyDescent="0.2">
      <c r="A44" s="1" t="s">
        <v>49</v>
      </c>
    </row>
    <row r="45" spans="1:11" hidden="1" x14ac:dyDescent="0.2">
      <c r="A45" s="39" t="s">
        <v>50</v>
      </c>
    </row>
    <row r="46" spans="1:11" hidden="1" x14ac:dyDescent="0.2">
      <c r="A46" s="39" t="s">
        <v>51</v>
      </c>
    </row>
    <row r="47" spans="1:11" hidden="1" x14ac:dyDescent="0.2"/>
    <row r="48" spans="1:11" hidden="1" x14ac:dyDescent="0.2">
      <c r="A48" s="1" t="s">
        <v>52</v>
      </c>
    </row>
    <row r="49" spans="1:5" hidden="1" x14ac:dyDescent="0.2">
      <c r="A49" s="1" t="s">
        <v>53</v>
      </c>
    </row>
    <row r="50" spans="1:5" hidden="1" x14ac:dyDescent="0.2"/>
    <row r="51" spans="1:5" hidden="1" x14ac:dyDescent="0.2">
      <c r="A51" s="1" t="s">
        <v>54</v>
      </c>
    </row>
    <row r="52" spans="1:5" hidden="1" x14ac:dyDescent="0.2"/>
    <row r="53" spans="1:5" hidden="1" x14ac:dyDescent="0.2">
      <c r="A53" s="1" t="s">
        <v>55</v>
      </c>
    </row>
    <row r="54" spans="1:5" hidden="1" x14ac:dyDescent="0.2"/>
    <row r="55" spans="1:5" hidden="1" x14ac:dyDescent="0.2">
      <c r="A55" s="1" t="s">
        <v>56</v>
      </c>
    </row>
    <row r="56" spans="1:5" hidden="1" x14ac:dyDescent="0.2">
      <c r="A56" s="1" t="s">
        <v>57</v>
      </c>
    </row>
    <row r="57" spans="1:5" hidden="1" outlineLevel="1" x14ac:dyDescent="0.2">
      <c r="E57" s="1" t="e">
        <f>ROUND(#REF!/D27*100,5)</f>
        <v>#REF!</v>
      </c>
    </row>
    <row r="58" spans="1:5" hidden="1" outlineLevel="1" x14ac:dyDescent="0.2"/>
    <row r="59" spans="1:5" hidden="1" outlineLevel="1" x14ac:dyDescent="0.2"/>
    <row r="60" spans="1:5" hidden="1" outlineLevel="1" x14ac:dyDescent="0.2"/>
    <row r="61" spans="1:5" hidden="1" outlineLevel="1" x14ac:dyDescent="0.2"/>
    <row r="62" spans="1:5" hidden="1" outlineLevel="1" x14ac:dyDescent="0.2"/>
    <row r="63" spans="1:5" hidden="1" outlineLevel="1" x14ac:dyDescent="0.2"/>
    <row r="64" spans="1:5" hidden="1" outlineLevel="1" x14ac:dyDescent="0.2"/>
    <row r="65" hidden="1" outlineLevel="1" x14ac:dyDescent="0.2"/>
    <row r="66" hidden="1" outlineLevel="1" x14ac:dyDescent="0.2"/>
    <row r="67" hidden="1" outlineLevel="1" x14ac:dyDescent="0.2"/>
    <row r="68" hidden="1" outlineLevel="1" x14ac:dyDescent="0.2"/>
    <row r="69" hidden="1" outlineLevel="1" x14ac:dyDescent="0.2"/>
    <row r="70" hidden="1" outlineLevel="1" x14ac:dyDescent="0.2"/>
    <row r="71" hidden="1" outlineLevel="1" x14ac:dyDescent="0.2"/>
    <row r="72" hidden="1" outlineLevel="1" x14ac:dyDescent="0.2"/>
    <row r="73" hidden="1" outlineLevel="1" x14ac:dyDescent="0.2"/>
    <row r="74" hidden="1" outlineLevel="1" x14ac:dyDescent="0.2"/>
    <row r="75" hidden="1" outlineLevel="1" x14ac:dyDescent="0.2"/>
    <row r="76" hidden="1" outlineLevel="1" x14ac:dyDescent="0.2"/>
    <row r="77" hidden="1" outlineLevel="1" x14ac:dyDescent="0.2"/>
    <row r="78" hidden="1" outlineLevel="1" x14ac:dyDescent="0.2"/>
    <row r="79" hidden="1" outlineLevel="1" x14ac:dyDescent="0.2"/>
    <row r="80" hidden="1" outlineLevel="1" x14ac:dyDescent="0.2"/>
    <row r="81" spans="1:26" hidden="1" outlineLevel="1" x14ac:dyDescent="0.2"/>
    <row r="82" spans="1:26" hidden="1" outlineLevel="1" x14ac:dyDescent="0.2"/>
    <row r="83" spans="1:26" ht="12.75" hidden="1" customHeight="1" outlineLevel="1" x14ac:dyDescent="0.2">
      <c r="A83" s="154"/>
      <c r="B83" s="154"/>
      <c r="C83" s="154"/>
      <c r="D83" s="154"/>
      <c r="E83" s="154"/>
      <c r="F83" s="154"/>
      <c r="G83" s="38"/>
      <c r="H83" s="38"/>
      <c r="I83" s="38"/>
      <c r="J83" s="38"/>
      <c r="K83" s="38"/>
    </row>
    <row r="84" spans="1:26" hidden="1" outlineLevel="1" x14ac:dyDescent="0.2">
      <c r="E84" s="1">
        <f>129353+20893+14413</f>
        <v>164659</v>
      </c>
    </row>
    <row r="85" spans="1:26" hidden="1" x14ac:dyDescent="0.2"/>
    <row r="86" spans="1:26" ht="31.15" hidden="1" customHeight="1" x14ac:dyDescent="0.2"/>
    <row r="87" spans="1:26" hidden="1" x14ac:dyDescent="0.2">
      <c r="C87" s="155"/>
      <c r="D87" s="40"/>
      <c r="E87" s="155"/>
      <c r="F87" s="155"/>
      <c r="G87" s="40"/>
      <c r="H87" s="40"/>
      <c r="I87" s="40"/>
      <c r="J87" s="40"/>
      <c r="K87" s="40"/>
    </row>
    <row r="88" spans="1:26" hidden="1" x14ac:dyDescent="0.2">
      <c r="C88" s="155"/>
    </row>
    <row r="89" spans="1:26" s="43" customFormat="1" ht="13.5" x14ac:dyDescent="0.25">
      <c r="A89" s="41" t="s">
        <v>58</v>
      </c>
      <c r="B89" s="42"/>
      <c r="C89" s="42"/>
      <c r="D89" s="42">
        <f>ROUND(D27/F27,3)</f>
        <v>0.68799999999999994</v>
      </c>
      <c r="E89" s="42">
        <f>ROUND(E27/F27,3)</f>
        <v>0.312</v>
      </c>
      <c r="F89" s="42">
        <v>1</v>
      </c>
      <c r="G89" s="42"/>
      <c r="H89" s="42"/>
      <c r="I89" s="42">
        <f>ROUND(I27/K27,3)</f>
        <v>0.63100000000000001</v>
      </c>
      <c r="J89" s="42">
        <f>ROUND(J27/K27,3)</f>
        <v>0.36899999999999999</v>
      </c>
      <c r="K89" s="42">
        <v>1</v>
      </c>
      <c r="L89" s="42"/>
      <c r="M89" s="42"/>
      <c r="N89" s="42">
        <f>ROUND(N27/P27,3)</f>
        <v>0.66900000000000004</v>
      </c>
      <c r="O89" s="42">
        <f>ROUND(O27/P27,3)</f>
        <v>0.33100000000000002</v>
      </c>
      <c r="P89" s="42">
        <v>1</v>
      </c>
      <c r="Q89" s="42"/>
      <c r="R89" s="42"/>
      <c r="S89" s="42">
        <f>ROUND(S27/U27,3)</f>
        <v>0.69399999999999995</v>
      </c>
      <c r="T89" s="42">
        <f>ROUND(T27/U27,3)</f>
        <v>0.30599999999999999</v>
      </c>
      <c r="U89" s="42">
        <v>1</v>
      </c>
      <c r="V89" s="42"/>
      <c r="W89" s="42"/>
      <c r="X89" s="42">
        <f>ROUND(X27/Z27,3)</f>
        <v>0.71899999999999997</v>
      </c>
      <c r="Y89" s="42">
        <f>ROUND(Y27/Z27,3)</f>
        <v>0.28100000000000003</v>
      </c>
      <c r="Z89" s="42">
        <v>1</v>
      </c>
    </row>
    <row r="90" spans="1:26" s="45" customFormat="1" ht="19.149999999999999" customHeight="1" x14ac:dyDescent="0.2">
      <c r="A90" s="44" t="s">
        <v>59</v>
      </c>
      <c r="K90" s="46" t="s">
        <v>74</v>
      </c>
      <c r="L90" s="46"/>
      <c r="M90" s="46"/>
      <c r="N90" s="46"/>
      <c r="O90" s="46"/>
      <c r="P90" s="46"/>
      <c r="S90" s="45" t="s">
        <v>60</v>
      </c>
    </row>
    <row r="91" spans="1:26" s="47" customFormat="1" ht="13.15" hidden="1" customHeight="1" outlineLevel="1" x14ac:dyDescent="0.2">
      <c r="G91" s="47" t="s">
        <v>61</v>
      </c>
      <c r="H91" s="48" t="s">
        <v>62</v>
      </c>
      <c r="L91" s="47" t="s">
        <v>61</v>
      </c>
      <c r="M91" s="48" t="s">
        <v>63</v>
      </c>
      <c r="Q91" s="47" t="s">
        <v>61</v>
      </c>
      <c r="R91" s="48" t="s">
        <v>64</v>
      </c>
      <c r="V91" s="47" t="s">
        <v>61</v>
      </c>
      <c r="W91" s="48" t="s">
        <v>65</v>
      </c>
    </row>
    <row r="92" spans="1:26" s="47" customFormat="1" ht="13.5" hidden="1" customHeight="1" outlineLevel="1" x14ac:dyDescent="0.2">
      <c r="B92" s="49" t="e">
        <f>B27-#REF!</f>
        <v>#REF!</v>
      </c>
      <c r="C92" s="49"/>
      <c r="G92" s="47" t="s">
        <v>66</v>
      </c>
      <c r="H92" s="48" t="s">
        <v>67</v>
      </c>
      <c r="L92" s="47" t="s">
        <v>66</v>
      </c>
      <c r="M92" s="48" t="s">
        <v>68</v>
      </c>
      <c r="Q92" s="47" t="s">
        <v>66</v>
      </c>
      <c r="R92" s="48" t="s">
        <v>69</v>
      </c>
      <c r="V92" s="47" t="s">
        <v>66</v>
      </c>
      <c r="W92" s="48" t="s">
        <v>70</v>
      </c>
    </row>
    <row r="93" spans="1:26" s="47" customFormat="1" ht="6.4" customHeight="1" collapsed="1" x14ac:dyDescent="0.2">
      <c r="B93" s="49"/>
      <c r="C93" s="49"/>
    </row>
    <row r="94" spans="1:26" ht="13.15" customHeight="1" x14ac:dyDescent="0.2">
      <c r="A94" s="50" t="s">
        <v>71</v>
      </c>
      <c r="B94" s="37"/>
      <c r="C94" s="37"/>
    </row>
    <row r="95" spans="1:26" x14ac:dyDescent="0.2">
      <c r="A95" s="36"/>
      <c r="C95" s="51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</row>
    <row r="96" spans="1:26" ht="23.25" customHeight="1" x14ac:dyDescent="0.2">
      <c r="C96" s="51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</row>
    <row r="100" spans="4:16" x14ac:dyDescent="0.2"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</row>
    <row r="101" spans="4:16" x14ac:dyDescent="0.2">
      <c r="D101" s="26"/>
    </row>
  </sheetData>
  <mergeCells count="32">
    <mergeCell ref="A1:U1"/>
    <mergeCell ref="A3:A5"/>
    <mergeCell ref="B3:F3"/>
    <mergeCell ref="G3:K3"/>
    <mergeCell ref="L3:P3"/>
    <mergeCell ref="Q3:U3"/>
    <mergeCell ref="M4:M5"/>
    <mergeCell ref="N4:N5"/>
    <mergeCell ref="P4:P5"/>
    <mergeCell ref="Q4:Q5"/>
    <mergeCell ref="V3:Z3"/>
    <mergeCell ref="B4:B5"/>
    <mergeCell ref="C4:C5"/>
    <mergeCell ref="D4:D5"/>
    <mergeCell ref="F4:F5"/>
    <mergeCell ref="G4:G5"/>
    <mergeCell ref="H4:H5"/>
    <mergeCell ref="I4:I5"/>
    <mergeCell ref="K4:K5"/>
    <mergeCell ref="L4:L5"/>
    <mergeCell ref="Z4:Z5"/>
    <mergeCell ref="R4:R5"/>
    <mergeCell ref="S4:S5"/>
    <mergeCell ref="U4:U5"/>
    <mergeCell ref="V4:V5"/>
    <mergeCell ref="W4:W5"/>
    <mergeCell ref="X4:X5"/>
    <mergeCell ref="A29:C29"/>
    <mergeCell ref="A35:F35"/>
    <mergeCell ref="A83:F83"/>
    <mergeCell ref="C87:C88"/>
    <mergeCell ref="E87:F87"/>
  </mergeCells>
  <pageMargins left="0" right="0" top="0.39370078740157483" bottom="0" header="0" footer="0"/>
  <pageSetup paperSize="9" scale="95" fitToHeight="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topLeftCell="A3" zoomScale="70" zoomScaleNormal="70" workbookViewId="0">
      <pane xSplit="1" ySplit="4" topLeftCell="S7" activePane="bottomRight" state="frozen"/>
      <selection activeCell="A3" sqref="A3"/>
      <selection pane="topRight" activeCell="B3" sqref="B3"/>
      <selection pane="bottomLeft" activeCell="A7" sqref="A7"/>
      <selection pane="bottomRight" activeCell="S24" sqref="S24"/>
    </sheetView>
  </sheetViews>
  <sheetFormatPr defaultColWidth="8.75" defaultRowHeight="15.75" x14ac:dyDescent="0.25"/>
  <cols>
    <col min="1" max="1" width="18.75" style="93" customWidth="1"/>
    <col min="2" max="2" width="6.75" style="93" customWidth="1"/>
    <col min="3" max="3" width="5.375" style="93" customWidth="1"/>
    <col min="4" max="5" width="5.625" style="93" customWidth="1"/>
    <col min="6" max="6" width="5.5" style="93" customWidth="1"/>
    <col min="7" max="7" width="6.5" style="93" customWidth="1"/>
    <col min="8" max="8" width="8.75" style="93" customWidth="1"/>
    <col min="9" max="9" width="7.25" style="93" customWidth="1"/>
    <col min="10" max="10" width="7.75" style="93" customWidth="1"/>
    <col min="11" max="11" width="6.75" style="93" customWidth="1"/>
    <col min="12" max="12" width="6" style="93" customWidth="1"/>
    <col min="13" max="13" width="6.5" style="93" customWidth="1"/>
    <col min="14" max="14" width="6.125" style="93" customWidth="1"/>
    <col min="15" max="15" width="5.5" style="93" customWidth="1"/>
    <col min="16" max="16" width="7.125" style="93" customWidth="1"/>
    <col min="17" max="17" width="9.25" style="93" customWidth="1"/>
    <col min="18" max="19" width="7.125" style="93" customWidth="1"/>
    <col min="20" max="20" width="6.75" style="93" customWidth="1"/>
    <col min="21" max="21" width="6.125" style="93" customWidth="1"/>
    <col min="22" max="22" width="7" style="93" customWidth="1"/>
    <col min="23" max="23" width="5.75" style="93" customWidth="1"/>
    <col min="24" max="24" width="5.375" style="93" customWidth="1"/>
    <col min="25" max="25" width="6.25" style="93" customWidth="1"/>
    <col min="26" max="26" width="9" style="93" customWidth="1"/>
    <col min="27" max="27" width="6.875" style="93" customWidth="1"/>
    <col min="28" max="28" width="6.75" style="93" customWidth="1"/>
    <col min="29" max="29" width="6.25" style="95" customWidth="1"/>
    <col min="30" max="30" width="5" style="95" customWidth="1"/>
    <col min="31" max="31" width="5.375" style="95" customWidth="1"/>
    <col min="32" max="32" width="6.375" style="95" customWidth="1"/>
    <col min="33" max="33" width="6.75" style="95" customWidth="1"/>
    <col min="34" max="34" width="6.25" style="95" customWidth="1"/>
    <col min="35" max="35" width="8.5" style="93" customWidth="1"/>
    <col min="36" max="36" width="7.75" style="93" customWidth="1"/>
    <col min="37" max="37" width="7.625" style="93" customWidth="1"/>
    <col min="38" max="16384" width="8.75" style="95"/>
  </cols>
  <sheetData>
    <row r="1" spans="1:37" ht="35.450000000000003" customHeight="1" x14ac:dyDescent="0.25">
      <c r="B1" s="180" t="s">
        <v>151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AB1" s="94"/>
    </row>
    <row r="3" spans="1:37" ht="46.15" customHeight="1" x14ac:dyDescent="0.25">
      <c r="A3" s="167"/>
      <c r="B3" s="168" t="s">
        <v>153</v>
      </c>
      <c r="C3" s="169"/>
      <c r="D3" s="169"/>
      <c r="E3" s="169"/>
      <c r="F3" s="169"/>
      <c r="G3" s="169"/>
      <c r="H3" s="169"/>
      <c r="I3" s="169"/>
      <c r="J3" s="170"/>
      <c r="K3" s="179" t="s">
        <v>154</v>
      </c>
      <c r="L3" s="179"/>
      <c r="M3" s="179"/>
      <c r="N3" s="179"/>
      <c r="O3" s="179"/>
      <c r="P3" s="179"/>
      <c r="Q3" s="179"/>
      <c r="R3" s="179"/>
      <c r="S3" s="179"/>
      <c r="T3" s="171" t="s">
        <v>155</v>
      </c>
      <c r="U3" s="171"/>
      <c r="V3" s="171"/>
      <c r="W3" s="171"/>
      <c r="X3" s="171"/>
      <c r="Y3" s="171"/>
      <c r="Z3" s="171"/>
      <c r="AA3" s="171"/>
      <c r="AB3" s="171"/>
      <c r="AC3" s="172" t="s">
        <v>156</v>
      </c>
      <c r="AD3" s="173"/>
      <c r="AE3" s="173"/>
      <c r="AF3" s="173"/>
      <c r="AG3" s="173"/>
      <c r="AH3" s="173"/>
      <c r="AI3" s="173"/>
      <c r="AJ3" s="173"/>
      <c r="AK3" s="173"/>
    </row>
    <row r="4" spans="1:37" ht="45" customHeight="1" x14ac:dyDescent="0.25">
      <c r="A4" s="167"/>
      <c r="B4" s="174" t="s">
        <v>123</v>
      </c>
      <c r="C4" s="175"/>
      <c r="D4" s="175"/>
      <c r="E4" s="175"/>
      <c r="F4" s="176"/>
      <c r="G4" s="166" t="s">
        <v>124</v>
      </c>
      <c r="H4" s="166"/>
      <c r="I4" s="166"/>
      <c r="J4" s="166"/>
      <c r="K4" s="174" t="s">
        <v>123</v>
      </c>
      <c r="L4" s="175"/>
      <c r="M4" s="175"/>
      <c r="N4" s="175"/>
      <c r="O4" s="176"/>
      <c r="P4" s="166" t="s">
        <v>124</v>
      </c>
      <c r="Q4" s="166"/>
      <c r="R4" s="166"/>
      <c r="S4" s="166"/>
      <c r="T4" s="162" t="s">
        <v>123</v>
      </c>
      <c r="U4" s="163"/>
      <c r="V4" s="163"/>
      <c r="W4" s="163"/>
      <c r="X4" s="164"/>
      <c r="Y4" s="166" t="s">
        <v>124</v>
      </c>
      <c r="Z4" s="166"/>
      <c r="AA4" s="166"/>
      <c r="AB4" s="166"/>
      <c r="AC4" s="162" t="s">
        <v>123</v>
      </c>
      <c r="AD4" s="163"/>
      <c r="AE4" s="163"/>
      <c r="AF4" s="163"/>
      <c r="AG4" s="164"/>
      <c r="AH4" s="165" t="s">
        <v>124</v>
      </c>
      <c r="AI4" s="165"/>
      <c r="AJ4" s="165"/>
      <c r="AK4" s="165"/>
    </row>
    <row r="5" spans="1:37" s="96" customFormat="1" ht="45" customHeight="1" x14ac:dyDescent="0.25">
      <c r="A5" s="167"/>
      <c r="B5" s="177" t="s">
        <v>127</v>
      </c>
      <c r="C5" s="177" t="s">
        <v>125</v>
      </c>
      <c r="D5" s="177"/>
      <c r="E5" s="177" t="s">
        <v>128</v>
      </c>
      <c r="F5" s="177" t="s">
        <v>126</v>
      </c>
      <c r="G5" s="177" t="s">
        <v>127</v>
      </c>
      <c r="H5" s="177" t="s">
        <v>125</v>
      </c>
      <c r="I5" s="177"/>
      <c r="J5" s="177" t="s">
        <v>126</v>
      </c>
      <c r="K5" s="177" t="s">
        <v>127</v>
      </c>
      <c r="L5" s="177" t="s">
        <v>125</v>
      </c>
      <c r="M5" s="177"/>
      <c r="N5" s="177" t="s">
        <v>128</v>
      </c>
      <c r="O5" s="177" t="s">
        <v>126</v>
      </c>
      <c r="P5" s="177" t="s">
        <v>127</v>
      </c>
      <c r="Q5" s="177" t="s">
        <v>125</v>
      </c>
      <c r="R5" s="177"/>
      <c r="S5" s="177" t="s">
        <v>126</v>
      </c>
      <c r="T5" s="178" t="s">
        <v>149</v>
      </c>
      <c r="U5" s="178" t="s">
        <v>125</v>
      </c>
      <c r="V5" s="178"/>
      <c r="W5" s="178" t="s">
        <v>128</v>
      </c>
      <c r="X5" s="178" t="s">
        <v>126</v>
      </c>
      <c r="Y5" s="178" t="s">
        <v>149</v>
      </c>
      <c r="Z5" s="178" t="s">
        <v>125</v>
      </c>
      <c r="AA5" s="178"/>
      <c r="AB5" s="178" t="s">
        <v>126</v>
      </c>
      <c r="AC5" s="178" t="s">
        <v>149</v>
      </c>
      <c r="AD5" s="178" t="s">
        <v>125</v>
      </c>
      <c r="AE5" s="178"/>
      <c r="AF5" s="178" t="s">
        <v>128</v>
      </c>
      <c r="AG5" s="178" t="s">
        <v>126</v>
      </c>
      <c r="AH5" s="178" t="s">
        <v>150</v>
      </c>
      <c r="AI5" s="178" t="s">
        <v>125</v>
      </c>
      <c r="AJ5" s="178"/>
      <c r="AK5" s="178" t="s">
        <v>126</v>
      </c>
    </row>
    <row r="6" spans="1:37" s="96" customFormat="1" ht="27.4" customHeight="1" x14ac:dyDescent="0.25">
      <c r="A6" s="167"/>
      <c r="B6" s="177"/>
      <c r="C6" s="97" t="s">
        <v>129</v>
      </c>
      <c r="D6" s="97" t="s">
        <v>92</v>
      </c>
      <c r="E6" s="177"/>
      <c r="F6" s="177"/>
      <c r="G6" s="177"/>
      <c r="H6" s="97" t="s">
        <v>130</v>
      </c>
      <c r="I6" s="97" t="s">
        <v>92</v>
      </c>
      <c r="J6" s="177"/>
      <c r="K6" s="177"/>
      <c r="L6" s="97" t="s">
        <v>129</v>
      </c>
      <c r="M6" s="97" t="s">
        <v>92</v>
      </c>
      <c r="N6" s="177"/>
      <c r="O6" s="177"/>
      <c r="P6" s="177"/>
      <c r="Q6" s="97" t="s">
        <v>130</v>
      </c>
      <c r="R6" s="97" t="s">
        <v>92</v>
      </c>
      <c r="S6" s="177"/>
      <c r="T6" s="178"/>
      <c r="U6" s="98" t="s">
        <v>129</v>
      </c>
      <c r="V6" s="98" t="s">
        <v>92</v>
      </c>
      <c r="W6" s="178"/>
      <c r="X6" s="178"/>
      <c r="Y6" s="178"/>
      <c r="Z6" s="98" t="s">
        <v>130</v>
      </c>
      <c r="AA6" s="98" t="s">
        <v>92</v>
      </c>
      <c r="AB6" s="178"/>
      <c r="AC6" s="178"/>
      <c r="AD6" s="98" t="s">
        <v>129</v>
      </c>
      <c r="AE6" s="98" t="s">
        <v>92</v>
      </c>
      <c r="AF6" s="178"/>
      <c r="AG6" s="178"/>
      <c r="AH6" s="178"/>
      <c r="AI6" s="98" t="s">
        <v>130</v>
      </c>
      <c r="AJ6" s="98" t="s">
        <v>92</v>
      </c>
      <c r="AK6" s="178"/>
    </row>
    <row r="7" spans="1:37" x14ac:dyDescent="0.25">
      <c r="A7" s="99" t="s">
        <v>131</v>
      </c>
      <c r="B7" s="100">
        <f>ROUND(17824*12/1000,0)</f>
        <v>214</v>
      </c>
      <c r="C7" s="101">
        <v>1.85</v>
      </c>
      <c r="D7" s="100">
        <f>ROUND(B7*C7,0)</f>
        <v>396</v>
      </c>
      <c r="E7" s="100">
        <v>18</v>
      </c>
      <c r="F7" s="100">
        <f>B7+D7+E7</f>
        <v>628</v>
      </c>
      <c r="G7" s="100">
        <v>1726</v>
      </c>
      <c r="H7" s="102">
        <v>0.61993050000000005</v>
      </c>
      <c r="I7" s="100">
        <f>ROUND(G7*H7,0)</f>
        <v>1070</v>
      </c>
      <c r="J7" s="100">
        <f>G7+I7</f>
        <v>2796</v>
      </c>
      <c r="K7" s="100">
        <f>ROUND(17824*12/1000,0)</f>
        <v>214</v>
      </c>
      <c r="L7" s="101">
        <v>1.85</v>
      </c>
      <c r="M7" s="100">
        <f>ROUND(K7*L7,0)</f>
        <v>396</v>
      </c>
      <c r="N7" s="100">
        <v>18</v>
      </c>
      <c r="O7" s="100">
        <f>K7+M7+N7</f>
        <v>628</v>
      </c>
      <c r="P7" s="103">
        <v>1726</v>
      </c>
      <c r="Q7" s="105">
        <f>ROUND(R7/P7,7)</f>
        <v>1.0660487000000001</v>
      </c>
      <c r="R7" s="103">
        <f>S7-P7</f>
        <v>1840</v>
      </c>
      <c r="S7" s="103">
        <f>4194-O7</f>
        <v>3566</v>
      </c>
      <c r="T7" s="103">
        <f>ROUND(21121*12/1000,0)+1</f>
        <v>254</v>
      </c>
      <c r="U7" s="104">
        <v>1.85</v>
      </c>
      <c r="V7" s="103">
        <f>ROUND(21121*12*U7/1000,0)</f>
        <v>469</v>
      </c>
      <c r="W7" s="103">
        <v>21</v>
      </c>
      <c r="X7" s="103">
        <f>T7+V7+W7</f>
        <v>744</v>
      </c>
      <c r="Y7" s="103">
        <f>ROUND(P7*1.185,0)</f>
        <v>2045</v>
      </c>
      <c r="Z7" s="105">
        <f>ROUND(AA7/Y7,7)</f>
        <v>0.68704160000000003</v>
      </c>
      <c r="AA7" s="103">
        <f>AB7-Y7</f>
        <v>1405</v>
      </c>
      <c r="AB7" s="103">
        <f>4194-X7</f>
        <v>3450</v>
      </c>
      <c r="AC7" s="103">
        <f>ROUND(21121*12/1000,0)+1</f>
        <v>254</v>
      </c>
      <c r="AD7" s="104">
        <v>1.85</v>
      </c>
      <c r="AE7" s="103">
        <f>ROUND(21121*12*AD7/1000,0)</f>
        <v>469</v>
      </c>
      <c r="AF7" s="103">
        <v>21</v>
      </c>
      <c r="AG7" s="103">
        <f>AC7+AE7+AF7</f>
        <v>744</v>
      </c>
      <c r="AH7" s="103">
        <v>2354</v>
      </c>
      <c r="AI7" s="105">
        <f t="shared" ref="AI7:AI24" si="0">ROUND(AJ7/AH7,7)</f>
        <v>0.46559050000000002</v>
      </c>
      <c r="AJ7" s="103">
        <f t="shared" ref="AJ7:AJ23" si="1">AK7-AH7</f>
        <v>1096</v>
      </c>
      <c r="AK7" s="103">
        <f>4194-AG7</f>
        <v>3450</v>
      </c>
    </row>
    <row r="8" spans="1:37" x14ac:dyDescent="0.25">
      <c r="A8" s="99" t="s">
        <v>132</v>
      </c>
      <c r="B8" s="100">
        <f t="shared" ref="B8:B23" si="2">ROUND(17824*12/1000,0)</f>
        <v>214</v>
      </c>
      <c r="C8" s="101">
        <v>1.65</v>
      </c>
      <c r="D8" s="100">
        <f t="shared" ref="D8:D23" si="3">ROUND(B8*C8,0)</f>
        <v>353</v>
      </c>
      <c r="E8" s="100">
        <v>18</v>
      </c>
      <c r="F8" s="100">
        <f t="shared" ref="F8:F23" si="4">B8+D8+E8</f>
        <v>585</v>
      </c>
      <c r="G8" s="100">
        <v>4994</v>
      </c>
      <c r="H8" s="102">
        <v>0.58930720000000003</v>
      </c>
      <c r="I8" s="100">
        <f t="shared" ref="I8:I23" si="5">ROUND(G8*H8,0)</f>
        <v>2943</v>
      </c>
      <c r="J8" s="100">
        <f t="shared" ref="J8:J23" si="6">G8+I8</f>
        <v>7937</v>
      </c>
      <c r="K8" s="100">
        <f t="shared" ref="K8:K23" si="7">ROUND(17824*12/1000,0)</f>
        <v>214</v>
      </c>
      <c r="L8" s="101">
        <v>1.65</v>
      </c>
      <c r="M8" s="100">
        <f t="shared" ref="M8:M23" si="8">ROUND(K8*L8,0)</f>
        <v>353</v>
      </c>
      <c r="N8" s="100">
        <v>18</v>
      </c>
      <c r="O8" s="100">
        <f t="shared" ref="O8:O23" si="9">K8+M8+N8</f>
        <v>585</v>
      </c>
      <c r="P8" s="103">
        <v>4994</v>
      </c>
      <c r="Q8" s="105">
        <f t="shared" ref="Q8:Q24" si="10">ROUND(R8/P8,7)</f>
        <v>0.97376850000000004</v>
      </c>
      <c r="R8" s="103">
        <f t="shared" ref="R8:R23" si="11">S8-P8</f>
        <v>4863</v>
      </c>
      <c r="S8" s="103">
        <f>10442-O8</f>
        <v>9857</v>
      </c>
      <c r="T8" s="103">
        <f t="shared" ref="T8:T23" si="12">ROUND(21121*12/1000,0)+1</f>
        <v>254</v>
      </c>
      <c r="U8" s="104">
        <v>1.65</v>
      </c>
      <c r="V8" s="103">
        <f t="shared" ref="V8:V23" si="13">ROUND(21121*12*U8/1000,0)</f>
        <v>418</v>
      </c>
      <c r="W8" s="103">
        <v>21</v>
      </c>
      <c r="X8" s="103">
        <f t="shared" ref="X8:X23" si="14">T8+V8+W8</f>
        <v>693</v>
      </c>
      <c r="Y8" s="103">
        <f t="shared" ref="Y8:Y23" si="15">ROUND(P8*1.185,0)</f>
        <v>5918</v>
      </c>
      <c r="Z8" s="105">
        <f t="shared" ref="Z8:Z24" si="16">ROUND(AA8/Y8,7)</f>
        <v>0.64734709999999995</v>
      </c>
      <c r="AA8" s="103">
        <f t="shared" ref="AA8:AA23" si="17">AB8-Y8</f>
        <v>3831</v>
      </c>
      <c r="AB8" s="103">
        <f>10442-X8</f>
        <v>9749</v>
      </c>
      <c r="AC8" s="103">
        <f t="shared" ref="AC8:AC23" si="18">ROUND(21121*12/1000,0)+1</f>
        <v>254</v>
      </c>
      <c r="AD8" s="104">
        <v>1.65</v>
      </c>
      <c r="AE8" s="103">
        <f t="shared" ref="AE8:AE23" si="19">ROUND(21121*12*AD8/1000,0)</f>
        <v>418</v>
      </c>
      <c r="AF8" s="103">
        <v>21</v>
      </c>
      <c r="AG8" s="103">
        <f t="shared" ref="AG8:AG23" si="20">AC8+AE8+AF8</f>
        <v>693</v>
      </c>
      <c r="AH8" s="103">
        <v>6627</v>
      </c>
      <c r="AI8" s="105">
        <f t="shared" si="0"/>
        <v>0.4711031</v>
      </c>
      <c r="AJ8" s="103">
        <f t="shared" si="1"/>
        <v>3122</v>
      </c>
      <c r="AK8" s="103">
        <f>10442-AG8</f>
        <v>9749</v>
      </c>
    </row>
    <row r="9" spans="1:37" x14ac:dyDescent="0.25">
      <c r="A9" s="99" t="s">
        <v>133</v>
      </c>
      <c r="B9" s="100">
        <f t="shared" si="2"/>
        <v>214</v>
      </c>
      <c r="C9" s="101">
        <v>1.85</v>
      </c>
      <c r="D9" s="100">
        <f t="shared" si="3"/>
        <v>396</v>
      </c>
      <c r="E9" s="100">
        <v>18</v>
      </c>
      <c r="F9" s="100">
        <f t="shared" si="4"/>
        <v>628</v>
      </c>
      <c r="G9" s="100">
        <v>3843</v>
      </c>
      <c r="H9" s="102">
        <v>0.69523290000000004</v>
      </c>
      <c r="I9" s="100">
        <f>ROUND(G9*H9,2)</f>
        <v>2671.78</v>
      </c>
      <c r="J9" s="100">
        <f t="shared" si="6"/>
        <v>6514.7800000000007</v>
      </c>
      <c r="K9" s="100">
        <f t="shared" si="7"/>
        <v>214</v>
      </c>
      <c r="L9" s="101">
        <v>1.85</v>
      </c>
      <c r="M9" s="100">
        <f t="shared" si="8"/>
        <v>396</v>
      </c>
      <c r="N9" s="100">
        <v>18</v>
      </c>
      <c r="O9" s="100">
        <f t="shared" si="9"/>
        <v>628</v>
      </c>
      <c r="P9" s="103">
        <v>3845</v>
      </c>
      <c r="Q9" s="105">
        <f t="shared" si="10"/>
        <v>1.1131339</v>
      </c>
      <c r="R9" s="103">
        <f t="shared" si="11"/>
        <v>4280</v>
      </c>
      <c r="S9" s="103">
        <f>8753-O9</f>
        <v>8125</v>
      </c>
      <c r="T9" s="103">
        <f t="shared" si="12"/>
        <v>254</v>
      </c>
      <c r="U9" s="104">
        <v>1.85</v>
      </c>
      <c r="V9" s="103">
        <f t="shared" si="13"/>
        <v>469</v>
      </c>
      <c r="W9" s="103">
        <v>21</v>
      </c>
      <c r="X9" s="103">
        <f t="shared" si="14"/>
        <v>744</v>
      </c>
      <c r="Y9" s="103">
        <f t="shared" si="15"/>
        <v>4556</v>
      </c>
      <c r="Z9" s="105">
        <f t="shared" si="16"/>
        <v>0.75790170000000001</v>
      </c>
      <c r="AA9" s="103">
        <f t="shared" si="17"/>
        <v>3453</v>
      </c>
      <c r="AB9" s="103">
        <f>8753-X9</f>
        <v>8009</v>
      </c>
      <c r="AC9" s="103">
        <f t="shared" si="18"/>
        <v>254</v>
      </c>
      <c r="AD9" s="104">
        <v>1.85</v>
      </c>
      <c r="AE9" s="103">
        <f t="shared" si="19"/>
        <v>469</v>
      </c>
      <c r="AF9" s="103">
        <v>21</v>
      </c>
      <c r="AG9" s="103">
        <f t="shared" si="20"/>
        <v>744</v>
      </c>
      <c r="AH9" s="103">
        <v>5082</v>
      </c>
      <c r="AI9" s="105">
        <f t="shared" si="0"/>
        <v>0.57595430000000003</v>
      </c>
      <c r="AJ9" s="103">
        <f t="shared" si="1"/>
        <v>2927</v>
      </c>
      <c r="AK9" s="103">
        <f>8753-AG9</f>
        <v>8009</v>
      </c>
    </row>
    <row r="10" spans="1:37" x14ac:dyDescent="0.25">
      <c r="A10" s="99" t="s">
        <v>134</v>
      </c>
      <c r="B10" s="100">
        <f t="shared" si="2"/>
        <v>214</v>
      </c>
      <c r="C10" s="101">
        <v>1.85</v>
      </c>
      <c r="D10" s="100">
        <f t="shared" si="3"/>
        <v>396</v>
      </c>
      <c r="E10" s="100">
        <v>18</v>
      </c>
      <c r="F10" s="100">
        <f t="shared" si="4"/>
        <v>628</v>
      </c>
      <c r="G10" s="100">
        <v>6183</v>
      </c>
      <c r="H10" s="102">
        <v>0.51107880000000006</v>
      </c>
      <c r="I10" s="100">
        <f t="shared" si="5"/>
        <v>3160</v>
      </c>
      <c r="J10" s="100">
        <f t="shared" si="6"/>
        <v>9343</v>
      </c>
      <c r="K10" s="100">
        <f t="shared" si="7"/>
        <v>214</v>
      </c>
      <c r="L10" s="101">
        <v>1.85</v>
      </c>
      <c r="M10" s="100">
        <f t="shared" si="8"/>
        <v>396</v>
      </c>
      <c r="N10" s="100">
        <v>18</v>
      </c>
      <c r="O10" s="100">
        <f t="shared" si="9"/>
        <v>628</v>
      </c>
      <c r="P10" s="103">
        <v>6183</v>
      </c>
      <c r="Q10" s="105">
        <f t="shared" si="10"/>
        <v>0.87514150000000002</v>
      </c>
      <c r="R10" s="103">
        <f t="shared" si="11"/>
        <v>5411</v>
      </c>
      <c r="S10" s="103">
        <f>12222-O10</f>
        <v>11594</v>
      </c>
      <c r="T10" s="103">
        <f t="shared" si="12"/>
        <v>254</v>
      </c>
      <c r="U10" s="104">
        <v>1.85</v>
      </c>
      <c r="V10" s="103">
        <f t="shared" si="13"/>
        <v>469</v>
      </c>
      <c r="W10" s="103">
        <v>21</v>
      </c>
      <c r="X10" s="103">
        <f t="shared" si="14"/>
        <v>744</v>
      </c>
      <c r="Y10" s="103">
        <f t="shared" si="15"/>
        <v>7327</v>
      </c>
      <c r="Z10" s="105">
        <f t="shared" si="16"/>
        <v>0.56653469999999995</v>
      </c>
      <c r="AA10" s="103">
        <f t="shared" si="17"/>
        <v>4151</v>
      </c>
      <c r="AB10" s="103">
        <f>12222-X10</f>
        <v>11478</v>
      </c>
      <c r="AC10" s="103">
        <f t="shared" si="18"/>
        <v>254</v>
      </c>
      <c r="AD10" s="104">
        <v>1.85</v>
      </c>
      <c r="AE10" s="103">
        <f t="shared" si="19"/>
        <v>469</v>
      </c>
      <c r="AF10" s="103">
        <v>21</v>
      </c>
      <c r="AG10" s="103">
        <f t="shared" si="20"/>
        <v>744</v>
      </c>
      <c r="AH10" s="103">
        <v>8129</v>
      </c>
      <c r="AI10" s="105">
        <f t="shared" si="0"/>
        <v>0.41198180000000001</v>
      </c>
      <c r="AJ10" s="103">
        <f t="shared" si="1"/>
        <v>3349</v>
      </c>
      <c r="AK10" s="103">
        <f>12222-AG10</f>
        <v>11478</v>
      </c>
    </row>
    <row r="11" spans="1:37" x14ac:dyDescent="0.25">
      <c r="A11" s="99" t="s">
        <v>135</v>
      </c>
      <c r="B11" s="100">
        <f t="shared" si="2"/>
        <v>214</v>
      </c>
      <c r="C11" s="101">
        <v>1.65</v>
      </c>
      <c r="D11" s="100">
        <f t="shared" si="3"/>
        <v>353</v>
      </c>
      <c r="E11" s="100">
        <v>18</v>
      </c>
      <c r="F11" s="100">
        <f t="shared" si="4"/>
        <v>585</v>
      </c>
      <c r="G11" s="100">
        <v>4162</v>
      </c>
      <c r="H11" s="102">
        <v>0.55430080000000004</v>
      </c>
      <c r="I11" s="100">
        <f t="shared" si="5"/>
        <v>2307</v>
      </c>
      <c r="J11" s="100">
        <f t="shared" si="6"/>
        <v>6469</v>
      </c>
      <c r="K11" s="100">
        <f t="shared" si="7"/>
        <v>214</v>
      </c>
      <c r="L11" s="101">
        <v>1.65</v>
      </c>
      <c r="M11" s="100">
        <f t="shared" si="8"/>
        <v>353</v>
      </c>
      <c r="N11" s="100">
        <v>18</v>
      </c>
      <c r="O11" s="100">
        <f t="shared" si="9"/>
        <v>585</v>
      </c>
      <c r="P11" s="103">
        <v>4162</v>
      </c>
      <c r="Q11" s="105">
        <f t="shared" si="10"/>
        <v>0.93584809999999996</v>
      </c>
      <c r="R11" s="103">
        <f t="shared" si="11"/>
        <v>3895</v>
      </c>
      <c r="S11" s="103">
        <f>8642-O11</f>
        <v>8057</v>
      </c>
      <c r="T11" s="103">
        <f t="shared" si="12"/>
        <v>254</v>
      </c>
      <c r="U11" s="104">
        <v>1.65</v>
      </c>
      <c r="V11" s="103">
        <f t="shared" si="13"/>
        <v>418</v>
      </c>
      <c r="W11" s="103">
        <v>21</v>
      </c>
      <c r="X11" s="103">
        <f t="shared" si="14"/>
        <v>693</v>
      </c>
      <c r="Y11" s="103">
        <f t="shared" si="15"/>
        <v>4932</v>
      </c>
      <c r="Z11" s="105">
        <f t="shared" si="16"/>
        <v>0.61171940000000002</v>
      </c>
      <c r="AA11" s="103">
        <f t="shared" si="17"/>
        <v>3017</v>
      </c>
      <c r="AB11" s="103">
        <f>8642-X11</f>
        <v>7949</v>
      </c>
      <c r="AC11" s="103">
        <f t="shared" si="18"/>
        <v>254</v>
      </c>
      <c r="AD11" s="104">
        <v>1.65</v>
      </c>
      <c r="AE11" s="103">
        <f t="shared" si="19"/>
        <v>418</v>
      </c>
      <c r="AF11" s="103">
        <v>21</v>
      </c>
      <c r="AG11" s="103">
        <f t="shared" si="20"/>
        <v>693</v>
      </c>
      <c r="AH11" s="103">
        <v>5540</v>
      </c>
      <c r="AI11" s="105">
        <f t="shared" si="0"/>
        <v>0.43483749999999999</v>
      </c>
      <c r="AJ11" s="103">
        <f t="shared" si="1"/>
        <v>2409</v>
      </c>
      <c r="AK11" s="103">
        <f>8642-AG11</f>
        <v>7949</v>
      </c>
    </row>
    <row r="12" spans="1:37" x14ac:dyDescent="0.25">
      <c r="A12" s="99" t="s">
        <v>136</v>
      </c>
      <c r="B12" s="100">
        <f t="shared" si="2"/>
        <v>214</v>
      </c>
      <c r="C12" s="101">
        <v>1.65</v>
      </c>
      <c r="D12" s="100">
        <f t="shared" si="3"/>
        <v>353</v>
      </c>
      <c r="E12" s="100">
        <v>18</v>
      </c>
      <c r="F12" s="100">
        <f t="shared" si="4"/>
        <v>585</v>
      </c>
      <c r="G12" s="100">
        <v>1434</v>
      </c>
      <c r="H12" s="102">
        <v>0.53695959999999998</v>
      </c>
      <c r="I12" s="100">
        <f t="shared" si="5"/>
        <v>770</v>
      </c>
      <c r="J12" s="100">
        <f t="shared" si="6"/>
        <v>2204</v>
      </c>
      <c r="K12" s="100">
        <f t="shared" si="7"/>
        <v>214</v>
      </c>
      <c r="L12" s="101">
        <v>1.65</v>
      </c>
      <c r="M12" s="100">
        <f t="shared" si="8"/>
        <v>353</v>
      </c>
      <c r="N12" s="100">
        <v>18</v>
      </c>
      <c r="O12" s="100">
        <f t="shared" si="9"/>
        <v>585</v>
      </c>
      <c r="P12" s="103">
        <v>1434</v>
      </c>
      <c r="Q12" s="105">
        <f t="shared" si="10"/>
        <v>0.97419800000000001</v>
      </c>
      <c r="R12" s="103">
        <f t="shared" si="11"/>
        <v>1397</v>
      </c>
      <c r="S12" s="103">
        <f>3416-O12</f>
        <v>2831</v>
      </c>
      <c r="T12" s="103">
        <f t="shared" si="12"/>
        <v>254</v>
      </c>
      <c r="U12" s="104">
        <v>1.65</v>
      </c>
      <c r="V12" s="103">
        <f t="shared" si="13"/>
        <v>418</v>
      </c>
      <c r="W12" s="103">
        <v>21</v>
      </c>
      <c r="X12" s="103">
        <f t="shared" si="14"/>
        <v>693</v>
      </c>
      <c r="Y12" s="103">
        <f t="shared" si="15"/>
        <v>1699</v>
      </c>
      <c r="Z12" s="105">
        <f t="shared" si="16"/>
        <v>0.60270749999999995</v>
      </c>
      <c r="AA12" s="103">
        <f t="shared" si="17"/>
        <v>1024</v>
      </c>
      <c r="AB12" s="103">
        <f>3416-X12</f>
        <v>2723</v>
      </c>
      <c r="AC12" s="103">
        <f t="shared" si="18"/>
        <v>254</v>
      </c>
      <c r="AD12" s="104">
        <v>1.65</v>
      </c>
      <c r="AE12" s="103">
        <f t="shared" si="19"/>
        <v>418</v>
      </c>
      <c r="AF12" s="103">
        <v>21</v>
      </c>
      <c r="AG12" s="103">
        <f t="shared" si="20"/>
        <v>693</v>
      </c>
      <c r="AH12" s="103">
        <v>1911</v>
      </c>
      <c r="AI12" s="105">
        <f t="shared" si="0"/>
        <v>0.42490840000000002</v>
      </c>
      <c r="AJ12" s="103">
        <f t="shared" si="1"/>
        <v>812</v>
      </c>
      <c r="AK12" s="103">
        <f>3416-AG12</f>
        <v>2723</v>
      </c>
    </row>
    <row r="13" spans="1:37" x14ac:dyDescent="0.25">
      <c r="A13" s="99" t="s">
        <v>137</v>
      </c>
      <c r="B13" s="100">
        <f t="shared" si="2"/>
        <v>214</v>
      </c>
      <c r="C13" s="101">
        <v>1.65</v>
      </c>
      <c r="D13" s="100">
        <f t="shared" si="3"/>
        <v>353</v>
      </c>
      <c r="E13" s="100">
        <v>18</v>
      </c>
      <c r="F13" s="100">
        <f t="shared" si="4"/>
        <v>585</v>
      </c>
      <c r="G13" s="100">
        <v>2030</v>
      </c>
      <c r="H13" s="102">
        <v>0.62610840000000001</v>
      </c>
      <c r="I13" s="100">
        <f t="shared" si="5"/>
        <v>1271</v>
      </c>
      <c r="J13" s="100">
        <f t="shared" si="6"/>
        <v>3301</v>
      </c>
      <c r="K13" s="100">
        <f t="shared" si="7"/>
        <v>214</v>
      </c>
      <c r="L13" s="101">
        <v>1.65</v>
      </c>
      <c r="M13" s="100">
        <f t="shared" si="8"/>
        <v>353</v>
      </c>
      <c r="N13" s="100">
        <v>18</v>
      </c>
      <c r="O13" s="100">
        <f t="shared" si="9"/>
        <v>585</v>
      </c>
      <c r="P13" s="103">
        <v>2030</v>
      </c>
      <c r="Q13" s="105">
        <f t="shared" si="10"/>
        <v>1.0600985000000001</v>
      </c>
      <c r="R13" s="103">
        <f t="shared" si="11"/>
        <v>2152</v>
      </c>
      <c r="S13" s="103">
        <f>4767-O13</f>
        <v>4182</v>
      </c>
      <c r="T13" s="103">
        <f t="shared" si="12"/>
        <v>254</v>
      </c>
      <c r="U13" s="104">
        <v>1.65</v>
      </c>
      <c r="V13" s="103">
        <f t="shared" si="13"/>
        <v>418</v>
      </c>
      <c r="W13" s="103">
        <v>21</v>
      </c>
      <c r="X13" s="103">
        <f t="shared" si="14"/>
        <v>693</v>
      </c>
      <c r="Y13" s="103">
        <f t="shared" si="15"/>
        <v>2406</v>
      </c>
      <c r="Z13" s="105">
        <f t="shared" si="16"/>
        <v>0.69326679999999996</v>
      </c>
      <c r="AA13" s="103">
        <f t="shared" si="17"/>
        <v>1668</v>
      </c>
      <c r="AB13" s="103">
        <f>4767-X13</f>
        <v>4074</v>
      </c>
      <c r="AC13" s="103">
        <f t="shared" si="18"/>
        <v>254</v>
      </c>
      <c r="AD13" s="104">
        <v>1.65</v>
      </c>
      <c r="AE13" s="103">
        <f t="shared" si="19"/>
        <v>418</v>
      </c>
      <c r="AF13" s="103">
        <v>21</v>
      </c>
      <c r="AG13" s="103">
        <f t="shared" si="20"/>
        <v>693</v>
      </c>
      <c r="AH13" s="103">
        <v>2691</v>
      </c>
      <c r="AI13" s="105">
        <f t="shared" si="0"/>
        <v>0.51393529999999998</v>
      </c>
      <c r="AJ13" s="103">
        <f t="shared" si="1"/>
        <v>1383</v>
      </c>
      <c r="AK13" s="103">
        <f>4767-AG13</f>
        <v>4074</v>
      </c>
    </row>
    <row r="14" spans="1:37" x14ac:dyDescent="0.25">
      <c r="A14" s="99" t="s">
        <v>138</v>
      </c>
      <c r="B14" s="100">
        <f t="shared" si="2"/>
        <v>214</v>
      </c>
      <c r="C14" s="101">
        <v>1.85</v>
      </c>
      <c r="D14" s="100">
        <f t="shared" si="3"/>
        <v>396</v>
      </c>
      <c r="E14" s="100">
        <v>18</v>
      </c>
      <c r="F14" s="100">
        <f t="shared" si="4"/>
        <v>628</v>
      </c>
      <c r="G14" s="100">
        <v>3237</v>
      </c>
      <c r="H14" s="102">
        <v>0.52888480000000004</v>
      </c>
      <c r="I14" s="100">
        <f t="shared" si="5"/>
        <v>1712</v>
      </c>
      <c r="J14" s="100">
        <f t="shared" si="6"/>
        <v>4949</v>
      </c>
      <c r="K14" s="100">
        <f t="shared" si="7"/>
        <v>214</v>
      </c>
      <c r="L14" s="101">
        <v>1.65</v>
      </c>
      <c r="M14" s="100">
        <f t="shared" si="8"/>
        <v>353</v>
      </c>
      <c r="N14" s="100">
        <v>18</v>
      </c>
      <c r="O14" s="100">
        <f t="shared" si="9"/>
        <v>585</v>
      </c>
      <c r="P14" s="103">
        <v>3237</v>
      </c>
      <c r="Q14" s="105">
        <f t="shared" si="10"/>
        <v>0.92554829999999999</v>
      </c>
      <c r="R14" s="103">
        <f t="shared" si="11"/>
        <v>2996</v>
      </c>
      <c r="S14" s="103">
        <f>6818-O14</f>
        <v>6233</v>
      </c>
      <c r="T14" s="103">
        <f t="shared" si="12"/>
        <v>254</v>
      </c>
      <c r="U14" s="104">
        <v>1.65</v>
      </c>
      <c r="V14" s="103">
        <f t="shared" si="13"/>
        <v>418</v>
      </c>
      <c r="W14" s="103">
        <v>21</v>
      </c>
      <c r="X14" s="103">
        <f t="shared" si="14"/>
        <v>693</v>
      </c>
      <c r="Y14" s="103">
        <f t="shared" si="15"/>
        <v>3836</v>
      </c>
      <c r="Z14" s="105">
        <f t="shared" si="16"/>
        <v>0.59671529999999995</v>
      </c>
      <c r="AA14" s="103">
        <f t="shared" si="17"/>
        <v>2289</v>
      </c>
      <c r="AB14" s="103">
        <f>6818-X14</f>
        <v>6125</v>
      </c>
      <c r="AC14" s="103">
        <f t="shared" si="18"/>
        <v>254</v>
      </c>
      <c r="AD14" s="104">
        <v>1.65</v>
      </c>
      <c r="AE14" s="103">
        <f t="shared" si="19"/>
        <v>418</v>
      </c>
      <c r="AF14" s="103">
        <v>21</v>
      </c>
      <c r="AG14" s="103">
        <f t="shared" si="20"/>
        <v>693</v>
      </c>
      <c r="AH14" s="103">
        <v>4356</v>
      </c>
      <c r="AI14" s="105">
        <f t="shared" si="0"/>
        <v>0.40610649999999998</v>
      </c>
      <c r="AJ14" s="103">
        <f t="shared" si="1"/>
        <v>1769</v>
      </c>
      <c r="AK14" s="103">
        <f>6781+37-AG14</f>
        <v>6125</v>
      </c>
    </row>
    <row r="15" spans="1:37" x14ac:dyDescent="0.25">
      <c r="A15" s="99" t="s">
        <v>139</v>
      </c>
      <c r="B15" s="100">
        <f t="shared" si="2"/>
        <v>214</v>
      </c>
      <c r="C15" s="101">
        <v>1.65</v>
      </c>
      <c r="D15" s="100">
        <f t="shared" si="3"/>
        <v>353</v>
      </c>
      <c r="E15" s="100">
        <v>18</v>
      </c>
      <c r="F15" s="100">
        <f t="shared" si="4"/>
        <v>585</v>
      </c>
      <c r="G15" s="100">
        <v>2350</v>
      </c>
      <c r="H15" s="102">
        <v>0.66638299999999995</v>
      </c>
      <c r="I15" s="100">
        <f t="shared" si="5"/>
        <v>1566</v>
      </c>
      <c r="J15" s="100">
        <f t="shared" si="6"/>
        <v>3916</v>
      </c>
      <c r="K15" s="100">
        <f t="shared" si="7"/>
        <v>214</v>
      </c>
      <c r="L15" s="101">
        <v>1.65</v>
      </c>
      <c r="M15" s="100">
        <f t="shared" si="8"/>
        <v>353</v>
      </c>
      <c r="N15" s="100">
        <v>18</v>
      </c>
      <c r="O15" s="100">
        <f t="shared" si="9"/>
        <v>585</v>
      </c>
      <c r="P15" s="103">
        <v>2350</v>
      </c>
      <c r="Q15" s="105">
        <f t="shared" si="10"/>
        <v>1.0970213</v>
      </c>
      <c r="R15" s="103">
        <f t="shared" si="11"/>
        <v>2578</v>
      </c>
      <c r="S15" s="103">
        <f>5513-O15</f>
        <v>4928</v>
      </c>
      <c r="T15" s="103">
        <f t="shared" si="12"/>
        <v>254</v>
      </c>
      <c r="U15" s="104">
        <v>1.65</v>
      </c>
      <c r="V15" s="103">
        <f t="shared" si="13"/>
        <v>418</v>
      </c>
      <c r="W15" s="103">
        <v>21</v>
      </c>
      <c r="X15" s="103">
        <f t="shared" si="14"/>
        <v>693</v>
      </c>
      <c r="Y15" s="103">
        <f t="shared" si="15"/>
        <v>2785</v>
      </c>
      <c r="Z15" s="105">
        <f t="shared" si="16"/>
        <v>0.73070020000000002</v>
      </c>
      <c r="AA15" s="103">
        <f t="shared" si="17"/>
        <v>2035</v>
      </c>
      <c r="AB15" s="103">
        <f>5513-X15</f>
        <v>4820</v>
      </c>
      <c r="AC15" s="103">
        <f t="shared" si="18"/>
        <v>254</v>
      </c>
      <c r="AD15" s="104">
        <v>1.65</v>
      </c>
      <c r="AE15" s="103">
        <f t="shared" si="19"/>
        <v>418</v>
      </c>
      <c r="AF15" s="103">
        <v>21</v>
      </c>
      <c r="AG15" s="103">
        <f t="shared" si="20"/>
        <v>693</v>
      </c>
      <c r="AH15" s="103">
        <v>3135</v>
      </c>
      <c r="AI15" s="105">
        <f t="shared" si="0"/>
        <v>0.53748010000000002</v>
      </c>
      <c r="AJ15" s="103">
        <f t="shared" si="1"/>
        <v>1685</v>
      </c>
      <c r="AK15" s="103">
        <f>5513-AG15</f>
        <v>4820</v>
      </c>
    </row>
    <row r="16" spans="1:37" x14ac:dyDescent="0.25">
      <c r="A16" s="99" t="s">
        <v>140</v>
      </c>
      <c r="B16" s="100">
        <f t="shared" si="2"/>
        <v>214</v>
      </c>
      <c r="C16" s="101">
        <v>1.65</v>
      </c>
      <c r="D16" s="100">
        <f t="shared" si="3"/>
        <v>353</v>
      </c>
      <c r="E16" s="100">
        <v>18</v>
      </c>
      <c r="F16" s="100">
        <f t="shared" si="4"/>
        <v>585</v>
      </c>
      <c r="G16" s="100">
        <v>2787</v>
      </c>
      <c r="H16" s="102">
        <v>0.5410836</v>
      </c>
      <c r="I16" s="100">
        <f t="shared" si="5"/>
        <v>1508</v>
      </c>
      <c r="J16" s="100">
        <f t="shared" si="6"/>
        <v>4295</v>
      </c>
      <c r="K16" s="100">
        <f t="shared" si="7"/>
        <v>214</v>
      </c>
      <c r="L16" s="101">
        <v>1.65</v>
      </c>
      <c r="M16" s="100">
        <f t="shared" si="8"/>
        <v>353</v>
      </c>
      <c r="N16" s="100">
        <v>18</v>
      </c>
      <c r="O16" s="100">
        <f t="shared" si="9"/>
        <v>585</v>
      </c>
      <c r="P16" s="103">
        <v>2787</v>
      </c>
      <c r="Q16" s="105">
        <f t="shared" si="10"/>
        <v>0.93397920000000001</v>
      </c>
      <c r="R16" s="103">
        <f t="shared" si="11"/>
        <v>2603</v>
      </c>
      <c r="S16" s="103">
        <f>5975-O16</f>
        <v>5390</v>
      </c>
      <c r="T16" s="103">
        <f t="shared" si="12"/>
        <v>254</v>
      </c>
      <c r="U16" s="104">
        <v>1.65</v>
      </c>
      <c r="V16" s="103">
        <f t="shared" si="13"/>
        <v>418</v>
      </c>
      <c r="W16" s="103">
        <v>21</v>
      </c>
      <c r="X16" s="103">
        <f t="shared" si="14"/>
        <v>693</v>
      </c>
      <c r="Y16" s="103">
        <f t="shared" si="15"/>
        <v>3303</v>
      </c>
      <c r="Z16" s="105">
        <f t="shared" si="16"/>
        <v>0.59915229999999997</v>
      </c>
      <c r="AA16" s="103">
        <f t="shared" si="17"/>
        <v>1979</v>
      </c>
      <c r="AB16" s="103">
        <f>5975-X16</f>
        <v>5282</v>
      </c>
      <c r="AC16" s="103">
        <f t="shared" si="18"/>
        <v>254</v>
      </c>
      <c r="AD16" s="104">
        <v>1.65</v>
      </c>
      <c r="AE16" s="103">
        <f t="shared" si="19"/>
        <v>418</v>
      </c>
      <c r="AF16" s="103">
        <v>21</v>
      </c>
      <c r="AG16" s="103">
        <f t="shared" si="20"/>
        <v>693</v>
      </c>
      <c r="AH16" s="103">
        <v>3714</v>
      </c>
      <c r="AI16" s="105">
        <f t="shared" si="0"/>
        <v>0.42218630000000001</v>
      </c>
      <c r="AJ16" s="103">
        <f t="shared" si="1"/>
        <v>1568</v>
      </c>
      <c r="AK16" s="103">
        <f>5975-AG16</f>
        <v>5282</v>
      </c>
    </row>
    <row r="17" spans="1:37" x14ac:dyDescent="0.25">
      <c r="A17" s="99" t="s">
        <v>141</v>
      </c>
      <c r="B17" s="100">
        <f t="shared" si="2"/>
        <v>214</v>
      </c>
      <c r="C17" s="101">
        <v>1.85</v>
      </c>
      <c r="D17" s="100">
        <f t="shared" si="3"/>
        <v>396</v>
      </c>
      <c r="E17" s="100">
        <v>18</v>
      </c>
      <c r="F17" s="100">
        <f t="shared" si="4"/>
        <v>628</v>
      </c>
      <c r="G17" s="100">
        <v>624</v>
      </c>
      <c r="H17" s="102">
        <v>0.51923079999999999</v>
      </c>
      <c r="I17" s="100">
        <f t="shared" si="5"/>
        <v>324</v>
      </c>
      <c r="J17" s="100">
        <f t="shared" si="6"/>
        <v>948</v>
      </c>
      <c r="K17" s="100">
        <f t="shared" si="7"/>
        <v>214</v>
      </c>
      <c r="L17" s="101">
        <v>1.85</v>
      </c>
      <c r="M17" s="100">
        <f t="shared" si="8"/>
        <v>396</v>
      </c>
      <c r="N17" s="100">
        <v>18</v>
      </c>
      <c r="O17" s="100">
        <f t="shared" si="9"/>
        <v>628</v>
      </c>
      <c r="P17" s="103">
        <v>624</v>
      </c>
      <c r="Q17" s="105">
        <f t="shared" si="10"/>
        <v>1.1346153999999999</v>
      </c>
      <c r="R17" s="103">
        <f t="shared" si="11"/>
        <v>708</v>
      </c>
      <c r="S17" s="103">
        <f>1960-O17</f>
        <v>1332</v>
      </c>
      <c r="T17" s="103">
        <f t="shared" si="12"/>
        <v>254</v>
      </c>
      <c r="U17" s="104">
        <v>1.85</v>
      </c>
      <c r="V17" s="103">
        <f t="shared" si="13"/>
        <v>469</v>
      </c>
      <c r="W17" s="103">
        <v>21</v>
      </c>
      <c r="X17" s="103">
        <f t="shared" si="14"/>
        <v>744</v>
      </c>
      <c r="Y17" s="103">
        <f t="shared" si="15"/>
        <v>739</v>
      </c>
      <c r="Z17" s="105">
        <f t="shared" si="16"/>
        <v>0.64546680000000001</v>
      </c>
      <c r="AA17" s="103">
        <f t="shared" si="17"/>
        <v>477</v>
      </c>
      <c r="AB17" s="103">
        <f>1960-X17</f>
        <v>1216</v>
      </c>
      <c r="AC17" s="103">
        <f t="shared" si="18"/>
        <v>254</v>
      </c>
      <c r="AD17" s="104">
        <v>1.85</v>
      </c>
      <c r="AE17" s="103">
        <f t="shared" si="19"/>
        <v>469</v>
      </c>
      <c r="AF17" s="103">
        <v>21</v>
      </c>
      <c r="AG17" s="103">
        <f t="shared" si="20"/>
        <v>744</v>
      </c>
      <c r="AH17" s="103">
        <v>854</v>
      </c>
      <c r="AI17" s="105">
        <f t="shared" si="0"/>
        <v>0.42388759999999998</v>
      </c>
      <c r="AJ17" s="103">
        <f t="shared" si="1"/>
        <v>362</v>
      </c>
      <c r="AK17" s="103">
        <f>1933+27-AG17</f>
        <v>1216</v>
      </c>
    </row>
    <row r="18" spans="1:37" x14ac:dyDescent="0.25">
      <c r="A18" s="99" t="s">
        <v>142</v>
      </c>
      <c r="B18" s="100">
        <f t="shared" si="2"/>
        <v>214</v>
      </c>
      <c r="C18" s="101">
        <v>1.65</v>
      </c>
      <c r="D18" s="100">
        <f t="shared" si="3"/>
        <v>353</v>
      </c>
      <c r="E18" s="100">
        <v>18</v>
      </c>
      <c r="F18" s="100">
        <f t="shared" si="4"/>
        <v>585</v>
      </c>
      <c r="G18" s="100">
        <v>1330</v>
      </c>
      <c r="H18" s="102">
        <v>0.66240600000000005</v>
      </c>
      <c r="I18" s="100">
        <f t="shared" si="5"/>
        <v>881</v>
      </c>
      <c r="J18" s="100">
        <f t="shared" si="6"/>
        <v>2211</v>
      </c>
      <c r="K18" s="100">
        <f t="shared" si="7"/>
        <v>214</v>
      </c>
      <c r="L18" s="101">
        <v>1.65</v>
      </c>
      <c r="M18" s="100">
        <f t="shared" si="8"/>
        <v>353</v>
      </c>
      <c r="N18" s="100">
        <v>18</v>
      </c>
      <c r="O18" s="100">
        <f t="shared" si="9"/>
        <v>585</v>
      </c>
      <c r="P18" s="103">
        <v>1330</v>
      </c>
      <c r="Q18" s="105">
        <f t="shared" si="10"/>
        <v>1.1353382999999999</v>
      </c>
      <c r="R18" s="103">
        <f t="shared" si="11"/>
        <v>1510</v>
      </c>
      <c r="S18" s="103">
        <f>3425-O18</f>
        <v>2840</v>
      </c>
      <c r="T18" s="103">
        <f t="shared" si="12"/>
        <v>254</v>
      </c>
      <c r="U18" s="104">
        <v>1.65</v>
      </c>
      <c r="V18" s="103">
        <f t="shared" si="13"/>
        <v>418</v>
      </c>
      <c r="W18" s="103">
        <v>21</v>
      </c>
      <c r="X18" s="103">
        <f t="shared" si="14"/>
        <v>693</v>
      </c>
      <c r="Y18" s="103">
        <f t="shared" si="15"/>
        <v>1576</v>
      </c>
      <c r="Z18" s="105">
        <f t="shared" si="16"/>
        <v>0.73350249999999995</v>
      </c>
      <c r="AA18" s="103">
        <f t="shared" si="17"/>
        <v>1156</v>
      </c>
      <c r="AB18" s="103">
        <f>3425-X18</f>
        <v>2732</v>
      </c>
      <c r="AC18" s="103">
        <f t="shared" si="18"/>
        <v>254</v>
      </c>
      <c r="AD18" s="104">
        <v>1.65</v>
      </c>
      <c r="AE18" s="103">
        <f t="shared" si="19"/>
        <v>418</v>
      </c>
      <c r="AF18" s="103">
        <v>21</v>
      </c>
      <c r="AG18" s="103">
        <f t="shared" si="20"/>
        <v>693</v>
      </c>
      <c r="AH18" s="103">
        <v>1763</v>
      </c>
      <c r="AI18" s="105">
        <f t="shared" si="0"/>
        <v>0.54963130000000004</v>
      </c>
      <c r="AJ18" s="103">
        <f t="shared" si="1"/>
        <v>969</v>
      </c>
      <c r="AK18" s="103">
        <f>3425-AG18</f>
        <v>2732</v>
      </c>
    </row>
    <row r="19" spans="1:37" x14ac:dyDescent="0.25">
      <c r="A19" s="99" t="s">
        <v>143</v>
      </c>
      <c r="B19" s="100">
        <f t="shared" si="2"/>
        <v>214</v>
      </c>
      <c r="C19" s="101">
        <v>1.65</v>
      </c>
      <c r="D19" s="100">
        <f t="shared" si="3"/>
        <v>353</v>
      </c>
      <c r="E19" s="100">
        <v>18</v>
      </c>
      <c r="F19" s="100">
        <f t="shared" si="4"/>
        <v>585</v>
      </c>
      <c r="G19" s="100">
        <v>1055</v>
      </c>
      <c r="H19" s="102">
        <v>0.54881519999999995</v>
      </c>
      <c r="I19" s="100">
        <f t="shared" si="5"/>
        <v>579</v>
      </c>
      <c r="J19" s="100">
        <f t="shared" si="6"/>
        <v>1634</v>
      </c>
      <c r="K19" s="100">
        <f t="shared" si="7"/>
        <v>214</v>
      </c>
      <c r="L19" s="101">
        <v>1.65</v>
      </c>
      <c r="M19" s="100">
        <f t="shared" si="8"/>
        <v>353</v>
      </c>
      <c r="N19" s="100">
        <v>18</v>
      </c>
      <c r="O19" s="100">
        <f t="shared" si="9"/>
        <v>585</v>
      </c>
      <c r="P19" s="103">
        <v>1055</v>
      </c>
      <c r="Q19" s="105">
        <f t="shared" si="10"/>
        <v>1.0208531000000001</v>
      </c>
      <c r="R19" s="103">
        <f t="shared" si="11"/>
        <v>1077</v>
      </c>
      <c r="S19" s="103">
        <f>2717-O19</f>
        <v>2132</v>
      </c>
      <c r="T19" s="103">
        <f t="shared" si="12"/>
        <v>254</v>
      </c>
      <c r="U19" s="104">
        <v>1.65</v>
      </c>
      <c r="V19" s="103">
        <f t="shared" si="13"/>
        <v>418</v>
      </c>
      <c r="W19" s="103">
        <v>21</v>
      </c>
      <c r="X19" s="103">
        <f t="shared" si="14"/>
        <v>693</v>
      </c>
      <c r="Y19" s="103">
        <f t="shared" si="15"/>
        <v>1250</v>
      </c>
      <c r="Z19" s="105">
        <f t="shared" si="16"/>
        <v>0.61919999999999997</v>
      </c>
      <c r="AA19" s="103">
        <f t="shared" si="17"/>
        <v>774</v>
      </c>
      <c r="AB19" s="103">
        <f>2717-X19</f>
        <v>2024</v>
      </c>
      <c r="AC19" s="103">
        <f t="shared" si="18"/>
        <v>254</v>
      </c>
      <c r="AD19" s="104">
        <v>1.65</v>
      </c>
      <c r="AE19" s="103">
        <f t="shared" si="19"/>
        <v>418</v>
      </c>
      <c r="AF19" s="103">
        <v>21</v>
      </c>
      <c r="AG19" s="103">
        <f t="shared" si="20"/>
        <v>693</v>
      </c>
      <c r="AH19" s="103">
        <v>1397</v>
      </c>
      <c r="AI19" s="105">
        <f t="shared" si="0"/>
        <v>0.44881890000000002</v>
      </c>
      <c r="AJ19" s="103">
        <f t="shared" si="1"/>
        <v>627</v>
      </c>
      <c r="AK19" s="103">
        <f>2717-AG19</f>
        <v>2024</v>
      </c>
    </row>
    <row r="20" spans="1:37" x14ac:dyDescent="0.25">
      <c r="A20" s="99" t="s">
        <v>144</v>
      </c>
      <c r="B20" s="100">
        <f t="shared" si="2"/>
        <v>214</v>
      </c>
      <c r="C20" s="101">
        <v>1.65</v>
      </c>
      <c r="D20" s="100">
        <f t="shared" si="3"/>
        <v>353</v>
      </c>
      <c r="E20" s="100">
        <v>18</v>
      </c>
      <c r="F20" s="100">
        <f t="shared" si="4"/>
        <v>585</v>
      </c>
      <c r="G20" s="100">
        <v>1380</v>
      </c>
      <c r="H20" s="102">
        <v>0.56376809999999999</v>
      </c>
      <c r="I20" s="100">
        <f t="shared" si="5"/>
        <v>778</v>
      </c>
      <c r="J20" s="100">
        <f t="shared" si="6"/>
        <v>2158</v>
      </c>
      <c r="K20" s="100">
        <f t="shared" si="7"/>
        <v>214</v>
      </c>
      <c r="L20" s="101">
        <v>1.85</v>
      </c>
      <c r="M20" s="100">
        <f t="shared" si="8"/>
        <v>396</v>
      </c>
      <c r="N20" s="100">
        <v>18</v>
      </c>
      <c r="O20" s="100">
        <f t="shared" si="9"/>
        <v>628</v>
      </c>
      <c r="P20" s="103">
        <v>1685</v>
      </c>
      <c r="Q20" s="105">
        <f t="shared" si="10"/>
        <v>1.0480712000000001</v>
      </c>
      <c r="R20" s="103">
        <f t="shared" si="11"/>
        <v>1766</v>
      </c>
      <c r="S20" s="103">
        <f>4079-O20</f>
        <v>3451</v>
      </c>
      <c r="T20" s="103">
        <f t="shared" si="12"/>
        <v>254</v>
      </c>
      <c r="U20" s="104">
        <v>1.85</v>
      </c>
      <c r="V20" s="103">
        <f t="shared" si="13"/>
        <v>469</v>
      </c>
      <c r="W20" s="103">
        <v>21</v>
      </c>
      <c r="X20" s="103">
        <f t="shared" si="14"/>
        <v>744</v>
      </c>
      <c r="Y20" s="103">
        <f t="shared" si="15"/>
        <v>1997</v>
      </c>
      <c r="Z20" s="105">
        <f t="shared" si="16"/>
        <v>0.67000499999999996</v>
      </c>
      <c r="AA20" s="103">
        <f t="shared" si="17"/>
        <v>1338</v>
      </c>
      <c r="AB20" s="103">
        <f>4079-X20</f>
        <v>3335</v>
      </c>
      <c r="AC20" s="103">
        <f t="shared" si="18"/>
        <v>254</v>
      </c>
      <c r="AD20" s="104">
        <v>1.85</v>
      </c>
      <c r="AE20" s="103">
        <f t="shared" si="19"/>
        <v>469</v>
      </c>
      <c r="AF20" s="103">
        <v>21</v>
      </c>
      <c r="AG20" s="103">
        <f t="shared" si="20"/>
        <v>744</v>
      </c>
      <c r="AH20" s="103">
        <v>2330</v>
      </c>
      <c r="AI20" s="105">
        <f t="shared" si="0"/>
        <v>0.43133050000000001</v>
      </c>
      <c r="AJ20" s="103">
        <f t="shared" si="1"/>
        <v>1005</v>
      </c>
      <c r="AK20" s="103">
        <f>4079-AG20</f>
        <v>3335</v>
      </c>
    </row>
    <row r="21" spans="1:37" x14ac:dyDescent="0.25">
      <c r="A21" s="99" t="s">
        <v>145</v>
      </c>
      <c r="B21" s="100">
        <f t="shared" si="2"/>
        <v>214</v>
      </c>
      <c r="C21" s="101">
        <v>1.85</v>
      </c>
      <c r="D21" s="100">
        <f t="shared" si="3"/>
        <v>396</v>
      </c>
      <c r="E21" s="100">
        <v>18</v>
      </c>
      <c r="F21" s="100">
        <f t="shared" si="4"/>
        <v>628</v>
      </c>
      <c r="G21" s="100">
        <v>1928</v>
      </c>
      <c r="H21" s="102">
        <v>0.52800829999999999</v>
      </c>
      <c r="I21" s="100">
        <f t="shared" si="5"/>
        <v>1018</v>
      </c>
      <c r="J21" s="100">
        <f t="shared" si="6"/>
        <v>2946</v>
      </c>
      <c r="K21" s="100">
        <f t="shared" si="7"/>
        <v>214</v>
      </c>
      <c r="L21" s="101">
        <v>1.85</v>
      </c>
      <c r="M21" s="100">
        <f t="shared" si="8"/>
        <v>396</v>
      </c>
      <c r="N21" s="100">
        <v>18</v>
      </c>
      <c r="O21" s="100">
        <f t="shared" si="9"/>
        <v>628</v>
      </c>
      <c r="P21" s="103">
        <v>1928</v>
      </c>
      <c r="Q21" s="105">
        <f t="shared" si="10"/>
        <v>0.94709540000000003</v>
      </c>
      <c r="R21" s="103">
        <f t="shared" si="11"/>
        <v>1826</v>
      </c>
      <c r="S21" s="103">
        <f>4382-O21</f>
        <v>3754</v>
      </c>
      <c r="T21" s="103">
        <f t="shared" si="12"/>
        <v>254</v>
      </c>
      <c r="U21" s="104">
        <v>1.85</v>
      </c>
      <c r="V21" s="103">
        <f t="shared" si="13"/>
        <v>469</v>
      </c>
      <c r="W21" s="103">
        <v>21</v>
      </c>
      <c r="X21" s="103">
        <f t="shared" si="14"/>
        <v>744</v>
      </c>
      <c r="Y21" s="103">
        <f t="shared" si="15"/>
        <v>2285</v>
      </c>
      <c r="Z21" s="105">
        <f t="shared" si="16"/>
        <v>0.5921225</v>
      </c>
      <c r="AA21" s="103">
        <f t="shared" si="17"/>
        <v>1353</v>
      </c>
      <c r="AB21" s="103">
        <f>4382-X21</f>
        <v>3638</v>
      </c>
      <c r="AC21" s="103">
        <f t="shared" si="18"/>
        <v>254</v>
      </c>
      <c r="AD21" s="104">
        <v>1.85</v>
      </c>
      <c r="AE21" s="103">
        <f t="shared" si="19"/>
        <v>469</v>
      </c>
      <c r="AF21" s="103">
        <v>21</v>
      </c>
      <c r="AG21" s="103">
        <f t="shared" si="20"/>
        <v>744</v>
      </c>
      <c r="AH21" s="103">
        <v>2505</v>
      </c>
      <c r="AI21" s="105">
        <f t="shared" si="0"/>
        <v>0.45229540000000001</v>
      </c>
      <c r="AJ21" s="103">
        <f t="shared" si="1"/>
        <v>1133</v>
      </c>
      <c r="AK21" s="103">
        <f>4382-AG21</f>
        <v>3638</v>
      </c>
    </row>
    <row r="22" spans="1:37" x14ac:dyDescent="0.25">
      <c r="A22" s="99" t="s">
        <v>146</v>
      </c>
      <c r="B22" s="100">
        <f t="shared" si="2"/>
        <v>214</v>
      </c>
      <c r="C22" s="101">
        <v>1.85</v>
      </c>
      <c r="D22" s="100">
        <f t="shared" si="3"/>
        <v>396</v>
      </c>
      <c r="E22" s="100">
        <v>18</v>
      </c>
      <c r="F22" s="100">
        <f t="shared" si="4"/>
        <v>628</v>
      </c>
      <c r="G22" s="100">
        <v>6333</v>
      </c>
      <c r="H22" s="102">
        <v>0.47891990000000001</v>
      </c>
      <c r="I22" s="100">
        <f t="shared" si="5"/>
        <v>3033</v>
      </c>
      <c r="J22" s="100">
        <f t="shared" si="6"/>
        <v>9366</v>
      </c>
      <c r="K22" s="100">
        <f t="shared" si="7"/>
        <v>214</v>
      </c>
      <c r="L22" s="101">
        <v>1.85</v>
      </c>
      <c r="M22" s="100">
        <f t="shared" si="8"/>
        <v>396</v>
      </c>
      <c r="N22" s="100">
        <v>18</v>
      </c>
      <c r="O22" s="100">
        <f t="shared" si="9"/>
        <v>628</v>
      </c>
      <c r="P22" s="103">
        <v>6333</v>
      </c>
      <c r="Q22" s="105">
        <f t="shared" si="10"/>
        <v>0.838781</v>
      </c>
      <c r="R22" s="103">
        <f t="shared" si="11"/>
        <v>5312</v>
      </c>
      <c r="S22" s="103">
        <f>12273-O22</f>
        <v>11645</v>
      </c>
      <c r="T22" s="103">
        <f t="shared" si="12"/>
        <v>254</v>
      </c>
      <c r="U22" s="104">
        <v>1.85</v>
      </c>
      <c r="V22" s="103">
        <f t="shared" si="13"/>
        <v>469</v>
      </c>
      <c r="W22" s="103">
        <v>21</v>
      </c>
      <c r="X22" s="103">
        <f t="shared" si="14"/>
        <v>744</v>
      </c>
      <c r="Y22" s="103">
        <f t="shared" si="15"/>
        <v>7505</v>
      </c>
      <c r="Z22" s="105">
        <f t="shared" si="16"/>
        <v>0.53617590000000004</v>
      </c>
      <c r="AA22" s="103">
        <f t="shared" si="17"/>
        <v>4024</v>
      </c>
      <c r="AB22" s="103">
        <f>12273-X22</f>
        <v>11529</v>
      </c>
      <c r="AC22" s="103">
        <f t="shared" si="18"/>
        <v>254</v>
      </c>
      <c r="AD22" s="104">
        <v>1.85</v>
      </c>
      <c r="AE22" s="103">
        <f t="shared" si="19"/>
        <v>469</v>
      </c>
      <c r="AF22" s="103">
        <v>21</v>
      </c>
      <c r="AG22" s="103">
        <f t="shared" si="20"/>
        <v>744</v>
      </c>
      <c r="AH22" s="103">
        <v>7945</v>
      </c>
      <c r="AI22" s="105">
        <f t="shared" si="0"/>
        <v>0.45110129999999998</v>
      </c>
      <c r="AJ22" s="103">
        <f t="shared" si="1"/>
        <v>3584</v>
      </c>
      <c r="AK22" s="103">
        <f>12273-AG22</f>
        <v>11529</v>
      </c>
    </row>
    <row r="23" spans="1:37" x14ac:dyDescent="0.25">
      <c r="A23" s="99" t="s">
        <v>147</v>
      </c>
      <c r="B23" s="100">
        <f t="shared" si="2"/>
        <v>214</v>
      </c>
      <c r="C23" s="101">
        <v>1.85</v>
      </c>
      <c r="D23" s="100">
        <f t="shared" si="3"/>
        <v>396</v>
      </c>
      <c r="E23" s="100">
        <v>18</v>
      </c>
      <c r="F23" s="100">
        <f t="shared" si="4"/>
        <v>628</v>
      </c>
      <c r="G23" s="100">
        <v>6225</v>
      </c>
      <c r="H23" s="102">
        <v>0.51759040000000001</v>
      </c>
      <c r="I23" s="100">
        <f t="shared" si="5"/>
        <v>3222</v>
      </c>
      <c r="J23" s="100">
        <f t="shared" si="6"/>
        <v>9447</v>
      </c>
      <c r="K23" s="100">
        <f t="shared" si="7"/>
        <v>214</v>
      </c>
      <c r="L23" s="101">
        <v>1.85</v>
      </c>
      <c r="M23" s="100">
        <f t="shared" si="8"/>
        <v>396</v>
      </c>
      <c r="N23" s="100">
        <v>18</v>
      </c>
      <c r="O23" s="100">
        <f t="shared" si="9"/>
        <v>628</v>
      </c>
      <c r="P23" s="103">
        <v>6215</v>
      </c>
      <c r="Q23" s="105">
        <f t="shared" si="10"/>
        <v>0.88463400000000003</v>
      </c>
      <c r="R23" s="103">
        <f t="shared" si="11"/>
        <v>5498</v>
      </c>
      <c r="S23" s="103">
        <f>12341-O23</f>
        <v>11713</v>
      </c>
      <c r="T23" s="103">
        <f t="shared" si="12"/>
        <v>254</v>
      </c>
      <c r="U23" s="104">
        <v>1.85</v>
      </c>
      <c r="V23" s="103">
        <f t="shared" si="13"/>
        <v>469</v>
      </c>
      <c r="W23" s="103">
        <v>21</v>
      </c>
      <c r="X23" s="103">
        <f t="shared" si="14"/>
        <v>744</v>
      </c>
      <c r="Y23" s="103">
        <f t="shared" si="15"/>
        <v>7365</v>
      </c>
      <c r="Z23" s="105">
        <f t="shared" si="16"/>
        <v>0.57460960000000005</v>
      </c>
      <c r="AA23" s="103">
        <f t="shared" si="17"/>
        <v>4232</v>
      </c>
      <c r="AB23" s="103">
        <f>12341-X23</f>
        <v>11597</v>
      </c>
      <c r="AC23" s="103">
        <f t="shared" si="18"/>
        <v>254</v>
      </c>
      <c r="AD23" s="104">
        <v>1.85</v>
      </c>
      <c r="AE23" s="103">
        <f t="shared" si="19"/>
        <v>469</v>
      </c>
      <c r="AF23" s="103">
        <v>21</v>
      </c>
      <c r="AG23" s="103">
        <f t="shared" si="20"/>
        <v>744</v>
      </c>
      <c r="AH23" s="103">
        <v>8212</v>
      </c>
      <c r="AI23" s="105">
        <f t="shared" si="0"/>
        <v>0.4122017</v>
      </c>
      <c r="AJ23" s="103">
        <f t="shared" si="1"/>
        <v>3385</v>
      </c>
      <c r="AK23" s="103">
        <f>12341-AG23</f>
        <v>11597</v>
      </c>
    </row>
    <row r="24" spans="1:37" s="109" customFormat="1" x14ac:dyDescent="0.25">
      <c r="A24" s="106" t="s">
        <v>38</v>
      </c>
      <c r="B24" s="107">
        <f>SUM(B7:B23)</f>
        <v>3638</v>
      </c>
      <c r="C24" s="107"/>
      <c r="D24" s="107">
        <f t="shared" ref="D24:G24" si="21">SUM(D7:D23)</f>
        <v>6345</v>
      </c>
      <c r="E24" s="107">
        <f t="shared" si="21"/>
        <v>306</v>
      </c>
      <c r="F24" s="107">
        <f t="shared" si="21"/>
        <v>10289</v>
      </c>
      <c r="G24" s="107">
        <f t="shared" si="21"/>
        <v>51621</v>
      </c>
      <c r="H24" s="108">
        <f t="shared" ref="H24" si="22">ROUND(I24/G24,7)</f>
        <v>0.55817939999999999</v>
      </c>
      <c r="I24" s="107">
        <f t="shared" ref="I24:J24" si="23">SUM(I7:I23)</f>
        <v>28813.78</v>
      </c>
      <c r="J24" s="107">
        <f t="shared" si="23"/>
        <v>80434.78</v>
      </c>
      <c r="K24" s="107">
        <f>SUM(K7:K23)</f>
        <v>3638</v>
      </c>
      <c r="L24" s="107"/>
      <c r="M24" s="107">
        <f t="shared" ref="M24:P24" si="24">SUM(M7:M23)</f>
        <v>6345</v>
      </c>
      <c r="N24" s="107">
        <f t="shared" si="24"/>
        <v>306</v>
      </c>
      <c r="O24" s="107">
        <f t="shared" si="24"/>
        <v>10289</v>
      </c>
      <c r="P24" s="107">
        <f t="shared" si="24"/>
        <v>51918</v>
      </c>
      <c r="Q24" s="108">
        <f t="shared" si="10"/>
        <v>0.95750990000000002</v>
      </c>
      <c r="R24" s="107">
        <f t="shared" ref="R24:S24" si="25">SUM(R7:R23)</f>
        <v>49712</v>
      </c>
      <c r="S24" s="107">
        <f t="shared" si="25"/>
        <v>101630</v>
      </c>
      <c r="T24" s="106">
        <f>SUM(T7:T23)</f>
        <v>4318</v>
      </c>
      <c r="U24" s="106"/>
      <c r="V24" s="106">
        <f t="shared" ref="V24:Y24" si="26">SUM(V7:V23)</f>
        <v>7514</v>
      </c>
      <c r="W24" s="106">
        <f t="shared" si="26"/>
        <v>357</v>
      </c>
      <c r="X24" s="106">
        <f t="shared" si="26"/>
        <v>12189</v>
      </c>
      <c r="Y24" s="106">
        <f t="shared" si="26"/>
        <v>61524</v>
      </c>
      <c r="Z24" s="108">
        <f t="shared" si="16"/>
        <v>0.62099340000000003</v>
      </c>
      <c r="AA24" s="106">
        <f>SUM(AA7:AA23)</f>
        <v>38206</v>
      </c>
      <c r="AB24" s="106">
        <f>SUM(AB7:AB23)</f>
        <v>99730</v>
      </c>
      <c r="AC24" s="106">
        <f>SUM(AC7:AC23)</f>
        <v>4318</v>
      </c>
      <c r="AD24" s="106"/>
      <c r="AE24" s="106">
        <f>SUM(AE7:AE23)</f>
        <v>7514</v>
      </c>
      <c r="AF24" s="106">
        <f>SUM(AF7:AF23)</f>
        <v>357</v>
      </c>
      <c r="AG24" s="106">
        <f>SUM(AG7:AG23)</f>
        <v>12189</v>
      </c>
      <c r="AH24" s="106">
        <f>SUM(AH7:AH23)</f>
        <v>68545</v>
      </c>
      <c r="AI24" s="108">
        <f t="shared" si="0"/>
        <v>0.45495659999999999</v>
      </c>
      <c r="AJ24" s="106">
        <f>SUM(AJ7:AJ23)</f>
        <v>31185</v>
      </c>
      <c r="AK24" s="106">
        <f>SUM(AK7:AK23)</f>
        <v>99730</v>
      </c>
    </row>
    <row r="26" spans="1:37" x14ac:dyDescent="0.25">
      <c r="A26" s="93" t="s">
        <v>71</v>
      </c>
    </row>
  </sheetData>
  <mergeCells count="42">
    <mergeCell ref="K3:S3"/>
    <mergeCell ref="B1:S1"/>
    <mergeCell ref="K4:O4"/>
    <mergeCell ref="P4:S4"/>
    <mergeCell ref="K5:K6"/>
    <mergeCell ref="L5:M5"/>
    <mergeCell ref="N5:N6"/>
    <mergeCell ref="O5:O6"/>
    <mergeCell ref="P5:P6"/>
    <mergeCell ref="Q5:R5"/>
    <mergeCell ref="S5:S6"/>
    <mergeCell ref="F5:F6"/>
    <mergeCell ref="G5:G6"/>
    <mergeCell ref="H5:I5"/>
    <mergeCell ref="J5:J6"/>
    <mergeCell ref="B5:B6"/>
    <mergeCell ref="AI5:AJ5"/>
    <mergeCell ref="AK5:AK6"/>
    <mergeCell ref="Z5:AA5"/>
    <mergeCell ref="AB5:AB6"/>
    <mergeCell ref="AC5:AC6"/>
    <mergeCell ref="U5:V5"/>
    <mergeCell ref="W5:W6"/>
    <mergeCell ref="X5:X6"/>
    <mergeCell ref="Y5:Y6"/>
    <mergeCell ref="AH5:AH6"/>
    <mergeCell ref="AC4:AG4"/>
    <mergeCell ref="AH4:AK4"/>
    <mergeCell ref="T4:X4"/>
    <mergeCell ref="Y4:AB4"/>
    <mergeCell ref="A3:A6"/>
    <mergeCell ref="B3:J3"/>
    <mergeCell ref="T3:AB3"/>
    <mergeCell ref="AC3:AK3"/>
    <mergeCell ref="B4:F4"/>
    <mergeCell ref="G4:J4"/>
    <mergeCell ref="C5:D5"/>
    <mergeCell ref="E5:E6"/>
    <mergeCell ref="AD5:AE5"/>
    <mergeCell ref="AF5:AF6"/>
    <mergeCell ref="AG5:AG6"/>
    <mergeCell ref="T5:T6"/>
  </mergeCells>
  <pageMargins left="0.39370078740157483" right="0.39370078740157483" top="0.74803149606299213" bottom="0.74803149606299213" header="0.31496062992125984" footer="0.31496062992125984"/>
  <pageSetup paperSize="9" scale="90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"/>
  <sheetViews>
    <sheetView showZeros="0" topLeftCell="A7" zoomScale="80" zoomScaleNormal="80" workbookViewId="0">
      <selection activeCell="H5" sqref="H5:H6"/>
    </sheetView>
  </sheetViews>
  <sheetFormatPr defaultColWidth="7.25" defaultRowHeight="12.75" outlineLevelRow="1" outlineLevelCol="2" x14ac:dyDescent="0.2"/>
  <cols>
    <col min="1" max="1" width="3" style="110" customWidth="1"/>
    <col min="2" max="2" width="29.25" style="110" customWidth="1"/>
    <col min="3" max="3" width="6.75" style="110" customWidth="1" outlineLevel="1"/>
    <col min="4" max="4" width="7.75" style="110" hidden="1" customWidth="1" outlineLevel="2"/>
    <col min="5" max="5" width="7.75" style="110" customWidth="1" outlineLevel="1" collapsed="1"/>
    <col min="6" max="6" width="6.25" style="110" customWidth="1" outlineLevel="1"/>
    <col min="7" max="7" width="7.25" style="110" customWidth="1" outlineLevel="1"/>
    <col min="8" max="8" width="6.5" style="110" customWidth="1"/>
    <col min="9" max="9" width="7.625" style="110" customWidth="1"/>
    <col min="10" max="10" width="6.75" style="110" customWidth="1"/>
    <col min="11" max="11" width="7" style="110" customWidth="1"/>
    <col min="12" max="16384" width="7.25" style="110"/>
  </cols>
  <sheetData>
    <row r="1" spans="1:11" ht="64.150000000000006" customHeight="1" x14ac:dyDescent="0.2">
      <c r="A1" s="190" t="s">
        <v>178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1" ht="13.5" customHeight="1" x14ac:dyDescent="0.2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1" ht="10.15" customHeight="1" x14ac:dyDescent="0.2">
      <c r="K3" s="110" t="s">
        <v>0</v>
      </c>
    </row>
    <row r="4" spans="1:11" ht="69.599999999999994" customHeight="1" x14ac:dyDescent="0.2">
      <c r="A4" s="191"/>
      <c r="B4" s="191"/>
      <c r="C4" s="192" t="s">
        <v>182</v>
      </c>
      <c r="D4" s="193"/>
      <c r="E4" s="193"/>
      <c r="F4" s="193"/>
      <c r="G4" s="194"/>
      <c r="H4" s="192" t="s">
        <v>157</v>
      </c>
      <c r="I4" s="193"/>
      <c r="J4" s="193"/>
      <c r="K4" s="194"/>
    </row>
    <row r="5" spans="1:11" ht="13.15" customHeight="1" x14ac:dyDescent="0.2">
      <c r="A5" s="191"/>
      <c r="B5" s="191"/>
      <c r="C5" s="195" t="s">
        <v>158</v>
      </c>
      <c r="D5" s="186" t="s">
        <v>177</v>
      </c>
      <c r="E5" s="187"/>
      <c r="F5" s="183" t="s">
        <v>159</v>
      </c>
      <c r="G5" s="184" t="s">
        <v>84</v>
      </c>
      <c r="H5" s="195" t="s">
        <v>158</v>
      </c>
      <c r="I5" s="181" t="s">
        <v>160</v>
      </c>
      <c r="J5" s="183" t="s">
        <v>159</v>
      </c>
      <c r="K5" s="184" t="s">
        <v>84</v>
      </c>
    </row>
    <row r="6" spans="1:11" ht="24" customHeight="1" x14ac:dyDescent="0.2">
      <c r="A6" s="191"/>
      <c r="B6" s="191"/>
      <c r="C6" s="195"/>
      <c r="D6" s="188"/>
      <c r="E6" s="189"/>
      <c r="F6" s="183"/>
      <c r="G6" s="185"/>
      <c r="H6" s="195"/>
      <c r="I6" s="182"/>
      <c r="J6" s="183"/>
      <c r="K6" s="185"/>
    </row>
    <row r="7" spans="1:11" x14ac:dyDescent="0.2">
      <c r="A7" s="112">
        <v>1</v>
      </c>
      <c r="B7" s="113" t="s">
        <v>161</v>
      </c>
      <c r="C7" s="114">
        <f t="shared" ref="C7:C23" si="0">D7+E7</f>
        <v>768</v>
      </c>
      <c r="D7" s="114"/>
      <c r="E7" s="115">
        <v>768</v>
      </c>
      <c r="F7" s="116">
        <f>ROUND(C7*30.2%,0)</f>
        <v>232</v>
      </c>
      <c r="G7" s="116">
        <f t="shared" ref="G7:G23" si="1">C7+F7</f>
        <v>1000</v>
      </c>
      <c r="H7" s="114">
        <f t="shared" ref="H7:H23" si="2">I7</f>
        <v>1266</v>
      </c>
      <c r="I7" s="114">
        <v>1266</v>
      </c>
      <c r="J7" s="116">
        <f>ROUND(H7*30.2%,0)</f>
        <v>382</v>
      </c>
      <c r="K7" s="116">
        <f t="shared" ref="K7:K23" si="3">H7+J7</f>
        <v>1648</v>
      </c>
    </row>
    <row r="8" spans="1:11" x14ac:dyDescent="0.2">
      <c r="A8" s="112">
        <v>2</v>
      </c>
      <c r="B8" s="113" t="s">
        <v>162</v>
      </c>
      <c r="C8" s="114">
        <f t="shared" si="0"/>
        <v>1911</v>
      </c>
      <c r="D8" s="114"/>
      <c r="E8" s="115">
        <v>1911</v>
      </c>
      <c r="F8" s="116">
        <f>ROUND(C8*30.2%,0)</f>
        <v>577</v>
      </c>
      <c r="G8" s="116">
        <f t="shared" si="1"/>
        <v>2488</v>
      </c>
      <c r="H8" s="114">
        <f t="shared" si="2"/>
        <v>3114</v>
      </c>
      <c r="I8" s="114">
        <v>3114</v>
      </c>
      <c r="J8" s="116">
        <f t="shared" ref="J8:J22" si="4">ROUND(H8*30.2%,0)</f>
        <v>940</v>
      </c>
      <c r="K8" s="116">
        <f t="shared" si="3"/>
        <v>4054</v>
      </c>
    </row>
    <row r="9" spans="1:11" x14ac:dyDescent="0.2">
      <c r="A9" s="112">
        <v>3</v>
      </c>
      <c r="B9" s="113" t="s">
        <v>163</v>
      </c>
      <c r="C9" s="114">
        <f>D9+E9</f>
        <v>1602</v>
      </c>
      <c r="D9" s="115"/>
      <c r="E9" s="115">
        <v>1602</v>
      </c>
      <c r="F9" s="116">
        <f t="shared" ref="F9:F23" si="5">ROUND(C9*30.2%,0)</f>
        <v>484</v>
      </c>
      <c r="G9" s="116">
        <f>C9+F9</f>
        <v>2086</v>
      </c>
      <c r="H9" s="114">
        <f>I9</f>
        <v>1923</v>
      </c>
      <c r="I9" s="115">
        <v>1923</v>
      </c>
      <c r="J9" s="116">
        <f t="shared" si="4"/>
        <v>581</v>
      </c>
      <c r="K9" s="116">
        <f>H9+J9</f>
        <v>2504</v>
      </c>
    </row>
    <row r="10" spans="1:11" x14ac:dyDescent="0.2">
      <c r="A10" s="112">
        <v>4</v>
      </c>
      <c r="B10" s="113" t="s">
        <v>164</v>
      </c>
      <c r="C10" s="114">
        <f t="shared" si="0"/>
        <v>2236</v>
      </c>
      <c r="D10" s="114"/>
      <c r="E10" s="115">
        <v>2236</v>
      </c>
      <c r="F10" s="116">
        <f t="shared" si="5"/>
        <v>675</v>
      </c>
      <c r="G10" s="116">
        <f t="shared" si="1"/>
        <v>2911</v>
      </c>
      <c r="H10" s="114">
        <f t="shared" si="2"/>
        <v>3385</v>
      </c>
      <c r="I10" s="114">
        <v>3385</v>
      </c>
      <c r="J10" s="116">
        <f t="shared" si="4"/>
        <v>1022</v>
      </c>
      <c r="K10" s="116">
        <f t="shared" si="3"/>
        <v>4407</v>
      </c>
    </row>
    <row r="11" spans="1:11" x14ac:dyDescent="0.2">
      <c r="A11" s="112">
        <v>5</v>
      </c>
      <c r="B11" s="113" t="s">
        <v>165</v>
      </c>
      <c r="C11" s="114">
        <f t="shared" si="0"/>
        <v>1581</v>
      </c>
      <c r="D11" s="114"/>
      <c r="E11" s="115">
        <v>1581</v>
      </c>
      <c r="F11" s="116">
        <f t="shared" si="5"/>
        <v>477</v>
      </c>
      <c r="G11" s="116">
        <f t="shared" si="1"/>
        <v>2058</v>
      </c>
      <c r="H11" s="114">
        <f t="shared" si="2"/>
        <v>2274</v>
      </c>
      <c r="I11" s="114">
        <v>2274</v>
      </c>
      <c r="J11" s="116">
        <f t="shared" si="4"/>
        <v>687</v>
      </c>
      <c r="K11" s="116">
        <f t="shared" si="3"/>
        <v>2961</v>
      </c>
    </row>
    <row r="12" spans="1:11" x14ac:dyDescent="0.2">
      <c r="A12" s="112">
        <v>6</v>
      </c>
      <c r="B12" s="113" t="s">
        <v>166</v>
      </c>
      <c r="C12" s="114">
        <f t="shared" si="0"/>
        <v>625</v>
      </c>
      <c r="D12" s="114"/>
      <c r="E12" s="115">
        <v>625</v>
      </c>
      <c r="F12" s="116">
        <f t="shared" si="5"/>
        <v>189</v>
      </c>
      <c r="G12" s="116">
        <f t="shared" si="1"/>
        <v>814</v>
      </c>
      <c r="H12" s="114">
        <f t="shared" si="2"/>
        <v>832</v>
      </c>
      <c r="I12" s="114">
        <v>832</v>
      </c>
      <c r="J12" s="116">
        <f t="shared" si="4"/>
        <v>251</v>
      </c>
      <c r="K12" s="116">
        <f t="shared" si="3"/>
        <v>1083</v>
      </c>
    </row>
    <row r="13" spans="1:11" x14ac:dyDescent="0.2">
      <c r="A13" s="112">
        <v>7</v>
      </c>
      <c r="B13" s="113" t="s">
        <v>167</v>
      </c>
      <c r="C13" s="114">
        <f t="shared" si="0"/>
        <v>873</v>
      </c>
      <c r="D13" s="114"/>
      <c r="E13" s="115">
        <v>873</v>
      </c>
      <c r="F13" s="116">
        <f t="shared" si="5"/>
        <v>264</v>
      </c>
      <c r="G13" s="116">
        <f t="shared" si="1"/>
        <v>1137</v>
      </c>
      <c r="H13" s="114">
        <f t="shared" si="2"/>
        <v>909</v>
      </c>
      <c r="I13" s="114">
        <v>909</v>
      </c>
      <c r="J13" s="116">
        <f t="shared" si="4"/>
        <v>275</v>
      </c>
      <c r="K13" s="116">
        <f t="shared" si="3"/>
        <v>1184</v>
      </c>
    </row>
    <row r="14" spans="1:11" x14ac:dyDescent="0.2">
      <c r="A14" s="112">
        <v>8</v>
      </c>
      <c r="B14" s="113" t="s">
        <v>138</v>
      </c>
      <c r="C14" s="114">
        <f t="shared" si="0"/>
        <v>1278</v>
      </c>
      <c r="D14" s="114"/>
      <c r="E14" s="115">
        <v>1278</v>
      </c>
      <c r="F14" s="116">
        <f t="shared" si="5"/>
        <v>386</v>
      </c>
      <c r="G14" s="116">
        <f t="shared" si="1"/>
        <v>1664</v>
      </c>
      <c r="H14" s="114">
        <f t="shared" si="2"/>
        <v>1949</v>
      </c>
      <c r="I14" s="114">
        <v>1949</v>
      </c>
      <c r="J14" s="116">
        <f t="shared" si="4"/>
        <v>589</v>
      </c>
      <c r="K14" s="116">
        <f t="shared" si="3"/>
        <v>2538</v>
      </c>
    </row>
    <row r="15" spans="1:11" x14ac:dyDescent="0.2">
      <c r="A15" s="112">
        <v>9</v>
      </c>
      <c r="B15" s="113" t="s">
        <v>139</v>
      </c>
      <c r="C15" s="114">
        <f t="shared" si="0"/>
        <v>1009</v>
      </c>
      <c r="D15" s="114"/>
      <c r="E15" s="115">
        <v>1009</v>
      </c>
      <c r="F15" s="116">
        <f>ROUND(C15*30.2%,0)</f>
        <v>305</v>
      </c>
      <c r="G15" s="116">
        <f t="shared" si="1"/>
        <v>1314</v>
      </c>
      <c r="H15" s="114">
        <f t="shared" si="2"/>
        <v>1097</v>
      </c>
      <c r="I15" s="114">
        <v>1097</v>
      </c>
      <c r="J15" s="116">
        <f t="shared" si="4"/>
        <v>331</v>
      </c>
      <c r="K15" s="116">
        <f t="shared" si="3"/>
        <v>1428</v>
      </c>
    </row>
    <row r="16" spans="1:11" x14ac:dyDescent="0.2">
      <c r="A16" s="112">
        <v>10</v>
      </c>
      <c r="B16" s="113" t="s">
        <v>140</v>
      </c>
      <c r="C16" s="114">
        <f t="shared" si="0"/>
        <v>1093</v>
      </c>
      <c r="D16" s="114"/>
      <c r="E16" s="115">
        <v>1093</v>
      </c>
      <c r="F16" s="116">
        <f t="shared" si="5"/>
        <v>330</v>
      </c>
      <c r="G16" s="116">
        <f t="shared" si="1"/>
        <v>1423</v>
      </c>
      <c r="H16" s="114">
        <f t="shared" si="2"/>
        <v>1709</v>
      </c>
      <c r="I16" s="114">
        <v>1709</v>
      </c>
      <c r="J16" s="116">
        <f t="shared" si="4"/>
        <v>516</v>
      </c>
      <c r="K16" s="116">
        <f t="shared" si="3"/>
        <v>2225</v>
      </c>
    </row>
    <row r="17" spans="1:11" x14ac:dyDescent="0.2">
      <c r="A17" s="112">
        <v>11</v>
      </c>
      <c r="B17" s="113" t="s">
        <v>168</v>
      </c>
      <c r="C17" s="114">
        <f t="shared" si="0"/>
        <v>381</v>
      </c>
      <c r="D17" s="114"/>
      <c r="E17" s="115">
        <v>381</v>
      </c>
      <c r="F17" s="116">
        <f t="shared" si="5"/>
        <v>115</v>
      </c>
      <c r="G17" s="116">
        <f t="shared" si="1"/>
        <v>496</v>
      </c>
      <c r="H17" s="114">
        <f t="shared" si="2"/>
        <v>224</v>
      </c>
      <c r="I17" s="114">
        <v>224</v>
      </c>
      <c r="J17" s="116">
        <f>ROUND(H17*30.2%,0)</f>
        <v>68</v>
      </c>
      <c r="K17" s="116">
        <f t="shared" si="3"/>
        <v>292</v>
      </c>
    </row>
    <row r="18" spans="1:11" x14ac:dyDescent="0.2">
      <c r="A18" s="112">
        <v>12</v>
      </c>
      <c r="B18" s="113" t="s">
        <v>31</v>
      </c>
      <c r="C18" s="114">
        <f t="shared" si="0"/>
        <v>627</v>
      </c>
      <c r="D18" s="114"/>
      <c r="E18" s="115">
        <v>627</v>
      </c>
      <c r="F18" s="116">
        <f t="shared" si="5"/>
        <v>189</v>
      </c>
      <c r="G18" s="116">
        <f t="shared" si="1"/>
        <v>816</v>
      </c>
      <c r="H18" s="114">
        <f t="shared" si="2"/>
        <v>311</v>
      </c>
      <c r="I18" s="114">
        <v>311</v>
      </c>
      <c r="J18" s="116">
        <f t="shared" si="4"/>
        <v>94</v>
      </c>
      <c r="K18" s="116">
        <f t="shared" si="3"/>
        <v>405</v>
      </c>
    </row>
    <row r="19" spans="1:11" x14ac:dyDescent="0.2">
      <c r="A19" s="112">
        <v>13</v>
      </c>
      <c r="B19" s="113" t="s">
        <v>143</v>
      </c>
      <c r="C19" s="114">
        <f t="shared" si="0"/>
        <v>498</v>
      </c>
      <c r="D19" s="114"/>
      <c r="E19" s="115">
        <v>498</v>
      </c>
      <c r="F19" s="116">
        <f t="shared" si="5"/>
        <v>150</v>
      </c>
      <c r="G19" s="116">
        <f t="shared" si="1"/>
        <v>648</v>
      </c>
      <c r="H19" s="114">
        <f t="shared" si="2"/>
        <v>281</v>
      </c>
      <c r="I19" s="114">
        <v>281</v>
      </c>
      <c r="J19" s="116">
        <f t="shared" si="4"/>
        <v>85</v>
      </c>
      <c r="K19" s="116">
        <f t="shared" si="3"/>
        <v>366</v>
      </c>
    </row>
    <row r="20" spans="1:11" x14ac:dyDescent="0.2">
      <c r="A20" s="112">
        <v>14</v>
      </c>
      <c r="B20" s="113" t="s">
        <v>169</v>
      </c>
      <c r="C20" s="114">
        <f t="shared" si="0"/>
        <v>747</v>
      </c>
      <c r="D20" s="114"/>
      <c r="E20" s="115">
        <v>747</v>
      </c>
      <c r="F20" s="116">
        <f t="shared" si="5"/>
        <v>226</v>
      </c>
      <c r="G20" s="116">
        <f t="shared" si="1"/>
        <v>973</v>
      </c>
      <c r="H20" s="114">
        <f t="shared" si="2"/>
        <v>523</v>
      </c>
      <c r="I20" s="114">
        <v>523</v>
      </c>
      <c r="J20" s="116">
        <f t="shared" si="4"/>
        <v>158</v>
      </c>
      <c r="K20" s="116">
        <f t="shared" si="3"/>
        <v>681</v>
      </c>
    </row>
    <row r="21" spans="1:11" x14ac:dyDescent="0.2">
      <c r="A21" s="112">
        <v>15</v>
      </c>
      <c r="B21" s="113" t="s">
        <v>170</v>
      </c>
      <c r="C21" s="114">
        <f t="shared" si="0"/>
        <v>802</v>
      </c>
      <c r="D21" s="114"/>
      <c r="E21" s="115">
        <v>802</v>
      </c>
      <c r="F21" s="116">
        <f t="shared" si="5"/>
        <v>242</v>
      </c>
      <c r="G21" s="116">
        <f t="shared" si="1"/>
        <v>1044</v>
      </c>
      <c r="H21" s="114">
        <f t="shared" si="2"/>
        <v>957</v>
      </c>
      <c r="I21" s="114">
        <v>957</v>
      </c>
      <c r="J21" s="116">
        <f>ROUND(H21*30.2%,0)</f>
        <v>289</v>
      </c>
      <c r="K21" s="116">
        <f t="shared" si="3"/>
        <v>1246</v>
      </c>
    </row>
    <row r="22" spans="1:11" x14ac:dyDescent="0.2">
      <c r="A22" s="112">
        <v>16</v>
      </c>
      <c r="B22" s="113" t="s">
        <v>146</v>
      </c>
      <c r="C22" s="114">
        <f t="shared" si="0"/>
        <v>2246</v>
      </c>
      <c r="D22" s="114"/>
      <c r="E22" s="115">
        <v>2246</v>
      </c>
      <c r="F22" s="116">
        <f t="shared" si="5"/>
        <v>678</v>
      </c>
      <c r="G22" s="116">
        <f t="shared" si="1"/>
        <v>2924</v>
      </c>
      <c r="H22" s="114">
        <f t="shared" si="2"/>
        <v>1105</v>
      </c>
      <c r="I22" s="114">
        <v>1105</v>
      </c>
      <c r="J22" s="116">
        <f t="shared" si="4"/>
        <v>334</v>
      </c>
      <c r="K22" s="116">
        <f t="shared" si="3"/>
        <v>1439</v>
      </c>
    </row>
    <row r="23" spans="1:11" x14ac:dyDescent="0.2">
      <c r="A23" s="112">
        <v>17</v>
      </c>
      <c r="B23" s="113" t="s">
        <v>147</v>
      </c>
      <c r="C23" s="114">
        <f t="shared" si="0"/>
        <v>2258</v>
      </c>
      <c r="D23" s="114"/>
      <c r="E23" s="115">
        <v>2258</v>
      </c>
      <c r="F23" s="116">
        <f t="shared" si="5"/>
        <v>682</v>
      </c>
      <c r="G23" s="116">
        <f t="shared" si="1"/>
        <v>2940</v>
      </c>
      <c r="H23" s="114">
        <f t="shared" si="2"/>
        <v>878</v>
      </c>
      <c r="I23" s="114">
        <v>878</v>
      </c>
      <c r="J23" s="116">
        <f>ROUND(H23*30.2%,0)</f>
        <v>265</v>
      </c>
      <c r="K23" s="116">
        <f t="shared" si="3"/>
        <v>1143</v>
      </c>
    </row>
    <row r="24" spans="1:11" s="120" customFormat="1" ht="13.5" x14ac:dyDescent="0.2">
      <c r="A24" s="117"/>
      <c r="B24" s="118" t="s">
        <v>171</v>
      </c>
      <c r="C24" s="119">
        <f t="shared" ref="C24:K24" si="6">SUM(C7:C23)</f>
        <v>20535</v>
      </c>
      <c r="D24" s="119">
        <f t="shared" si="6"/>
        <v>0</v>
      </c>
      <c r="E24" s="119">
        <f t="shared" si="6"/>
        <v>20535</v>
      </c>
      <c r="F24" s="119">
        <f t="shared" si="6"/>
        <v>6201</v>
      </c>
      <c r="G24" s="119">
        <f t="shared" si="6"/>
        <v>26736</v>
      </c>
      <c r="H24" s="119">
        <f t="shared" si="6"/>
        <v>22737</v>
      </c>
      <c r="I24" s="119">
        <f t="shared" si="6"/>
        <v>22737</v>
      </c>
      <c r="J24" s="119">
        <f t="shared" si="6"/>
        <v>6867</v>
      </c>
      <c r="K24" s="119">
        <f t="shared" si="6"/>
        <v>29604</v>
      </c>
    </row>
    <row r="25" spans="1:11" x14ac:dyDescent="0.2">
      <c r="A25" s="112">
        <v>18</v>
      </c>
      <c r="B25" s="113" t="s">
        <v>93</v>
      </c>
      <c r="C25" s="116"/>
      <c r="D25" s="116"/>
      <c r="E25" s="116"/>
      <c r="F25" s="116"/>
      <c r="G25" s="116"/>
      <c r="H25" s="62">
        <v>1982</v>
      </c>
      <c r="I25" s="115"/>
      <c r="J25" s="121">
        <f>ROUND(H25*30.2%,0)</f>
        <v>599</v>
      </c>
      <c r="K25" s="116">
        <f t="shared" ref="K25:K34" si="7">H25+J25</f>
        <v>2581</v>
      </c>
    </row>
    <row r="26" spans="1:11" x14ac:dyDescent="0.2">
      <c r="A26" s="112">
        <v>19</v>
      </c>
      <c r="B26" s="113" t="s">
        <v>94</v>
      </c>
      <c r="C26" s="116"/>
      <c r="D26" s="116"/>
      <c r="E26" s="116"/>
      <c r="F26" s="116"/>
      <c r="G26" s="116"/>
      <c r="H26" s="62">
        <v>517</v>
      </c>
      <c r="I26" s="115"/>
      <c r="J26" s="121">
        <f>ROUND(H26*30.2%,0)</f>
        <v>156</v>
      </c>
      <c r="K26" s="116">
        <f t="shared" si="7"/>
        <v>673</v>
      </c>
    </row>
    <row r="27" spans="1:11" x14ac:dyDescent="0.2">
      <c r="A27" s="112">
        <v>20</v>
      </c>
      <c r="B27" s="113" t="s">
        <v>95</v>
      </c>
      <c r="C27" s="116"/>
      <c r="D27" s="116"/>
      <c r="E27" s="116"/>
      <c r="F27" s="116"/>
      <c r="G27" s="116"/>
      <c r="H27" s="62">
        <v>1110</v>
      </c>
      <c r="I27" s="115"/>
      <c r="J27" s="121">
        <f>ROUND(H27*30.2%,0)</f>
        <v>335</v>
      </c>
      <c r="K27" s="116">
        <f t="shared" si="7"/>
        <v>1445</v>
      </c>
    </row>
    <row r="28" spans="1:11" x14ac:dyDescent="0.2">
      <c r="A28" s="112">
        <v>21</v>
      </c>
      <c r="B28" s="122" t="s">
        <v>172</v>
      </c>
      <c r="C28" s="116"/>
      <c r="D28" s="116"/>
      <c r="E28" s="116"/>
      <c r="F28" s="116"/>
      <c r="G28" s="116"/>
      <c r="H28" s="62">
        <v>8341</v>
      </c>
      <c r="I28" s="115"/>
      <c r="J28" s="121">
        <f>ROUND(H28*30.2%,0)</f>
        <v>2519</v>
      </c>
      <c r="K28" s="116">
        <f t="shared" si="7"/>
        <v>10860</v>
      </c>
    </row>
    <row r="29" spans="1:11" x14ac:dyDescent="0.2">
      <c r="A29" s="112">
        <v>22</v>
      </c>
      <c r="B29" s="122" t="s">
        <v>97</v>
      </c>
      <c r="C29" s="116"/>
      <c r="D29" s="116"/>
      <c r="E29" s="116"/>
      <c r="F29" s="116"/>
      <c r="G29" s="116"/>
      <c r="H29" s="123">
        <v>3892</v>
      </c>
      <c r="I29" s="115"/>
      <c r="J29" s="121">
        <f>ROUND(H29*30.2%,0)</f>
        <v>1175</v>
      </c>
      <c r="K29" s="116">
        <f t="shared" si="7"/>
        <v>5067</v>
      </c>
    </row>
    <row r="30" spans="1:11" x14ac:dyDescent="0.2">
      <c r="A30" s="112">
        <v>23</v>
      </c>
      <c r="B30" s="113" t="s">
        <v>98</v>
      </c>
      <c r="C30" s="116"/>
      <c r="D30" s="116"/>
      <c r="E30" s="116"/>
      <c r="F30" s="116"/>
      <c r="G30" s="116"/>
      <c r="H30" s="62">
        <v>4497</v>
      </c>
      <c r="I30" s="115"/>
      <c r="J30" s="121">
        <f t="shared" ref="J30:J39" si="8">ROUND(H30*30.2%,0)</f>
        <v>1358</v>
      </c>
      <c r="K30" s="116">
        <f t="shared" si="7"/>
        <v>5855</v>
      </c>
    </row>
    <row r="31" spans="1:11" x14ac:dyDescent="0.2">
      <c r="A31" s="112">
        <f>A30+1</f>
        <v>24</v>
      </c>
      <c r="B31" s="113" t="s">
        <v>173</v>
      </c>
      <c r="C31" s="116"/>
      <c r="D31" s="116"/>
      <c r="E31" s="116"/>
      <c r="F31" s="116"/>
      <c r="G31" s="116"/>
      <c r="H31" s="62">
        <v>2284</v>
      </c>
      <c r="I31" s="115"/>
      <c r="J31" s="121">
        <f t="shared" si="8"/>
        <v>690</v>
      </c>
      <c r="K31" s="116">
        <f t="shared" si="7"/>
        <v>2974</v>
      </c>
    </row>
    <row r="32" spans="1:11" x14ac:dyDescent="0.2">
      <c r="A32" s="112">
        <f>A31+1</f>
        <v>25</v>
      </c>
      <c r="B32" s="113" t="s">
        <v>100</v>
      </c>
      <c r="C32" s="116"/>
      <c r="D32" s="116"/>
      <c r="E32" s="116"/>
      <c r="F32" s="116"/>
      <c r="G32" s="116"/>
      <c r="H32" s="62">
        <v>2986</v>
      </c>
      <c r="I32" s="115"/>
      <c r="J32" s="121">
        <f t="shared" si="8"/>
        <v>902</v>
      </c>
      <c r="K32" s="116">
        <f t="shared" si="7"/>
        <v>3888</v>
      </c>
    </row>
    <row r="33" spans="1:11" x14ac:dyDescent="0.2">
      <c r="A33" s="112">
        <v>26</v>
      </c>
      <c r="B33" s="124" t="s">
        <v>101</v>
      </c>
      <c r="C33" s="116"/>
      <c r="D33" s="116"/>
      <c r="E33" s="116"/>
      <c r="F33" s="116"/>
      <c r="G33" s="116"/>
      <c r="H33" s="62">
        <v>3473</v>
      </c>
      <c r="I33" s="125"/>
      <c r="J33" s="121">
        <f t="shared" si="8"/>
        <v>1049</v>
      </c>
      <c r="K33" s="116">
        <f t="shared" si="7"/>
        <v>4522</v>
      </c>
    </row>
    <row r="34" spans="1:11" s="120" customFormat="1" x14ac:dyDescent="0.2">
      <c r="A34" s="112">
        <v>27</v>
      </c>
      <c r="B34" s="113" t="s">
        <v>102</v>
      </c>
      <c r="D34" s="116"/>
      <c r="E34" s="116"/>
      <c r="F34" s="116"/>
      <c r="G34" s="116"/>
      <c r="H34" s="62">
        <v>1683</v>
      </c>
      <c r="I34" s="115"/>
      <c r="J34" s="121">
        <f t="shared" si="8"/>
        <v>508</v>
      </c>
      <c r="K34" s="116">
        <f t="shared" si="7"/>
        <v>2191</v>
      </c>
    </row>
    <row r="35" spans="1:11" s="120" customFormat="1" outlineLevel="1" x14ac:dyDescent="0.2">
      <c r="A35" s="112">
        <v>28</v>
      </c>
      <c r="B35" s="124" t="s">
        <v>103</v>
      </c>
      <c r="C35" s="62">
        <f t="shared" ref="C35:K35" si="9">C36+C37</f>
        <v>0</v>
      </c>
      <c r="D35" s="62">
        <f t="shared" si="9"/>
        <v>0</v>
      </c>
      <c r="E35" s="62">
        <f t="shared" si="9"/>
        <v>0</v>
      </c>
      <c r="F35" s="62">
        <f t="shared" si="9"/>
        <v>0</v>
      </c>
      <c r="G35" s="62">
        <f t="shared" si="9"/>
        <v>0</v>
      </c>
      <c r="H35" s="62">
        <f t="shared" si="9"/>
        <v>7243</v>
      </c>
      <c r="I35" s="62">
        <f t="shared" si="9"/>
        <v>0</v>
      </c>
      <c r="J35" s="62">
        <f t="shared" si="9"/>
        <v>2187</v>
      </c>
      <c r="K35" s="62">
        <f t="shared" si="9"/>
        <v>9430</v>
      </c>
    </row>
    <row r="36" spans="1:11" s="130" customFormat="1" ht="13.5" outlineLevel="1" x14ac:dyDescent="0.25">
      <c r="A36" s="126"/>
      <c r="B36" s="127" t="s">
        <v>104</v>
      </c>
      <c r="C36" s="128"/>
      <c r="D36" s="128"/>
      <c r="E36" s="128"/>
      <c r="F36" s="128"/>
      <c r="G36" s="128"/>
      <c r="H36" s="129">
        <v>5016</v>
      </c>
      <c r="I36" s="125"/>
      <c r="J36" s="121">
        <f>ROUND(H36*30.2%,0)-1</f>
        <v>1514</v>
      </c>
      <c r="K36" s="128">
        <f>H36+J36</f>
        <v>6530</v>
      </c>
    </row>
    <row r="37" spans="1:11" s="130" customFormat="1" ht="13.5" outlineLevel="1" x14ac:dyDescent="0.25">
      <c r="A37" s="126"/>
      <c r="B37" s="127" t="s">
        <v>105</v>
      </c>
      <c r="C37" s="128"/>
      <c r="D37" s="128"/>
      <c r="E37" s="128"/>
      <c r="F37" s="128"/>
      <c r="G37" s="128"/>
      <c r="H37" s="129">
        <v>2227</v>
      </c>
      <c r="I37" s="125"/>
      <c r="J37" s="121">
        <f t="shared" si="8"/>
        <v>673</v>
      </c>
      <c r="K37" s="128">
        <f>H37+J37</f>
        <v>2900</v>
      </c>
    </row>
    <row r="38" spans="1:11" s="120" customFormat="1" outlineLevel="1" x14ac:dyDescent="0.2">
      <c r="A38" s="112">
        <v>29</v>
      </c>
      <c r="B38" s="131" t="s">
        <v>106</v>
      </c>
      <c r="C38" s="116"/>
      <c r="D38" s="116"/>
      <c r="E38" s="116"/>
      <c r="F38" s="116"/>
      <c r="G38" s="116"/>
      <c r="H38" s="62">
        <v>1800</v>
      </c>
      <c r="I38" s="125"/>
      <c r="J38" s="121">
        <f t="shared" si="8"/>
        <v>544</v>
      </c>
      <c r="K38" s="116">
        <f>H38+J38</f>
        <v>2344</v>
      </c>
    </row>
    <row r="39" spans="1:11" s="120" customFormat="1" outlineLevel="1" x14ac:dyDescent="0.2">
      <c r="A39" s="112">
        <v>30</v>
      </c>
      <c r="B39" s="122" t="s">
        <v>174</v>
      </c>
      <c r="C39" s="116"/>
      <c r="D39" s="116"/>
      <c r="E39" s="116"/>
      <c r="F39" s="116"/>
      <c r="G39" s="116"/>
      <c r="H39" s="62">
        <v>1907</v>
      </c>
      <c r="I39" s="125"/>
      <c r="J39" s="121">
        <f t="shared" si="8"/>
        <v>576</v>
      </c>
      <c r="K39" s="116">
        <f>H39+J39</f>
        <v>2483</v>
      </c>
    </row>
    <row r="40" spans="1:11" s="120" customFormat="1" outlineLevel="1" x14ac:dyDescent="0.2">
      <c r="A40" s="132"/>
      <c r="B40" s="133" t="s">
        <v>175</v>
      </c>
      <c r="C40" s="134">
        <f t="shared" ref="C40:K40" si="10">SUM(C25:C35,C38:C39)</f>
        <v>0</v>
      </c>
      <c r="D40" s="134">
        <f t="shared" si="10"/>
        <v>0</v>
      </c>
      <c r="E40" s="134">
        <f t="shared" si="10"/>
        <v>0</v>
      </c>
      <c r="F40" s="134">
        <f t="shared" si="10"/>
        <v>0</v>
      </c>
      <c r="G40" s="134">
        <f t="shared" si="10"/>
        <v>0</v>
      </c>
      <c r="H40" s="134">
        <f t="shared" si="10"/>
        <v>41715</v>
      </c>
      <c r="I40" s="134">
        <f t="shared" si="10"/>
        <v>0</v>
      </c>
      <c r="J40" s="134">
        <f t="shared" si="10"/>
        <v>12598</v>
      </c>
      <c r="K40" s="134">
        <f t="shared" si="10"/>
        <v>54313</v>
      </c>
    </row>
    <row r="41" spans="1:11" s="120" customFormat="1" ht="13.5" outlineLevel="1" x14ac:dyDescent="0.2">
      <c r="A41" s="117"/>
      <c r="B41" s="135" t="s">
        <v>176</v>
      </c>
      <c r="C41" s="134">
        <f>C24+C40</f>
        <v>20535</v>
      </c>
      <c r="D41" s="134">
        <f t="shared" ref="D41:K41" si="11">D24+D40</f>
        <v>0</v>
      </c>
      <c r="E41" s="134">
        <f t="shared" si="11"/>
        <v>20535</v>
      </c>
      <c r="F41" s="134">
        <f t="shared" si="11"/>
        <v>6201</v>
      </c>
      <c r="G41" s="134">
        <f t="shared" si="11"/>
        <v>26736</v>
      </c>
      <c r="H41" s="134">
        <f t="shared" si="11"/>
        <v>64452</v>
      </c>
      <c r="I41" s="134">
        <f t="shared" si="11"/>
        <v>22737</v>
      </c>
      <c r="J41" s="134">
        <f t="shared" si="11"/>
        <v>19465</v>
      </c>
      <c r="K41" s="134">
        <f t="shared" si="11"/>
        <v>83917</v>
      </c>
    </row>
    <row r="42" spans="1:11" ht="3" hidden="1" customHeight="1" x14ac:dyDescent="0.2">
      <c r="C42" s="136"/>
      <c r="D42" s="136"/>
      <c r="E42" s="136"/>
      <c r="F42" s="136"/>
      <c r="G42" s="136"/>
      <c r="H42" s="136"/>
      <c r="I42" s="136"/>
      <c r="J42" s="136"/>
    </row>
    <row r="43" spans="1:11" ht="15.6" customHeight="1" x14ac:dyDescent="0.2">
      <c r="A43" s="137"/>
      <c r="G43" s="136"/>
      <c r="H43" s="136"/>
      <c r="I43" s="136"/>
      <c r="J43" s="136"/>
      <c r="K43" s="136"/>
    </row>
    <row r="44" spans="1:11" ht="13.9" customHeight="1" x14ac:dyDescent="0.2">
      <c r="A44" s="137"/>
      <c r="G44" s="136"/>
      <c r="H44" s="136"/>
      <c r="I44" s="136"/>
      <c r="J44" s="136"/>
      <c r="K44" s="136"/>
    </row>
    <row r="45" spans="1:11" ht="17.45" customHeight="1" x14ac:dyDescent="0.2">
      <c r="B45" s="110" t="s">
        <v>71</v>
      </c>
    </row>
    <row r="46" spans="1:11" ht="10.5" customHeight="1" x14ac:dyDescent="0.2"/>
    <row r="47" spans="1:11" ht="10.5" customHeight="1" x14ac:dyDescent="0.2"/>
  </sheetData>
  <mergeCells count="13">
    <mergeCell ref="I5:I6"/>
    <mergeCell ref="J5:J6"/>
    <mergeCell ref="K5:K6"/>
    <mergeCell ref="D5:E6"/>
    <mergeCell ref="A1:K1"/>
    <mergeCell ref="A4:A6"/>
    <mergeCell ref="B4:B6"/>
    <mergeCell ref="C4:G4"/>
    <mergeCell ref="H4:K4"/>
    <mergeCell ref="C5:C6"/>
    <mergeCell ref="F5:F6"/>
    <mergeCell ref="G5:G6"/>
    <mergeCell ref="H5:H6"/>
  </mergeCells>
  <printOptions horizontalCentered="1"/>
  <pageMargins left="0" right="0" top="0" bottom="0" header="0.51181102362204722" footer="0.51181102362204722"/>
  <pageSetup paperSize="9" fitToHeight="0" orientation="portrait" verticalDpi="0" r:id="rId1"/>
  <headerFooter alignWithMargins="0"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анализ ФОТ культ</vt:lpstr>
      <vt:lpstr>анализ ФОТ педаг</vt:lpstr>
      <vt:lpstr>анализ прочие</vt:lpstr>
      <vt:lpstr>доп.средства</vt:lpstr>
      <vt:lpstr>'анализ прочие'!Заголовки_для_печати</vt:lpstr>
      <vt:lpstr>'анализ ФОТ культ'!Заголовки_для_печати</vt:lpstr>
      <vt:lpstr>доп.средства!Заголовки_для_печати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Ольга Ивановна</dc:creator>
  <cp:lastModifiedBy>Тришина Ольга Викторовна</cp:lastModifiedBy>
  <cp:lastPrinted>2023-11-23T05:21:58Z</cp:lastPrinted>
  <dcterms:created xsi:type="dcterms:W3CDTF">2023-11-20T04:58:12Z</dcterms:created>
  <dcterms:modified xsi:type="dcterms:W3CDTF">2023-12-26T08:26:48Z</dcterms:modified>
</cp:coreProperties>
</file>