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4A05A17-6103-422E-AB64-F377F00A118B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анализ ФОТ культ" sheetId="2" r:id="rId1"/>
    <sheet name="анализ ФОТ педаг" sheetId="3" r:id="rId2"/>
    <sheet name="доп.ассигн" sheetId="5" r:id="rId3"/>
  </sheets>
  <externalReferences>
    <externalReference r:id="rId4"/>
  </externalReferences>
  <definedNames>
    <definedName name="год" localSheetId="1">#REF!+#REF!+#REF!+#REF!</definedName>
    <definedName name="год" localSheetId="2">#REF!+#REF!+#REF!+#REF!</definedName>
    <definedName name="год">#REF!+#REF!+#REF!+#REF!</definedName>
    <definedName name="_xlnm.Print_Titles" localSheetId="0">'анализ ФОТ культ'!$A:$A,'анализ ФОТ культ'!$3:$3</definedName>
    <definedName name="_xlnm.Print_Titles" localSheetId="2">доп.ассигн!$A:$B,доп.ассигн!$4:$6</definedName>
    <definedName name="ИТОГО" localSheetId="1">#REF!+#REF!+#REF!</definedName>
    <definedName name="ИТОГО" localSheetId="2">#REF!+#REF!+#REF!</definedName>
    <definedName name="ИТОГО">#REF!+#REF!+#REF!</definedName>
    <definedName name="Канц" localSheetId="1">#REF!+#REF!+#REF!+#REF!+#REF!</definedName>
    <definedName name="Канц" localSheetId="2">#REF!+#REF!+#REF!+#REF!+#REF!</definedName>
    <definedName name="Канц">#REF!+#REF!+#REF!+#REF!+#REF!</definedName>
    <definedName name="квартал" localSheetId="1">SUM(#REF!)</definedName>
    <definedName name="квартал" localSheetId="2">SUM(#REF!)</definedName>
    <definedName name="квартал">SUM(#REF!)</definedName>
    <definedName name="мц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отклонения" localSheetId="1">#REF!-#REF!</definedName>
    <definedName name="отклонения" localSheetId="2">#REF!-#REF!</definedName>
    <definedName name="отклонения">#REF!-#REF!</definedName>
    <definedName name="пит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Расх" localSheetId="1">SUM(#REF!)</definedName>
    <definedName name="Расх" localSheetId="2">SUM(#REF!)</definedName>
    <definedName name="Расх">SUM(#REF!)</definedName>
    <definedName name="Свод" localSheetId="1">#REF!+#REF!+#REF!</definedName>
    <definedName name="Свод" localSheetId="2">#REF!+#REF!+#REF!</definedName>
    <definedName name="Свод">#REF!+#REF!+#REF!</definedName>
    <definedName name="фин" localSheetId="1">SUM(#REF!)</definedName>
    <definedName name="фин" localSheetId="2">SUM(#REF!)</definedName>
    <definedName name="фин">SUM(#REF!)</definedName>
    <definedName name="школы" localSheetId="1">#REF!+#REF!+#REF!+#REF!+#REF!</definedName>
    <definedName name="школы" localSheetId="2">#REF!+#REF!+#REF!+#REF!+#REF!</definedName>
    <definedName name="школы">#REF!+#REF!+#REF!+#REF!+#REF!</definedName>
  </definedNames>
  <calcPr calcId="181029"/>
</workbook>
</file>

<file path=xl/calcChain.xml><?xml version="1.0" encoding="utf-8"?>
<calcChain xmlns="http://schemas.openxmlformats.org/spreadsheetml/2006/main">
  <c r="J28" i="5" l="1"/>
  <c r="H35" i="5"/>
  <c r="Y9" i="3" l="1"/>
  <c r="Y10" i="3"/>
  <c r="Y14" i="3"/>
  <c r="Y18" i="3"/>
  <c r="Y24" i="3"/>
  <c r="V8" i="3"/>
  <c r="W8" i="3"/>
  <c r="V9" i="3"/>
  <c r="W9" i="3"/>
  <c r="V10" i="3"/>
  <c r="W10" i="3"/>
  <c r="V11" i="3"/>
  <c r="X11" i="3" s="1"/>
  <c r="Y11" i="3" s="1"/>
  <c r="W11" i="3"/>
  <c r="V12" i="3"/>
  <c r="W12" i="3"/>
  <c r="X12" i="3" s="1"/>
  <c r="Y12" i="3" s="1"/>
  <c r="V13" i="3"/>
  <c r="W13" i="3"/>
  <c r="V14" i="3"/>
  <c r="W14" i="3"/>
  <c r="V15" i="3"/>
  <c r="X15" i="3" s="1"/>
  <c r="Y15" i="3" s="1"/>
  <c r="W15" i="3"/>
  <c r="V16" i="3"/>
  <c r="W16" i="3"/>
  <c r="X16" i="3" s="1"/>
  <c r="Y16" i="3" s="1"/>
  <c r="V17" i="3"/>
  <c r="W17" i="3"/>
  <c r="V18" i="3"/>
  <c r="W18" i="3"/>
  <c r="V19" i="3"/>
  <c r="W19" i="3"/>
  <c r="X19" i="3" s="1"/>
  <c r="Y19" i="3" s="1"/>
  <c r="V20" i="3"/>
  <c r="W20" i="3"/>
  <c r="V21" i="3"/>
  <c r="X21" i="3" s="1"/>
  <c r="Y21" i="3" s="1"/>
  <c r="W21" i="3"/>
  <c r="V22" i="3"/>
  <c r="W22" i="3"/>
  <c r="V23" i="3"/>
  <c r="W23" i="3"/>
  <c r="X23" i="3" s="1"/>
  <c r="Y23" i="3" s="1"/>
  <c r="V24" i="3"/>
  <c r="W24" i="3"/>
  <c r="V25" i="3"/>
  <c r="X25" i="3" s="1"/>
  <c r="Y25" i="3" s="1"/>
  <c r="W25" i="3"/>
  <c r="V26" i="3"/>
  <c r="W26" i="3"/>
  <c r="X26" i="3" s="1"/>
  <c r="Y26" i="3" s="1"/>
  <c r="W7" i="3"/>
  <c r="V7" i="3"/>
  <c r="V27" i="3" s="1"/>
  <c r="X22" i="3"/>
  <c r="Y22" i="3" s="1"/>
  <c r="X20" i="3"/>
  <c r="Y20" i="3" s="1"/>
  <c r="X17" i="3"/>
  <c r="Y17" i="3" s="1"/>
  <c r="X14" i="3"/>
  <c r="X13" i="3"/>
  <c r="Y13" i="3" s="1"/>
  <c r="X10" i="3"/>
  <c r="X8" i="3"/>
  <c r="Y8" i="3" s="1"/>
  <c r="O9" i="3"/>
  <c r="O18" i="3"/>
  <c r="O24" i="3"/>
  <c r="L8" i="3"/>
  <c r="M8" i="3"/>
  <c r="L9" i="3"/>
  <c r="M9" i="3"/>
  <c r="L10" i="3"/>
  <c r="M10" i="3"/>
  <c r="L11" i="3"/>
  <c r="N11" i="3" s="1"/>
  <c r="O11" i="3" s="1"/>
  <c r="M11" i="3"/>
  <c r="L12" i="3"/>
  <c r="M12" i="3"/>
  <c r="N12" i="3" s="1"/>
  <c r="O12" i="3" s="1"/>
  <c r="L13" i="3"/>
  <c r="M13" i="3"/>
  <c r="L14" i="3"/>
  <c r="M14" i="3"/>
  <c r="L15" i="3"/>
  <c r="N15" i="3" s="1"/>
  <c r="O15" i="3" s="1"/>
  <c r="M15" i="3"/>
  <c r="L16" i="3"/>
  <c r="M16" i="3"/>
  <c r="N16" i="3" s="1"/>
  <c r="O16" i="3" s="1"/>
  <c r="L17" i="3"/>
  <c r="M17" i="3"/>
  <c r="L18" i="3"/>
  <c r="M18" i="3"/>
  <c r="L19" i="3"/>
  <c r="M19" i="3"/>
  <c r="N19" i="3" s="1"/>
  <c r="O19" i="3" s="1"/>
  <c r="L20" i="3"/>
  <c r="M20" i="3"/>
  <c r="L21" i="3"/>
  <c r="N21" i="3" s="1"/>
  <c r="O21" i="3" s="1"/>
  <c r="M21" i="3"/>
  <c r="L22" i="3"/>
  <c r="M22" i="3"/>
  <c r="L23" i="3"/>
  <c r="M23" i="3"/>
  <c r="N23" i="3" s="1"/>
  <c r="O23" i="3" s="1"/>
  <c r="L24" i="3"/>
  <c r="M24" i="3"/>
  <c r="L25" i="3"/>
  <c r="N25" i="3" s="1"/>
  <c r="O25" i="3" s="1"/>
  <c r="M25" i="3"/>
  <c r="L26" i="3"/>
  <c r="M26" i="3"/>
  <c r="N26" i="3" s="1"/>
  <c r="O26" i="3" s="1"/>
  <c r="M7" i="3"/>
  <c r="L7" i="3"/>
  <c r="L27" i="3" s="1"/>
  <c r="N22" i="3"/>
  <c r="O22" i="3" s="1"/>
  <c r="N20" i="3"/>
  <c r="O20" i="3" s="1"/>
  <c r="N17" i="3"/>
  <c r="O17" i="3" s="1"/>
  <c r="N14" i="3"/>
  <c r="O14" i="3" s="1"/>
  <c r="N13" i="3"/>
  <c r="O13" i="3" s="1"/>
  <c r="N10" i="3"/>
  <c r="O10" i="3" s="1"/>
  <c r="N8" i="3"/>
  <c r="O8" i="3" s="1"/>
  <c r="W27" i="3" l="1"/>
  <c r="M27" i="3"/>
  <c r="Z8" i="3"/>
  <c r="Z19" i="3"/>
  <c r="Z20" i="3"/>
  <c r="Z21" i="3"/>
  <c r="Z22" i="3"/>
  <c r="Z23" i="3"/>
  <c r="Z10" i="3"/>
  <c r="Z11" i="3"/>
  <c r="Z12" i="3"/>
  <c r="Z13" i="3"/>
  <c r="Z14" i="3"/>
  <c r="Z15" i="3"/>
  <c r="Z16" i="3"/>
  <c r="Z17" i="3"/>
  <c r="Z25" i="3"/>
  <c r="Z26" i="3"/>
  <c r="X7" i="3"/>
  <c r="Y7" i="3" s="1"/>
  <c r="P8" i="3"/>
  <c r="P19" i="3"/>
  <c r="P20" i="3"/>
  <c r="P21" i="3"/>
  <c r="P22" i="3"/>
  <c r="P23" i="3"/>
  <c r="P10" i="3"/>
  <c r="P11" i="3"/>
  <c r="P12" i="3"/>
  <c r="P13" i="3"/>
  <c r="P14" i="3"/>
  <c r="P15" i="3"/>
  <c r="P16" i="3"/>
  <c r="P17" i="3"/>
  <c r="P25" i="3"/>
  <c r="P26" i="3"/>
  <c r="N7" i="3"/>
  <c r="O7" i="3" s="1"/>
  <c r="D24" i="2"/>
  <c r="G24" i="2" s="1"/>
  <c r="F24" i="2" s="1"/>
  <c r="D23" i="2"/>
  <c r="G23" i="2" s="1"/>
  <c r="F23" i="2" s="1"/>
  <c r="D22" i="2"/>
  <c r="G22" i="2" s="1"/>
  <c r="F22" i="2" s="1"/>
  <c r="D21" i="2"/>
  <c r="G21" i="2" s="1"/>
  <c r="E20" i="2"/>
  <c r="C20" i="2"/>
  <c r="C25" i="2" s="1"/>
  <c r="B20" i="2"/>
  <c r="B25" i="2" s="1"/>
  <c r="D19" i="2"/>
  <c r="G19" i="2" s="1"/>
  <c r="F19" i="2" s="1"/>
  <c r="E18" i="2"/>
  <c r="E25" i="2" s="1"/>
  <c r="D18" i="2"/>
  <c r="G18" i="2" s="1"/>
  <c r="F18" i="2" s="1"/>
  <c r="D17" i="2"/>
  <c r="G17" i="2" s="1"/>
  <c r="F17" i="2" s="1"/>
  <c r="D16" i="2"/>
  <c r="G16" i="2" s="1"/>
  <c r="F16" i="2" s="1"/>
  <c r="D15" i="2"/>
  <c r="G15" i="2" s="1"/>
  <c r="F15" i="2" s="1"/>
  <c r="D14" i="2"/>
  <c r="G14" i="2" s="1"/>
  <c r="F14" i="2" s="1"/>
  <c r="D13" i="2"/>
  <c r="G13" i="2" s="1"/>
  <c r="F13" i="2" s="1"/>
  <c r="D12" i="2"/>
  <c r="G12" i="2" s="1"/>
  <c r="F12" i="2" s="1"/>
  <c r="D11" i="2"/>
  <c r="G11" i="2" s="1"/>
  <c r="F11" i="2" s="1"/>
  <c r="D10" i="2"/>
  <c r="AA22" i="2"/>
  <c r="AA20" i="2" s="1"/>
  <c r="AA23" i="2"/>
  <c r="AA24" i="2"/>
  <c r="AA21" i="2"/>
  <c r="AA11" i="2"/>
  <c r="AA12" i="2"/>
  <c r="AA13" i="2"/>
  <c r="AA14" i="2"/>
  <c r="AA15" i="2"/>
  <c r="AA16" i="2"/>
  <c r="AA17" i="2"/>
  <c r="AA18" i="2"/>
  <c r="AA19" i="2"/>
  <c r="AA10" i="2"/>
  <c r="W10" i="2"/>
  <c r="U24" i="2"/>
  <c r="U23" i="2"/>
  <c r="U21" i="2"/>
  <c r="U20" i="2" s="1"/>
  <c r="U11" i="2"/>
  <c r="U12" i="2"/>
  <c r="U13" i="2"/>
  <c r="U14" i="2"/>
  <c r="U15" i="2"/>
  <c r="U16" i="2"/>
  <c r="U17" i="2"/>
  <c r="U18" i="2"/>
  <c r="U19" i="2"/>
  <c r="U10" i="2"/>
  <c r="Q22" i="2"/>
  <c r="Q23" i="2"/>
  <c r="AC23" i="2" s="1"/>
  <c r="Q24" i="2"/>
  <c r="AC24" i="2" s="1"/>
  <c r="Q21" i="2"/>
  <c r="AC21" i="2" s="1"/>
  <c r="Q11" i="2"/>
  <c r="AC11" i="2" s="1"/>
  <c r="Q12" i="2"/>
  <c r="AC12" i="2" s="1"/>
  <c r="Q13" i="2"/>
  <c r="AC13" i="2" s="1"/>
  <c r="Q14" i="2"/>
  <c r="AC14" i="2" s="1"/>
  <c r="Q15" i="2"/>
  <c r="AC15" i="2" s="1"/>
  <c r="Q16" i="2"/>
  <c r="AC16" i="2" s="1"/>
  <c r="Q17" i="2"/>
  <c r="AC17" i="2" s="1"/>
  <c r="Q19" i="2"/>
  <c r="AC19" i="2" s="1"/>
  <c r="Q10" i="2"/>
  <c r="AC10" i="2" s="1"/>
  <c r="K18" i="2"/>
  <c r="Q18" i="2" s="1"/>
  <c r="AC18" i="2" l="1"/>
  <c r="W18" i="2"/>
  <c r="Y27" i="3"/>
  <c r="X27" i="3"/>
  <c r="Z7" i="3"/>
  <c r="Z27" i="3" s="1"/>
  <c r="O27" i="3"/>
  <c r="N27" i="3"/>
  <c r="P7" i="3"/>
  <c r="P27" i="3" s="1"/>
  <c r="D20" i="2"/>
  <c r="D25" i="2" s="1"/>
  <c r="E26" i="2" s="1"/>
  <c r="F21" i="2"/>
  <c r="G20" i="2"/>
  <c r="F20" i="2" s="1"/>
  <c r="G10" i="2"/>
  <c r="Q20" i="2"/>
  <c r="W19" i="2"/>
  <c r="W17" i="2"/>
  <c r="W15" i="2"/>
  <c r="W13" i="2"/>
  <c r="W11" i="2"/>
  <c r="W24" i="2"/>
  <c r="W22" i="2"/>
  <c r="AC22" i="2"/>
  <c r="W16" i="2"/>
  <c r="W14" i="2"/>
  <c r="W12" i="2"/>
  <c r="W21" i="2"/>
  <c r="W23" i="2"/>
  <c r="AC20" i="2"/>
  <c r="AC25" i="2" s="1"/>
  <c r="AA25" i="2"/>
  <c r="Y89" i="3" l="1"/>
  <c r="X89" i="3"/>
  <c r="O89" i="3"/>
  <c r="N89" i="3"/>
  <c r="F10" i="2"/>
  <c r="G25" i="2"/>
  <c r="F25" i="2" l="1"/>
  <c r="G26" i="2"/>
  <c r="P10" i="2" l="1"/>
  <c r="P11" i="2"/>
  <c r="T18" i="3" l="1"/>
  <c r="T24" i="3"/>
  <c r="Q8" i="3"/>
  <c r="R8" i="3"/>
  <c r="Q9" i="3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26" i="3"/>
  <c r="R26" i="3"/>
  <c r="R7" i="3"/>
  <c r="Q7" i="3"/>
  <c r="C27" i="3" l="1"/>
  <c r="O20" i="2" l="1"/>
  <c r="H20" i="2" l="1"/>
  <c r="T9" i="3" l="1"/>
  <c r="S10" i="3" l="1"/>
  <c r="T10" i="3" s="1"/>
  <c r="I10" i="3"/>
  <c r="D10" i="3"/>
  <c r="E10" i="3" s="1"/>
  <c r="J39" i="5"/>
  <c r="J36" i="5"/>
  <c r="J37" i="5"/>
  <c r="J38" i="5"/>
  <c r="J34" i="5"/>
  <c r="J31" i="5"/>
  <c r="J32" i="5"/>
  <c r="J33" i="5"/>
  <c r="J30" i="5"/>
  <c r="J29" i="5"/>
  <c r="J26" i="5"/>
  <c r="J27" i="5"/>
  <c r="J25" i="5"/>
  <c r="H9" i="5"/>
  <c r="J9" i="5" s="1"/>
  <c r="C9" i="5"/>
  <c r="F9" i="5" s="1"/>
  <c r="T11" i="2"/>
  <c r="Z11" i="2" s="1"/>
  <c r="AB11" i="2" s="1"/>
  <c r="AE11" i="2" s="1"/>
  <c r="AD11" i="2" s="1"/>
  <c r="T12" i="2"/>
  <c r="Z12" i="2" s="1"/>
  <c r="AB12" i="2" s="1"/>
  <c r="AE12" i="2" s="1"/>
  <c r="AD12" i="2" s="1"/>
  <c r="T13" i="2"/>
  <c r="Z13" i="2" s="1"/>
  <c r="AB13" i="2" s="1"/>
  <c r="AE13" i="2" s="1"/>
  <c r="AD13" i="2" s="1"/>
  <c r="T14" i="2"/>
  <c r="Z14" i="2" s="1"/>
  <c r="AB14" i="2" s="1"/>
  <c r="AE14" i="2" s="1"/>
  <c r="AD14" i="2" s="1"/>
  <c r="T15" i="2"/>
  <c r="Z15" i="2" s="1"/>
  <c r="AB15" i="2" s="1"/>
  <c r="AE15" i="2" s="1"/>
  <c r="AD15" i="2" s="1"/>
  <c r="T16" i="2"/>
  <c r="Z16" i="2" s="1"/>
  <c r="AB16" i="2" s="1"/>
  <c r="AE16" i="2" s="1"/>
  <c r="AD16" i="2" s="1"/>
  <c r="T17" i="2"/>
  <c r="Z17" i="2" s="1"/>
  <c r="AB17" i="2" s="1"/>
  <c r="AE17" i="2" s="1"/>
  <c r="AD17" i="2" s="1"/>
  <c r="T18" i="2"/>
  <c r="Z18" i="2" s="1"/>
  <c r="AB18" i="2" s="1"/>
  <c r="AE18" i="2" s="1"/>
  <c r="AD18" i="2" s="1"/>
  <c r="T19" i="2"/>
  <c r="Z19" i="2" s="1"/>
  <c r="AB19" i="2" s="1"/>
  <c r="AE19" i="2" s="1"/>
  <c r="AD19" i="2" s="1"/>
  <c r="T21" i="2"/>
  <c r="Z21" i="2" s="1"/>
  <c r="AB21" i="2" s="1"/>
  <c r="T22" i="2"/>
  <c r="Z22" i="2" s="1"/>
  <c r="AB22" i="2" s="1"/>
  <c r="AE22" i="2" s="1"/>
  <c r="AD22" i="2" s="1"/>
  <c r="T23" i="2"/>
  <c r="Z23" i="2" s="1"/>
  <c r="AB23" i="2" s="1"/>
  <c r="AE23" i="2" s="1"/>
  <c r="AD23" i="2" s="1"/>
  <c r="T24" i="2"/>
  <c r="Z24" i="2" s="1"/>
  <c r="AB24" i="2" s="1"/>
  <c r="AE24" i="2" s="1"/>
  <c r="AD24" i="2" s="1"/>
  <c r="T10" i="2"/>
  <c r="Z10" i="2" s="1"/>
  <c r="AB10" i="2" l="1"/>
  <c r="AB20" i="2"/>
  <c r="AE21" i="2"/>
  <c r="J40" i="5"/>
  <c r="J35" i="5"/>
  <c r="G9" i="5"/>
  <c r="K9" i="5"/>
  <c r="AD21" i="2" l="1"/>
  <c r="AE20" i="2"/>
  <c r="AD20" i="2" s="1"/>
  <c r="AB25" i="2"/>
  <c r="AC26" i="2" s="1"/>
  <c r="AE10" i="2"/>
  <c r="O25" i="2"/>
  <c r="I20" i="2"/>
  <c r="AD10" i="2" l="1"/>
  <c r="AE25" i="2"/>
  <c r="K39" i="5"/>
  <c r="K38" i="5"/>
  <c r="K36" i="5"/>
  <c r="I35" i="5"/>
  <c r="I40" i="5" s="1"/>
  <c r="H40" i="5"/>
  <c r="G35" i="5"/>
  <c r="G40" i="5" s="1"/>
  <c r="F35" i="5"/>
  <c r="F40" i="5" s="1"/>
  <c r="E35" i="5"/>
  <c r="E40" i="5" s="1"/>
  <c r="D35" i="5"/>
  <c r="D40" i="5" s="1"/>
  <c r="C35" i="5"/>
  <c r="C40" i="5" s="1"/>
  <c r="K33" i="5"/>
  <c r="K32" i="5"/>
  <c r="K31" i="5"/>
  <c r="A31" i="5"/>
  <c r="A32" i="5" s="1"/>
  <c r="K29" i="5"/>
  <c r="K27" i="5"/>
  <c r="K26" i="5"/>
  <c r="K25" i="5"/>
  <c r="I24" i="5"/>
  <c r="I41" i="5" s="1"/>
  <c r="D24" i="5"/>
  <c r="D41" i="5" s="1"/>
  <c r="H23" i="5"/>
  <c r="J23" i="5" s="1"/>
  <c r="H22" i="5"/>
  <c r="J22" i="5" s="1"/>
  <c r="H21" i="5"/>
  <c r="J21" i="5" s="1"/>
  <c r="H20" i="5"/>
  <c r="J20" i="5" s="1"/>
  <c r="H19" i="5"/>
  <c r="J19" i="5" s="1"/>
  <c r="H18" i="5"/>
  <c r="J18" i="5" s="1"/>
  <c r="H17" i="5"/>
  <c r="J17" i="5" s="1"/>
  <c r="H16" i="5"/>
  <c r="J16" i="5" s="1"/>
  <c r="H15" i="5"/>
  <c r="J15" i="5" s="1"/>
  <c r="H14" i="5"/>
  <c r="J14" i="5" s="1"/>
  <c r="H13" i="5"/>
  <c r="J13" i="5" s="1"/>
  <c r="H12" i="5"/>
  <c r="J12" i="5" s="1"/>
  <c r="H11" i="5"/>
  <c r="J11" i="5" s="1"/>
  <c r="H10" i="5"/>
  <c r="J10" i="5" s="1"/>
  <c r="H8" i="5"/>
  <c r="J8" i="5" s="1"/>
  <c r="H7" i="5"/>
  <c r="J7" i="5" s="1"/>
  <c r="I26" i="3"/>
  <c r="I25" i="3"/>
  <c r="I23" i="3"/>
  <c r="I22" i="3"/>
  <c r="I21" i="3"/>
  <c r="I20" i="3"/>
  <c r="I19" i="3"/>
  <c r="I17" i="3"/>
  <c r="J17" i="3" s="1"/>
  <c r="I16" i="3"/>
  <c r="I15" i="3"/>
  <c r="I14" i="3"/>
  <c r="J14" i="3" s="1"/>
  <c r="I13" i="3"/>
  <c r="I12" i="3"/>
  <c r="J12" i="3" s="1"/>
  <c r="I11" i="3"/>
  <c r="I8" i="3"/>
  <c r="J8" i="3" s="1"/>
  <c r="I7" i="3"/>
  <c r="G27" i="3"/>
  <c r="H27" i="3"/>
  <c r="E84" i="3"/>
  <c r="D31" i="3"/>
  <c r="R27" i="3"/>
  <c r="Q27" i="3"/>
  <c r="S26" i="3"/>
  <c r="T26" i="3" s="1"/>
  <c r="D26" i="3"/>
  <c r="E26" i="3" s="1"/>
  <c r="S25" i="3"/>
  <c r="T25" i="3" s="1"/>
  <c r="D25" i="3"/>
  <c r="E25" i="3" s="1"/>
  <c r="S23" i="3"/>
  <c r="T23" i="3" s="1"/>
  <c r="D23" i="3"/>
  <c r="E23" i="3" s="1"/>
  <c r="S22" i="3"/>
  <c r="T22" i="3" s="1"/>
  <c r="D22" i="3"/>
  <c r="E22" i="3" s="1"/>
  <c r="S21" i="3"/>
  <c r="T21" i="3" s="1"/>
  <c r="D21" i="3"/>
  <c r="E21" i="3" s="1"/>
  <c r="S20" i="3"/>
  <c r="T20" i="3" s="1"/>
  <c r="C28" i="3"/>
  <c r="S19" i="3"/>
  <c r="T19" i="3" s="1"/>
  <c r="D19" i="3"/>
  <c r="E19" i="3" s="1"/>
  <c r="S17" i="3"/>
  <c r="T17" i="3" s="1"/>
  <c r="D17" i="3"/>
  <c r="E17" i="3" s="1"/>
  <c r="S16" i="3"/>
  <c r="T16" i="3" s="1"/>
  <c r="D16" i="3"/>
  <c r="E16" i="3" s="1"/>
  <c r="S15" i="3"/>
  <c r="T15" i="3" s="1"/>
  <c r="D15" i="3"/>
  <c r="E15" i="3" s="1"/>
  <c r="S14" i="3"/>
  <c r="T14" i="3" s="1"/>
  <c r="D14" i="3"/>
  <c r="E14" i="3" s="1"/>
  <c r="S13" i="3"/>
  <c r="T13" i="3" s="1"/>
  <c r="D13" i="3"/>
  <c r="E13" i="3" s="1"/>
  <c r="S12" i="3"/>
  <c r="T12" i="3" s="1"/>
  <c r="D12" i="3"/>
  <c r="E12" i="3" s="1"/>
  <c r="S11" i="3"/>
  <c r="T11" i="3" s="1"/>
  <c r="D11" i="3"/>
  <c r="E11" i="3" s="1"/>
  <c r="S8" i="3"/>
  <c r="T8" i="3" s="1"/>
  <c r="D8" i="3"/>
  <c r="E8" i="3" s="1"/>
  <c r="S7" i="3"/>
  <c r="T7" i="3" s="1"/>
  <c r="AD25" i="2" l="1"/>
  <c r="AE26" i="2"/>
  <c r="I27" i="3"/>
  <c r="H24" i="5"/>
  <c r="H41" i="5" s="1"/>
  <c r="K11" i="5"/>
  <c r="K21" i="5"/>
  <c r="K23" i="5"/>
  <c r="K37" i="5"/>
  <c r="K35" i="5" s="1"/>
  <c r="K8" i="5"/>
  <c r="K14" i="5"/>
  <c r="K16" i="5"/>
  <c r="K18" i="5"/>
  <c r="K20" i="5"/>
  <c r="C7" i="5"/>
  <c r="F7" i="5" s="1"/>
  <c r="C10" i="5"/>
  <c r="F10" i="5" s="1"/>
  <c r="C8" i="5"/>
  <c r="F8" i="5" s="1"/>
  <c r="C11" i="5"/>
  <c r="F11" i="5" s="1"/>
  <c r="C12" i="5"/>
  <c r="F12" i="5" s="1"/>
  <c r="K7" i="5"/>
  <c r="K10" i="5"/>
  <c r="K12" i="5"/>
  <c r="C14" i="5"/>
  <c r="F14" i="5" s="1"/>
  <c r="C16" i="5"/>
  <c r="F16" i="5" s="1"/>
  <c r="C18" i="5"/>
  <c r="F18" i="5" s="1"/>
  <c r="C20" i="5"/>
  <c r="F20" i="5" s="1"/>
  <c r="C21" i="5"/>
  <c r="F21" i="5" s="1"/>
  <c r="C23" i="5"/>
  <c r="F23" i="5" s="1"/>
  <c r="C13" i="5"/>
  <c r="F13" i="5" s="1"/>
  <c r="C15" i="5"/>
  <c r="F15" i="5" s="1"/>
  <c r="C17" i="5"/>
  <c r="F17" i="5" s="1"/>
  <c r="C19" i="5"/>
  <c r="F19" i="5" s="1"/>
  <c r="C22" i="5"/>
  <c r="F22" i="5" s="1"/>
  <c r="K13" i="5"/>
  <c r="K15" i="5"/>
  <c r="K17" i="5"/>
  <c r="K19" i="5"/>
  <c r="K22" i="5"/>
  <c r="K30" i="5"/>
  <c r="K28" i="5"/>
  <c r="K34" i="5"/>
  <c r="B28" i="3"/>
  <c r="D7" i="3"/>
  <c r="E7" i="3" s="1"/>
  <c r="S27" i="3"/>
  <c r="B27" i="3"/>
  <c r="B92" i="3" s="1"/>
  <c r="D20" i="3"/>
  <c r="E20" i="3" s="1"/>
  <c r="K40" i="5" l="1"/>
  <c r="G22" i="5"/>
  <c r="E24" i="5"/>
  <c r="E41" i="5" s="1"/>
  <c r="K24" i="5"/>
  <c r="G23" i="5"/>
  <c r="G18" i="5"/>
  <c r="G14" i="5"/>
  <c r="G11" i="5"/>
  <c r="G10" i="5"/>
  <c r="G7" i="5"/>
  <c r="G19" i="5"/>
  <c r="G17" i="5"/>
  <c r="G15" i="5"/>
  <c r="G13" i="5"/>
  <c r="G21" i="5"/>
  <c r="G20" i="5"/>
  <c r="G16" i="5"/>
  <c r="J24" i="5"/>
  <c r="J41" i="5" s="1"/>
  <c r="G12" i="5"/>
  <c r="G8" i="5"/>
  <c r="D27" i="3"/>
  <c r="D28" i="3"/>
  <c r="K41" i="5" l="1"/>
  <c r="E57" i="3"/>
  <c r="F24" i="5"/>
  <c r="F41" i="5" s="1"/>
  <c r="C24" i="5"/>
  <c r="C41" i="5" s="1"/>
  <c r="F8" i="3" l="1"/>
  <c r="F10" i="3"/>
  <c r="F16" i="3"/>
  <c r="F23" i="3"/>
  <c r="F17" i="3"/>
  <c r="F13" i="3"/>
  <c r="F19" i="3"/>
  <c r="F20" i="3"/>
  <c r="F21" i="3"/>
  <c r="F25" i="3"/>
  <c r="F14" i="3"/>
  <c r="F26" i="3"/>
  <c r="F12" i="3"/>
  <c r="F11" i="3"/>
  <c r="F15" i="3"/>
  <c r="F22" i="3"/>
  <c r="G24" i="5"/>
  <c r="G41" i="5" s="1"/>
  <c r="F7" i="3"/>
  <c r="E27" i="3" l="1"/>
  <c r="F27" i="3"/>
  <c r="D89" i="3" s="1"/>
  <c r="F28" i="3"/>
  <c r="E28" i="3"/>
  <c r="U10" i="3" l="1"/>
  <c r="E89" i="3"/>
  <c r="J10" i="3" l="1"/>
  <c r="K10" i="3" s="1"/>
  <c r="U13" i="3"/>
  <c r="U26" i="3"/>
  <c r="U8" i="3"/>
  <c r="U19" i="3"/>
  <c r="U21" i="3"/>
  <c r="U12" i="3"/>
  <c r="U20" i="3"/>
  <c r="U17" i="3"/>
  <c r="U23" i="3"/>
  <c r="U15" i="3"/>
  <c r="U22" i="3"/>
  <c r="U7" i="3"/>
  <c r="U14" i="3"/>
  <c r="U11" i="3"/>
  <c r="U16" i="3"/>
  <c r="U25" i="3"/>
  <c r="K12" i="3"/>
  <c r="J13" i="3"/>
  <c r="K13" i="3" s="1"/>
  <c r="K17" i="3"/>
  <c r="J22" i="3"/>
  <c r="K22" i="3" s="1"/>
  <c r="J7" i="3"/>
  <c r="K7" i="3" s="1"/>
  <c r="K14" i="3"/>
  <c r="J19" i="3"/>
  <c r="K19" i="3" s="1"/>
  <c r="J23" i="3"/>
  <c r="K23" i="3" s="1"/>
  <c r="K8" i="3"/>
  <c r="J15" i="3"/>
  <c r="K15" i="3" s="1"/>
  <c r="J20" i="3"/>
  <c r="K20" i="3" s="1"/>
  <c r="J26" i="3"/>
  <c r="K26" i="3" s="1"/>
  <c r="J11" i="3"/>
  <c r="K11" i="3" s="1"/>
  <c r="J16" i="3"/>
  <c r="K16" i="3" s="1"/>
  <c r="J21" i="3"/>
  <c r="K21" i="3" s="1"/>
  <c r="J25" i="3"/>
  <c r="K25" i="3" s="1"/>
  <c r="U27" i="3" l="1"/>
  <c r="S89" i="3" s="1"/>
  <c r="T27" i="3"/>
  <c r="K27" i="3"/>
  <c r="I89" i="3" s="1"/>
  <c r="J27" i="3"/>
  <c r="T89" i="3" l="1"/>
  <c r="J89" i="3"/>
  <c r="W20" i="2" l="1"/>
  <c r="N20" i="2" l="1"/>
  <c r="P24" i="2"/>
  <c r="S24" i="2" s="1"/>
  <c r="R24" i="2" s="1"/>
  <c r="P23" i="2"/>
  <c r="S23" i="2" s="1"/>
  <c r="R23" i="2" s="1"/>
  <c r="P22" i="2"/>
  <c r="P21" i="2"/>
  <c r="S21" i="2" s="1"/>
  <c r="P19" i="2"/>
  <c r="S19" i="2" s="1"/>
  <c r="R19" i="2" s="1"/>
  <c r="P18" i="2"/>
  <c r="S18" i="2" s="1"/>
  <c r="R18" i="2" s="1"/>
  <c r="P17" i="2"/>
  <c r="S17" i="2" s="1"/>
  <c r="R17" i="2" s="1"/>
  <c r="P16" i="2"/>
  <c r="S16" i="2" s="1"/>
  <c r="R16" i="2" s="1"/>
  <c r="P15" i="2"/>
  <c r="S15" i="2" s="1"/>
  <c r="R15" i="2" s="1"/>
  <c r="P14" i="2"/>
  <c r="S14" i="2" s="1"/>
  <c r="R14" i="2" s="1"/>
  <c r="P13" i="2"/>
  <c r="S13" i="2" s="1"/>
  <c r="R13" i="2" s="1"/>
  <c r="P12" i="2"/>
  <c r="S12" i="2" s="1"/>
  <c r="R12" i="2" s="1"/>
  <c r="S11" i="2"/>
  <c r="R11" i="2" s="1"/>
  <c r="K20" i="2"/>
  <c r="Q25" i="2" s="1"/>
  <c r="N25" i="2" l="1"/>
  <c r="T20" i="2"/>
  <c r="Z20" i="2" s="1"/>
  <c r="Z25" i="2" s="1"/>
  <c r="P20" i="2"/>
  <c r="P25" i="2" s="1"/>
  <c r="Q26" i="2" s="1"/>
  <c r="R21" i="2"/>
  <c r="S10" i="2"/>
  <c r="S22" i="2"/>
  <c r="R22" i="2" s="1"/>
  <c r="R10" i="2" l="1"/>
  <c r="S20" i="2"/>
  <c r="S25" i="2" l="1"/>
  <c r="S26" i="2" s="1"/>
  <c r="R20" i="2"/>
  <c r="R25" i="2" l="1"/>
  <c r="U25" i="2" l="1"/>
  <c r="J22" i="2" l="1"/>
  <c r="M22" i="2" s="1"/>
  <c r="L22" i="2" s="1"/>
  <c r="I25" i="2"/>
  <c r="K25" i="2"/>
  <c r="T25" i="2"/>
  <c r="H25" i="2"/>
  <c r="J21" i="2"/>
  <c r="V21" i="2"/>
  <c r="Y21" i="2" s="1"/>
  <c r="X21" i="2" s="1"/>
  <c r="V22" i="2"/>
  <c r="Y22" i="2" s="1"/>
  <c r="X22" i="2" s="1"/>
  <c r="V24" i="2"/>
  <c r="V23" i="2"/>
  <c r="J23" i="2"/>
  <c r="M23" i="2" s="1"/>
  <c r="L23" i="2" s="1"/>
  <c r="V19" i="2"/>
  <c r="J19" i="2"/>
  <c r="M19" i="2" s="1"/>
  <c r="L19" i="2" s="1"/>
  <c r="V18" i="2"/>
  <c r="J18" i="2"/>
  <c r="M18" i="2" s="1"/>
  <c r="L18" i="2" s="1"/>
  <c r="V17" i="2"/>
  <c r="J17" i="2"/>
  <c r="M17" i="2" s="1"/>
  <c r="L17" i="2" s="1"/>
  <c r="V16" i="2"/>
  <c r="J16" i="2"/>
  <c r="M16" i="2" s="1"/>
  <c r="L16" i="2" s="1"/>
  <c r="V15" i="2"/>
  <c r="J15" i="2"/>
  <c r="M15" i="2" s="1"/>
  <c r="L15" i="2" s="1"/>
  <c r="V14" i="2"/>
  <c r="J14" i="2"/>
  <c r="M14" i="2" s="1"/>
  <c r="L14" i="2" s="1"/>
  <c r="V13" i="2"/>
  <c r="J13" i="2"/>
  <c r="M13" i="2" s="1"/>
  <c r="L13" i="2" s="1"/>
  <c r="V12" i="2"/>
  <c r="J12" i="2"/>
  <c r="M12" i="2" s="1"/>
  <c r="L12" i="2" s="1"/>
  <c r="J11" i="2"/>
  <c r="M11" i="2" s="1"/>
  <c r="L11" i="2" s="1"/>
  <c r="W25" i="2"/>
  <c r="V10" i="2"/>
  <c r="J10" i="2"/>
  <c r="J20" i="2" l="1"/>
  <c r="X20" i="2"/>
  <c r="Y20" i="2"/>
  <c r="V20" i="2"/>
  <c r="M21" i="2"/>
  <c r="M20" i="2" s="1"/>
  <c r="L20" i="2" s="1"/>
  <c r="Y12" i="2"/>
  <c r="X12" i="2" s="1"/>
  <c r="Y17" i="2"/>
  <c r="X17" i="2" s="1"/>
  <c r="Y13" i="2"/>
  <c r="X13" i="2" s="1"/>
  <c r="Y14" i="2"/>
  <c r="X14" i="2" s="1"/>
  <c r="Y18" i="2"/>
  <c r="X18" i="2" s="1"/>
  <c r="Y15" i="2"/>
  <c r="X15" i="2" s="1"/>
  <c r="Y23" i="2"/>
  <c r="X23" i="2" s="1"/>
  <c r="Y16" i="2"/>
  <c r="X16" i="2" s="1"/>
  <c r="Y19" i="2"/>
  <c r="X19" i="2" s="1"/>
  <c r="J24" i="2"/>
  <c r="M24" i="2" s="1"/>
  <c r="L24" i="2" s="1"/>
  <c r="Y24" i="2"/>
  <c r="X24" i="2" s="1"/>
  <c r="Y10" i="2"/>
  <c r="V11" i="2"/>
  <c r="Y11" i="2" s="1"/>
  <c r="X11" i="2" s="1"/>
  <c r="M10" i="2"/>
  <c r="Y25" i="2" l="1"/>
  <c r="X25" i="2" s="1"/>
  <c r="V25" i="2"/>
  <c r="W26" i="2" s="1"/>
  <c r="J25" i="2"/>
  <c r="K26" i="2" s="1"/>
  <c r="L21" i="2"/>
  <c r="M25" i="2"/>
  <c r="L10" i="2"/>
  <c r="X10" i="2"/>
  <c r="Y26" i="2" l="1"/>
  <c r="L25" i="2"/>
  <c r="M26" i="2"/>
</calcChain>
</file>

<file path=xl/sharedStrings.xml><?xml version="1.0" encoding="utf-8"?>
<sst xmlns="http://schemas.openxmlformats.org/spreadsheetml/2006/main" count="240" uniqueCount="160">
  <si>
    <t>Всего</t>
  </si>
  <si>
    <t>МБУК ОДБ</t>
  </si>
  <si>
    <t>МБУИ МДТ</t>
  </si>
  <si>
    <t>МАУИ ТЮЗ "Дилижанс"</t>
  </si>
  <si>
    <t>МБУК ДЦ "Русич"</t>
  </si>
  <si>
    <t>МАУ КДЦ "Буревестник"</t>
  </si>
  <si>
    <t>ИТОГО культура</t>
  </si>
  <si>
    <t>руб.</t>
  </si>
  <si>
    <t>Всего по учреждению</t>
  </si>
  <si>
    <t>в том числе</t>
  </si>
  <si>
    <t>ФОТ руководителя в год</t>
  </si>
  <si>
    <t>ФОТ работников в год</t>
  </si>
  <si>
    <t xml:space="preserve">в том числе </t>
  </si>
  <si>
    <t>по окладам</t>
  </si>
  <si>
    <t>стимулирующие</t>
  </si>
  <si>
    <t>сумма</t>
  </si>
  <si>
    <t>МБУК "Библиотеки Тольятти"</t>
  </si>
  <si>
    <t>МБУИ "Тольяттинкий театр кукол"</t>
  </si>
  <si>
    <t>Итого</t>
  </si>
  <si>
    <t>Ямщикова О.И. 543 112</t>
  </si>
  <si>
    <t xml:space="preserve"> - культурно-досуговая деятельность</t>
  </si>
  <si>
    <t xml:space="preserve"> - библиотечная деятельность</t>
  </si>
  <si>
    <t>%  к окладам</t>
  </si>
  <si>
    <t>Структура фонда</t>
  </si>
  <si>
    <t xml:space="preserve">по окладам </t>
  </si>
  <si>
    <t>учреждение</t>
  </si>
  <si>
    <t>тарификация</t>
  </si>
  <si>
    <t xml:space="preserve">стимулирующий фонд </t>
  </si>
  <si>
    <t>Музыкальные школы</t>
  </si>
  <si>
    <t>Школы искусств</t>
  </si>
  <si>
    <t>Художественные школы</t>
  </si>
  <si>
    <t>Хореографическая школа</t>
  </si>
  <si>
    <t>ДК и Центры</t>
  </si>
  <si>
    <t>школы</t>
  </si>
  <si>
    <t>ФОТ педагогических работников (тарификация + штатное + стимулирующие)составляет</t>
  </si>
  <si>
    <r>
      <t>С изм по УПлану</t>
    </r>
    <r>
      <rPr>
        <sz val="12"/>
        <color theme="1"/>
        <rFont val="Times New Roman"/>
        <family val="2"/>
        <charset val="204"/>
      </rPr>
      <t>: муз.отд. 1,7 преп.ч., 0,4 конц.ч., театр.отд. 1,4 преп.ч., 0,2 конц.ч., хореограф.отд. 1 преп.ч., 0,3 конц.ч., худож.отд. 1</t>
    </r>
  </si>
  <si>
    <t>С изм. по контингенту:</t>
  </si>
  <si>
    <t>уменьшение контингента по общеразв.пр.</t>
  </si>
  <si>
    <t xml:space="preserve">   Гармония 4 худ., 1 хореограф., 7 муз.</t>
  </si>
  <si>
    <t xml:space="preserve">   Форте 13 худ., 14 музык.</t>
  </si>
  <si>
    <t xml:space="preserve">   Свиридова 3 музык., 1 худ.</t>
  </si>
  <si>
    <t xml:space="preserve">   ДШИ-1 10 муз.</t>
  </si>
  <si>
    <t xml:space="preserve">   ДМШ-4 театр.отд. -11 с 01.09.16, -11 с 01.09.17</t>
  </si>
  <si>
    <t xml:space="preserve">   Истоки театр. -20</t>
  </si>
  <si>
    <t>ТК ФГТ живопись 2 класс 10 чел. переведены на общеразвив.пр.</t>
  </si>
  <si>
    <t>Балакирева увелич.контингента 10 чел. общеразвив.муз.отд., 10 ФГТ дух.инстр., 10 народные</t>
  </si>
  <si>
    <t>Лицей искусств прием на ФГТ по заявке учреждения на 01.09.16 и на 01.09.17</t>
  </si>
  <si>
    <t>ДДК 60 театрал.отд. перевести на музык.отд.30, прием 30 хореографы</t>
  </si>
  <si>
    <t>ДМШ-4 ФГТ на 01.09.15 г. убрать на общеразвивающие программы: 139 муз., 15 театр.</t>
  </si>
  <si>
    <t>изменение ФОТ, УМЕНЬШЕН НА 7005 т.р. на штатное прочих работников</t>
  </si>
  <si>
    <t xml:space="preserve">ДШИ-1 ФГТ на 01.09.15 г. убратьна общеразвивающие программы: 40муз, 20 худож. </t>
  </si>
  <si>
    <t>Гармония ФГТ на 01.09.15 г. убратьна общеразвивающие программы: 25 муз., 14 хореографы</t>
  </si>
  <si>
    <t>пед.работники штатное</t>
  </si>
  <si>
    <t>итого педработники з/пл</t>
  </si>
  <si>
    <t xml:space="preserve">всего ФОТ пед.работников в 2019 г. </t>
  </si>
  <si>
    <t>Предусмотрено Едиными рекомендациями</t>
  </si>
  <si>
    <t>не менее 70%</t>
  </si>
  <si>
    <t xml:space="preserve">Предусмотрено Едиными рекомендациями </t>
  </si>
  <si>
    <t>ФОТ</t>
  </si>
  <si>
    <t>педагогических работников</t>
  </si>
  <si>
    <t>прочих работников</t>
  </si>
  <si>
    <t>МБУ ДО ДШИ "Камертон"</t>
  </si>
  <si>
    <t>МБУ ДО ДШИ "Гармония"</t>
  </si>
  <si>
    <t>МБУ ДО ДШИ "Форте"</t>
  </si>
  <si>
    <t>МБУ ДО ДХШ-3</t>
  </si>
  <si>
    <t>МБУ ДО ДХШ им.М.Шагала</t>
  </si>
  <si>
    <t>МБУ ДО ДДК</t>
  </si>
  <si>
    <t>МБУ ДО ЦРТДЮ "Истоки"</t>
  </si>
  <si>
    <t>ВСЕГО по ГРБС</t>
  </si>
  <si>
    <t>Дополнительные ассигнования на выполнение Указов Президента РФ</t>
  </si>
  <si>
    <t>тыс.руб.</t>
  </si>
  <si>
    <t>в т.ч. педагогических работников</t>
  </si>
  <si>
    <t>МБУ ДО ДШИ им. Балакирева</t>
  </si>
  <si>
    <t>МБУ ДО ДШИ Гармония</t>
  </si>
  <si>
    <t xml:space="preserve">МБУ ДО ДШИ "Форте" </t>
  </si>
  <si>
    <t>МБУ ДО ДХШ № 3</t>
  </si>
  <si>
    <t xml:space="preserve">МБУ ДО ДДК </t>
  </si>
  <si>
    <t>МБУ ДО ЦТДиЮ "Истоки"</t>
  </si>
  <si>
    <t xml:space="preserve">Итого </t>
  </si>
  <si>
    <t>начисления на ФОТ 30,2%</t>
  </si>
  <si>
    <t xml:space="preserve">итого педработники </t>
  </si>
  <si>
    <t>Итого 0703 дополнит. образование</t>
  </si>
  <si>
    <t xml:space="preserve">ФОТ руководителя в год </t>
  </si>
  <si>
    <t>не менее 50%</t>
  </si>
  <si>
    <t>Плановый ФОТ педагогических работников 2022 года (без учета дополнительных стредств на единовременную выплату, приуроченную к Дню учителя)</t>
  </si>
  <si>
    <t>ФОТ +7,5%</t>
  </si>
  <si>
    <t>Плановый ФОТ  2023 года  с учетом дополнительных ассигнований на выполнение Указа Президента РФ                                                   (КВР 111)</t>
  </si>
  <si>
    <t>Плановый ФОТ 2022 год с учетом дополнительных средств согласно решению Думы от 23.11.2022 (КВР 111)</t>
  </si>
  <si>
    <r>
      <t xml:space="preserve">Плановый ФОТ  2023 года  учетом дополнительных ассигнований на выполнение Указа Президента РФ </t>
    </r>
    <r>
      <rPr>
        <b/>
        <u/>
        <sz val="12"/>
        <color theme="1"/>
        <rFont val="Times New Roman"/>
        <family val="1"/>
        <charset val="204"/>
      </rPr>
      <t>с учетом планируемого увеличения окладов на 10%</t>
    </r>
    <r>
      <rPr>
        <sz val="12"/>
        <color theme="1"/>
        <rFont val="Times New Roman"/>
        <family val="2"/>
        <charset val="204"/>
      </rPr>
      <t xml:space="preserve"> (КВР 111)</t>
    </r>
  </si>
  <si>
    <t>ФОТ руководителя в год +10%</t>
  </si>
  <si>
    <r>
      <t>по окладам +10</t>
    </r>
    <r>
      <rPr>
        <b/>
        <sz val="8"/>
        <color theme="1"/>
        <rFont val="Times New Roman"/>
        <family val="1"/>
        <charset val="204"/>
      </rPr>
      <t>%</t>
    </r>
  </si>
  <si>
    <r>
      <t xml:space="preserve">Плановый ФОТ  2023 года  учетом дополнительных ассигнований на выполнение Указа Президента РФ </t>
    </r>
    <r>
      <rPr>
        <b/>
        <u/>
        <sz val="12"/>
        <color theme="1"/>
        <rFont val="Times New Roman"/>
        <family val="1"/>
        <charset val="204"/>
      </rPr>
      <t>с учетом планируемого увеличения окладов на 15%</t>
    </r>
    <r>
      <rPr>
        <sz val="12"/>
        <color theme="1"/>
        <rFont val="Times New Roman"/>
        <family val="2"/>
        <charset val="204"/>
      </rPr>
      <t xml:space="preserve"> (КВР 111)</t>
    </r>
  </si>
  <si>
    <t>ФОТ руководителя в год +15%</t>
  </si>
  <si>
    <r>
      <t>по окладам +15</t>
    </r>
    <r>
      <rPr>
        <b/>
        <sz val="8"/>
        <color theme="1"/>
        <rFont val="Times New Roman"/>
        <family val="1"/>
        <charset val="204"/>
      </rPr>
      <t>%</t>
    </r>
  </si>
  <si>
    <t>Плановый ФОТ 2022 год по состоянию на 01.01.2022 (КВР 111)</t>
  </si>
  <si>
    <t xml:space="preserve"> +15,6% к первонач.ФОТ</t>
  </si>
  <si>
    <t xml:space="preserve"> +13,1% к уточнен.ФОТ</t>
  </si>
  <si>
    <t>рук-ль бюджет</t>
  </si>
  <si>
    <t>рук-ль МАУ</t>
  </si>
  <si>
    <t>работники</t>
  </si>
  <si>
    <t>9500-27005</t>
  </si>
  <si>
    <t>10638-28233</t>
  </si>
  <si>
    <t>30525-45788</t>
  </si>
  <si>
    <t>31913-47869</t>
  </si>
  <si>
    <t>тарификация +10%</t>
  </si>
  <si>
    <t>пед.работники штатное +10%</t>
  </si>
  <si>
    <r>
      <t xml:space="preserve">Плановый ФОТ педагогических работников 2023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10%</t>
    </r>
  </si>
  <si>
    <t xml:space="preserve">всего ФОТ пед.работников в 2022 г. </t>
  </si>
  <si>
    <t xml:space="preserve">всего ФОТ пед.работников в 2023 г. </t>
  </si>
  <si>
    <r>
      <t xml:space="preserve">Плановый ФОТ педагогических работников  2023 года  с учетом дополнительных ассигнований на выполнение Указов Президента РФ и  индексацию на 2,8% внешних совместителей (12 месяцев) </t>
    </r>
    <r>
      <rPr>
        <b/>
        <u/>
        <sz val="8"/>
        <rFont val="Times New Roman"/>
        <family val="1"/>
        <charset val="204"/>
      </rPr>
      <t>без учета планируемых изменений</t>
    </r>
  </si>
  <si>
    <r>
      <t xml:space="preserve">Плановый ФОТ педагогических работников 2023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7%</t>
    </r>
  </si>
  <si>
    <t>тарификация +7%</t>
  </si>
  <si>
    <t>пед.работники штатное +7%</t>
  </si>
  <si>
    <r>
      <t xml:space="preserve">Плановый ФОТ педагогических работников 2023 года с учетом дополнительных ассигнований и  </t>
    </r>
    <r>
      <rPr>
        <b/>
        <u/>
        <sz val="8"/>
        <rFont val="Times New Roman"/>
        <family val="1"/>
        <charset val="204"/>
      </rPr>
      <t>с  учетом планируемого увеличения окладов на 15%</t>
    </r>
  </si>
  <si>
    <t>тарификация +15%</t>
  </si>
  <si>
    <t>пед.работники штатное +15%</t>
  </si>
  <si>
    <t>препод-ль</t>
  </si>
  <si>
    <t>концерт-р</t>
  </si>
  <si>
    <t>10708-13845</t>
  </si>
  <si>
    <t>9344-12071</t>
  </si>
  <si>
    <t>11458-14814</t>
  </si>
  <si>
    <t>9998-12916</t>
  </si>
  <si>
    <t>11779-15230</t>
  </si>
  <si>
    <t>10278-13278</t>
  </si>
  <si>
    <t>12314-15922</t>
  </si>
  <si>
    <t>10746-13882</t>
  </si>
  <si>
    <t>8636-24550</t>
  </si>
  <si>
    <t>27750-41625</t>
  </si>
  <si>
    <t>Расчет ФОТ после увеличения должностных окладов работников учреждений культуры и искусства, находящихся в ведомственном подчинении департамента культуры, в 2023 году</t>
  </si>
  <si>
    <t>Информация о дополнительных ассигнованиях, предусмотренных в бюджете городского округа Тольятти на 2023 год  на выполнение Указов Президента РФ</t>
  </si>
  <si>
    <t xml:space="preserve">Дополнительные асссигнования на индексацию на 2,8% с 01.10.2022  в 2023 году (12 месяцев) заработной платы работников муниципальных учрежденияй,  на которых не распространяется действие Указов  Президента РФ </t>
  </si>
  <si>
    <t>МБУ ДО ДМШ-3</t>
  </si>
  <si>
    <t>МБУ ДО ДШИ ЦР</t>
  </si>
  <si>
    <t>МБУ ДО ДШИ "Лицей искусств"</t>
  </si>
  <si>
    <t>МБУ ДО ДШИ-1</t>
  </si>
  <si>
    <t>МБУ ДО ДШИ им.Свиридова</t>
  </si>
  <si>
    <t>МБУ ДО ДХШ-1</t>
  </si>
  <si>
    <t>МБУ ДО ДХШ им.Репина</t>
  </si>
  <si>
    <t>МБУ ДО Хореографическая школа им.М.М.Плисецкой</t>
  </si>
  <si>
    <t>МБУ ДО ДШИ им.Г.В.Свиридова</t>
  </si>
  <si>
    <t>МБУ ДО ДШИ им.М.А.Балакирева</t>
  </si>
  <si>
    <t>МБУ ДО ДМШ-4 им.В.М.Свердлова</t>
  </si>
  <si>
    <t>МБУК "Тольяттинский краеведческий музей"</t>
  </si>
  <si>
    <t>МБУК ГМК "Наследие" (экомузей)</t>
  </si>
  <si>
    <t>МБУК "Тольяттинский художественный музей"</t>
  </si>
  <si>
    <t>МБУК" Библиотеки Тольятти"</t>
  </si>
  <si>
    <t>МАУИ Драмтеатр "Колесо" им.Г.Б.Дроздова</t>
  </si>
  <si>
    <t>МБУИ "Тольяттинский театр кукол "</t>
  </si>
  <si>
    <t>МАУ КЦ "Автоград"</t>
  </si>
  <si>
    <t>МАУК ПКИТ им. К.Г.Сахарова</t>
  </si>
  <si>
    <t>МБУ ДО ДМШ № 3</t>
  </si>
  <si>
    <t>МБУ ДО ДМШ №4 им.Свердлова</t>
  </si>
  <si>
    <t xml:space="preserve"> МБУ ДО ДШИ ЦР</t>
  </si>
  <si>
    <t>МБУ ДОД ШИ "Лицей искусств"</t>
  </si>
  <si>
    <t>МБУ ДО ДШИ № 1</t>
  </si>
  <si>
    <t>МБУ ДО ДШИ Камертон</t>
  </si>
  <si>
    <t>МБУ ДО ДХШ № 1</t>
  </si>
  <si>
    <t>МБУ ДО ДХШ им.Шагала</t>
  </si>
  <si>
    <t>МАУК ПКИТ им.К.Г.Сахарова</t>
  </si>
  <si>
    <t xml:space="preserve">Расчет ФОТ после увеличения должностных окладов педагогических работников учреждений дополнительного образования, на ходящихся в ведомственном подчинении департамента культуры, в  2023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</si>
</sst>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,_р_._-;\-* #,##0,_р_._-;_-* &quot;- &quot;_р_._-;_-@_-"/>
    <numFmt numFmtId="165" formatCode="_-* #,##0.00,_р_._-;\-* #,##0.00,_р_._-;_-* \-??\ _р_._-;_-@_-"/>
    <numFmt numFmtId="166" formatCode="0.0%"/>
    <numFmt numFmtId="167" formatCode="0.00000"/>
  </numFmts>
  <fonts count="39" x14ac:knownFonts="1"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sz val="8"/>
      <name val="Times New Roman Cyr"/>
      <charset val="204"/>
    </font>
    <font>
      <sz val="6"/>
      <name val="Times New Roman Cyr"/>
      <charset val="204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b/>
      <i/>
      <sz val="10"/>
      <name val="Times New Roman Cyr"/>
      <charset val="204"/>
    </font>
    <font>
      <b/>
      <i/>
      <sz val="8"/>
      <name val="Times New Roman Cyr"/>
      <charset val="204"/>
    </font>
    <font>
      <b/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i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b/>
      <u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6"/>
      <name val="Times New Roman Cyr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18" fillId="0" borderId="0"/>
  </cellStyleXfs>
  <cellXfs count="157">
    <xf numFmtId="0" fontId="0" fillId="0" borderId="0" xfId="0"/>
    <xf numFmtId="0" fontId="1" fillId="0" borderId="0" xfId="1"/>
    <xf numFmtId="0" fontId="1" fillId="0" borderId="1" xfId="2" applyFont="1" applyBorder="1" applyAlignment="1">
      <alignment horizontal="center" vertical="center" wrapText="1"/>
    </xf>
    <xf numFmtId="0" fontId="7" fillId="0" borderId="1" xfId="3" applyFont="1" applyBorder="1"/>
    <xf numFmtId="0" fontId="5" fillId="0" borderId="1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right" vertical="center"/>
    </xf>
    <xf numFmtId="0" fontId="5" fillId="0" borderId="1" xfId="2" applyFont="1" applyBorder="1" applyAlignment="1">
      <alignment horizontal="left" vertical="center" wrapText="1"/>
    </xf>
    <xf numFmtId="49" fontId="7" fillId="0" borderId="1" xfId="3" applyNumberFormat="1" applyFont="1" applyBorder="1" applyAlignment="1">
      <alignment horizontal="left"/>
    </xf>
    <xf numFmtId="0" fontId="3" fillId="0" borderId="0" xfId="1" applyFont="1"/>
    <xf numFmtId="0" fontId="8" fillId="0" borderId="1" xfId="2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left"/>
    </xf>
    <xf numFmtId="0" fontId="10" fillId="0" borderId="1" xfId="2" applyFont="1" applyBorder="1" applyAlignment="1">
      <alignment horizontal="right" vertical="center" wrapText="1"/>
    </xf>
    <xf numFmtId="0" fontId="10" fillId="0" borderId="1" xfId="2" applyFont="1" applyBorder="1" applyAlignment="1">
      <alignment horizontal="right" vertical="center"/>
    </xf>
    <xf numFmtId="0" fontId="11" fillId="0" borderId="0" xfId="1" applyFont="1"/>
    <xf numFmtId="0" fontId="7" fillId="0" borderId="1" xfId="3" applyFont="1" applyBorder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5" fillId="0" borderId="0" xfId="1" applyFont="1"/>
    <xf numFmtId="3" fontId="1" fillId="0" borderId="0" xfId="1" applyNumberFormat="1"/>
    <xf numFmtId="0" fontId="2" fillId="0" borderId="0" xfId="1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10" applyFont="1" applyBorder="1"/>
    <xf numFmtId="0" fontId="7" fillId="0" borderId="1" xfId="1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" fillId="0" borderId="1" xfId="2" applyFont="1" applyBorder="1" applyAlignment="1">
      <alignment horizontal="left" vertical="center" wrapText="1"/>
    </xf>
    <xf numFmtId="49" fontId="19" fillId="0" borderId="1" xfId="10" applyNumberFormat="1" applyFont="1" applyBorder="1" applyAlignment="1">
      <alignment horizontal="left"/>
    </xf>
    <xf numFmtId="0" fontId="19" fillId="0" borderId="1" xfId="10" applyFont="1" applyBorder="1" applyAlignment="1">
      <alignment horizontal="left"/>
    </xf>
    <xf numFmtId="0" fontId="15" fillId="0" borderId="1" xfId="0" applyFont="1" applyBorder="1"/>
    <xf numFmtId="0" fontId="17" fillId="0" borderId="1" xfId="0" applyFont="1" applyBorder="1"/>
    <xf numFmtId="0" fontId="17" fillId="0" borderId="1" xfId="0" applyFont="1" applyBorder="1" applyAlignment="1">
      <alignment horizontal="right"/>
    </xf>
    <xf numFmtId="0" fontId="15" fillId="0" borderId="0" xfId="0" applyFont="1"/>
    <xf numFmtId="0" fontId="20" fillId="0" borderId="0" xfId="0" applyFont="1"/>
    <xf numFmtId="49" fontId="21" fillId="0" borderId="1" xfId="10" applyNumberFormat="1" applyFont="1" applyBorder="1" applyAlignment="1">
      <alignment horizontal="left"/>
    </xf>
    <xf numFmtId="0" fontId="9" fillId="0" borderId="1" xfId="10" applyFont="1" applyBorder="1" applyAlignment="1">
      <alignment horizontal="right"/>
    </xf>
    <xf numFmtId="0" fontId="22" fillId="0" borderId="1" xfId="0" applyFont="1" applyBorder="1" applyAlignment="1">
      <alignment horizontal="right"/>
    </xf>
    <xf numFmtId="0" fontId="23" fillId="0" borderId="0" xfId="0" applyFont="1"/>
    <xf numFmtId="0" fontId="16" fillId="0" borderId="0" xfId="0" applyFont="1"/>
    <xf numFmtId="0" fontId="25" fillId="0" borderId="1" xfId="0" applyFont="1" applyBorder="1"/>
    <xf numFmtId="0" fontId="22" fillId="0" borderId="1" xfId="0" applyFont="1" applyBorder="1"/>
    <xf numFmtId="9" fontId="22" fillId="0" borderId="1" xfId="0" applyNumberFormat="1" applyFont="1" applyBorder="1"/>
    <xf numFmtId="166" fontId="22" fillId="0" borderId="1" xfId="0" applyNumberFormat="1" applyFont="1" applyBorder="1"/>
    <xf numFmtId="0" fontId="26" fillId="0" borderId="1" xfId="0" applyFont="1" applyBorder="1"/>
    <xf numFmtId="0" fontId="27" fillId="0" borderId="1" xfId="0" applyFont="1" applyBorder="1"/>
    <xf numFmtId="9" fontId="27" fillId="0" borderId="1" xfId="0" applyNumberFormat="1" applyFont="1" applyBorder="1"/>
    <xf numFmtId="166" fontId="27" fillId="0" borderId="1" xfId="0" applyNumberFormat="1" applyFont="1" applyBorder="1"/>
    <xf numFmtId="0" fontId="19" fillId="0" borderId="0" xfId="5" applyFont="1"/>
    <xf numFmtId="0" fontId="4" fillId="0" borderId="0" xfId="5"/>
    <xf numFmtId="0" fontId="28" fillId="0" borderId="0" xfId="5" applyFont="1" applyAlignment="1">
      <alignment horizontal="center" wrapText="1"/>
    </xf>
    <xf numFmtId="0" fontId="30" fillId="0" borderId="1" xfId="5" applyFont="1" applyBorder="1" applyAlignment="1">
      <alignment horizontal="center" vertical="center" wrapText="1"/>
    </xf>
    <xf numFmtId="167" fontId="7" fillId="3" borderId="1" xfId="5" applyNumberFormat="1" applyFont="1" applyFill="1" applyBorder="1" applyAlignment="1">
      <alignment vertical="center"/>
    </xf>
    <xf numFmtId="3" fontId="19" fillId="0" borderId="9" xfId="5" applyNumberFormat="1" applyFont="1" applyBorder="1" applyAlignment="1">
      <alignment horizontal="right" wrapText="1"/>
    </xf>
    <xf numFmtId="0" fontId="19" fillId="0" borderId="10" xfId="5" applyFont="1" applyBorder="1" applyAlignment="1">
      <alignment horizontal="right" wrapText="1"/>
    </xf>
    <xf numFmtId="3" fontId="19" fillId="2" borderId="1" xfId="5" applyNumberFormat="1" applyFont="1" applyFill="1" applyBorder="1" applyAlignment="1">
      <alignment horizontal="right"/>
    </xf>
    <xf numFmtId="3" fontId="19" fillId="0" borderId="9" xfId="5" applyNumberFormat="1" applyFont="1" applyBorder="1" applyAlignment="1">
      <alignment horizontal="right"/>
    </xf>
    <xf numFmtId="3" fontId="29" fillId="0" borderId="9" xfId="5" applyNumberFormat="1" applyFont="1" applyBorder="1" applyAlignment="1">
      <alignment horizontal="right"/>
    </xf>
    <xf numFmtId="0" fontId="29" fillId="2" borderId="9" xfId="5" applyFont="1" applyFill="1" applyBorder="1" applyAlignment="1">
      <alignment horizontal="center" wrapText="1"/>
    </xf>
    <xf numFmtId="0" fontId="19" fillId="2" borderId="9" xfId="5" applyFont="1" applyFill="1" applyBorder="1" applyAlignment="1">
      <alignment horizontal="right"/>
    </xf>
    <xf numFmtId="0" fontId="19" fillId="2" borderId="10" xfId="5" applyFont="1" applyFill="1" applyBorder="1" applyAlignment="1">
      <alignment horizontal="right"/>
    </xf>
    <xf numFmtId="0" fontId="19" fillId="0" borderId="9" xfId="5" applyFont="1" applyBorder="1" applyAlignment="1">
      <alignment horizontal="right"/>
    </xf>
    <xf numFmtId="0" fontId="19" fillId="2" borderId="1" xfId="7" applyFont="1" applyFill="1" applyBorder="1" applyAlignment="1">
      <alignment horizontal="left" wrapText="1"/>
    </xf>
    <xf numFmtId="3" fontId="19" fillId="2" borderId="1" xfId="5" applyNumberFormat="1" applyFont="1" applyFill="1" applyBorder="1" applyAlignment="1">
      <alignment horizontal="right" wrapText="1"/>
    </xf>
    <xf numFmtId="3" fontId="19" fillId="2" borderId="3" xfId="5" applyNumberFormat="1" applyFont="1" applyFill="1" applyBorder="1" applyAlignment="1">
      <alignment horizontal="right"/>
    </xf>
    <xf numFmtId="0" fontId="19" fillId="2" borderId="1" xfId="5" applyFont="1" applyFill="1" applyBorder="1" applyAlignment="1">
      <alignment horizontal="left" wrapText="1"/>
    </xf>
    <xf numFmtId="0" fontId="29" fillId="2" borderId="1" xfId="5" applyFont="1" applyFill="1" applyBorder="1" applyAlignment="1">
      <alignment horizontal="left" wrapText="1"/>
    </xf>
    <xf numFmtId="0" fontId="19" fillId="2" borderId="3" xfId="5" applyFont="1" applyFill="1" applyBorder="1" applyAlignment="1">
      <alignment horizontal="right"/>
    </xf>
    <xf numFmtId="3" fontId="19" fillId="0" borderId="1" xfId="5" applyNumberFormat="1" applyFont="1" applyBorder="1" applyAlignment="1">
      <alignment horizontal="right"/>
    </xf>
    <xf numFmtId="3" fontId="29" fillId="0" borderId="1" xfId="5" applyNumberFormat="1" applyFont="1" applyBorder="1" applyAlignment="1">
      <alignment horizontal="right"/>
    </xf>
    <xf numFmtId="0" fontId="4" fillId="2" borderId="0" xfId="5" applyFill="1"/>
    <xf numFmtId="0" fontId="29" fillId="2" borderId="1" xfId="7" applyFont="1" applyFill="1" applyBorder="1" applyAlignment="1">
      <alignment horizontal="left" wrapText="1"/>
    </xf>
    <xf numFmtId="0" fontId="28" fillId="2" borderId="1" xfId="5" applyFont="1" applyFill="1" applyBorder="1" applyAlignment="1">
      <alignment horizontal="left" wrapText="1"/>
    </xf>
    <xf numFmtId="3" fontId="29" fillId="2" borderId="1" xfId="5" applyNumberFormat="1" applyFont="1" applyFill="1" applyBorder="1" applyAlignment="1">
      <alignment horizontal="right" wrapText="1"/>
    </xf>
    <xf numFmtId="3" fontId="29" fillId="2" borderId="1" xfId="5" applyNumberFormat="1" applyFont="1" applyFill="1" applyBorder="1" applyAlignment="1">
      <alignment horizontal="right"/>
    </xf>
    <xf numFmtId="0" fontId="31" fillId="0" borderId="0" xfId="5" applyFont="1"/>
    <xf numFmtId="0" fontId="29" fillId="0" borderId="1" xfId="5" applyFont="1" applyBorder="1"/>
    <xf numFmtId="3" fontId="29" fillId="0" borderId="1" xfId="5" applyNumberFormat="1" applyFont="1" applyBorder="1"/>
    <xf numFmtId="0" fontId="33" fillId="0" borderId="0" xfId="5" applyFont="1"/>
    <xf numFmtId="0" fontId="19" fillId="0" borderId="0" xfId="5" applyFont="1" applyAlignment="1">
      <alignment horizontal="right" wrapText="1"/>
    </xf>
    <xf numFmtId="3" fontId="4" fillId="0" borderId="0" xfId="5" applyNumberFormat="1"/>
    <xf numFmtId="0" fontId="4" fillId="0" borderId="0" xfId="5" applyAlignment="1">
      <alignment horizontal="center"/>
    </xf>
    <xf numFmtId="0" fontId="4" fillId="4" borderId="0" xfId="5" applyFill="1"/>
    <xf numFmtId="1" fontId="4" fillId="0" borderId="0" xfId="5" applyNumberFormat="1" applyAlignment="1">
      <alignment horizontal="left"/>
    </xf>
    <xf numFmtId="0" fontId="9" fillId="0" borderId="0" xfId="5" applyFont="1"/>
    <xf numFmtId="3" fontId="29" fillId="0" borderId="0" xfId="5" applyNumberFormat="1" applyFont="1"/>
    <xf numFmtId="0" fontId="4" fillId="0" borderId="0" xfId="5" applyAlignment="1">
      <alignment horizontal="left" wrapText="1"/>
    </xf>
    <xf numFmtId="0" fontId="32" fillId="0" borderId="0" xfId="5" applyFont="1"/>
    <xf numFmtId="0" fontId="13" fillId="0" borderId="0" xfId="5" applyFont="1"/>
    <xf numFmtId="166" fontId="13" fillId="0" borderId="0" xfId="5" applyNumberFormat="1" applyFont="1"/>
    <xf numFmtId="0" fontId="9" fillId="0" borderId="0" xfId="5" applyFont="1" applyAlignment="1">
      <alignment wrapText="1"/>
    </xf>
    <xf numFmtId="0" fontId="26" fillId="0" borderId="0" xfId="0" applyFont="1"/>
    <xf numFmtId="0" fontId="27" fillId="0" borderId="0" xfId="0" applyFont="1"/>
    <xf numFmtId="9" fontId="27" fillId="0" borderId="0" xfId="0" applyNumberFormat="1" applyFont="1"/>
    <xf numFmtId="166" fontId="27" fillId="0" borderId="0" xfId="0" applyNumberFormat="1" applyFont="1"/>
    <xf numFmtId="0" fontId="35" fillId="0" borderId="0" xfId="0" applyFont="1"/>
    <xf numFmtId="166" fontId="27" fillId="0" borderId="0" xfId="0" applyNumberFormat="1" applyFont="1" applyAlignment="1">
      <alignment horizontal="center"/>
    </xf>
    <xf numFmtId="166" fontId="22" fillId="0" borderId="1" xfId="0" applyNumberFormat="1" applyFont="1" applyBorder="1" applyAlignment="1">
      <alignment horizontal="center"/>
    </xf>
    <xf numFmtId="0" fontId="36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5" fillId="0" borderId="1" xfId="1" applyFont="1" applyBorder="1"/>
    <xf numFmtId="0" fontId="10" fillId="0" borderId="1" xfId="1" applyFont="1" applyBorder="1"/>
    <xf numFmtId="0" fontId="38" fillId="0" borderId="1" xfId="2" applyFont="1" applyBorder="1" applyAlignment="1">
      <alignment horizontal="right" vertical="center"/>
    </xf>
    <xf numFmtId="0" fontId="11" fillId="0" borderId="1" xfId="2" applyFont="1" applyBorder="1" applyAlignment="1">
      <alignment horizontal="center" vertical="center" wrapText="1"/>
    </xf>
    <xf numFmtId="0" fontId="13" fillId="0" borderId="1" xfId="3" applyFont="1" applyBorder="1"/>
    <xf numFmtId="0" fontId="12" fillId="0" borderId="1" xfId="2" applyFont="1" applyBorder="1" applyAlignment="1">
      <alignment vertical="center" wrapText="1"/>
    </xf>
    <xf numFmtId="0" fontId="37" fillId="0" borderId="1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0" fontId="9" fillId="0" borderId="1" xfId="3" applyFont="1" applyBorder="1"/>
    <xf numFmtId="0" fontId="19" fillId="0" borderId="0" xfId="5" applyFont="1" applyAlignment="1">
      <alignment horizontal="center" wrapText="1"/>
    </xf>
    <xf numFmtId="0" fontId="4" fillId="0" borderId="0" xfId="5" applyAlignment="1">
      <alignment vertical="center"/>
    </xf>
    <xf numFmtId="0" fontId="12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7" fillId="3" borderId="1" xfId="5" applyFont="1" applyFill="1" applyBorder="1" applyAlignment="1">
      <alignment vertical="center"/>
    </xf>
    <xf numFmtId="0" fontId="9" fillId="0" borderId="0" xfId="5" applyFont="1" applyAlignment="1">
      <alignment horizontal="right"/>
    </xf>
    <xf numFmtId="0" fontId="35" fillId="0" borderId="1" xfId="0" applyFont="1" applyBorder="1" applyAlignment="1">
      <alignment horizontal="right"/>
    </xf>
    <xf numFmtId="0" fontId="22" fillId="0" borderId="0" xfId="0" applyFont="1"/>
    <xf numFmtId="0" fontId="16" fillId="0" borderId="0" xfId="0" applyFont="1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 applyAlignment="1">
      <alignment wrapText="1"/>
    </xf>
    <xf numFmtId="0" fontId="19" fillId="5" borderId="9" xfId="5" applyFont="1" applyFill="1" applyBorder="1" applyAlignment="1">
      <alignment horizontal="right"/>
    </xf>
    <xf numFmtId="0" fontId="7" fillId="0" borderId="0" xfId="5" applyFont="1"/>
    <xf numFmtId="3" fontId="7" fillId="0" borderId="0" xfId="5" applyNumberFormat="1" applyFont="1"/>
    <xf numFmtId="0" fontId="7" fillId="0" borderId="0" xfId="5" applyFont="1" applyAlignment="1">
      <alignment horizontal="right"/>
    </xf>
    <xf numFmtId="0" fontId="15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30" fillId="0" borderId="2" xfId="5" applyFont="1" applyBorder="1" applyAlignment="1">
      <alignment horizontal="center" vertical="center" wrapText="1"/>
    </xf>
    <xf numFmtId="0" fontId="30" fillId="0" borderId="9" xfId="5" applyFont="1" applyBorder="1" applyAlignment="1">
      <alignment horizontal="center" vertical="center" wrapText="1"/>
    </xf>
    <xf numFmtId="0" fontId="30" fillId="2" borderId="1" xfId="5" applyFont="1" applyFill="1" applyBorder="1" applyAlignment="1">
      <alignment horizontal="center" vertical="center" wrapText="1"/>
    </xf>
    <xf numFmtId="0" fontId="28" fillId="0" borderId="0" xfId="5" applyFont="1" applyAlignment="1">
      <alignment horizontal="center" wrapText="1"/>
    </xf>
    <xf numFmtId="0" fontId="19" fillId="0" borderId="1" xfId="5" applyFont="1" applyBorder="1" applyAlignment="1">
      <alignment horizontal="center" vertical="center"/>
    </xf>
    <xf numFmtId="0" fontId="19" fillId="0" borderId="0" xfId="5" applyFont="1" applyAlignment="1">
      <alignment horizontal="right" wrapText="1"/>
    </xf>
    <xf numFmtId="0" fontId="33" fillId="0" borderId="0" xfId="5" applyFont="1" applyAlignment="1">
      <alignment horizontal="left" wrapText="1"/>
    </xf>
    <xf numFmtId="0" fontId="4" fillId="0" borderId="0" xfId="5" applyAlignment="1">
      <alignment horizontal="left" wrapText="1"/>
    </xf>
    <xf numFmtId="0" fontId="4" fillId="0" borderId="0" xfId="5" applyAlignment="1">
      <alignment horizontal="center"/>
    </xf>
    <xf numFmtId="0" fontId="2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36" fillId="0" borderId="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6" fillId="0" borderId="6" xfId="1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</cellXfs>
  <cellStyles count="11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3 2" xfId="10" xr:uid="{00000000-0005-0000-0000-000004000000}"/>
    <cellStyle name="Обычный 4" xfId="6" xr:uid="{00000000-0005-0000-0000-000005000000}"/>
    <cellStyle name="Обычный_Бюджет 2000 091199" xfId="2" xr:uid="{00000000-0005-0000-0000-000006000000}"/>
    <cellStyle name="Обычный_Сведения о контингенте и штатах" xfId="7" xr:uid="{00000000-0005-0000-0000-000007000000}"/>
    <cellStyle name="Обычный_ФОТ при переходе на НСОТ" xfId="1" xr:uid="{00000000-0005-0000-0000-000008000000}"/>
    <cellStyle name="Тысячи [0]_ауп" xfId="8" xr:uid="{00000000-0005-0000-0000-000009000000}"/>
    <cellStyle name="Тысячи_ауп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in/&#1052;&#1086;&#1080;%20&#1076;&#1086;&#1082;&#1091;&#1084;&#1077;&#1085;&#1090;&#1099;/&#1044;&#1077;&#1087;&#1072;&#1088;&#1090;&#1072;&#1084;&#1077;&#1085;&#1090;/&#1041;&#1102;&#1076;&#1078;&#1077;&#1090;%202009/Room809_002/&#1087;&#1088;&#1086;&#1077;&#1082;&#1090;%202002/&#1055;&#1088;&#1086;&#1075;&#1088;&#1072;&#1084;&#1084;&#1072;/&#1092;&#1080;&#1085;&#1072;&#1085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4"/>
  <sheetViews>
    <sheetView tabSelected="1" topLeftCell="J1" zoomScale="70" zoomScaleNormal="70" workbookViewId="0">
      <selection activeCell="H18" sqref="H18"/>
    </sheetView>
  </sheetViews>
  <sheetFormatPr defaultRowHeight="15.75" outlineLevelRow="1" outlineLevelCol="1" x14ac:dyDescent="0.25"/>
  <cols>
    <col min="1" max="1" width="33.125" customWidth="1"/>
    <col min="2" max="5" width="8" customWidth="1"/>
    <col min="6" max="6" width="5.25" customWidth="1"/>
    <col min="7" max="7" width="8" customWidth="1"/>
    <col min="8" max="8" width="8.125" customWidth="1"/>
    <col min="9" max="9" width="7.375" customWidth="1"/>
    <col min="10" max="10" width="7.875" customWidth="1"/>
    <col min="11" max="11" width="7.375" customWidth="1"/>
    <col min="12" max="12" width="5" customWidth="1"/>
    <col min="13" max="13" width="7.625" customWidth="1"/>
    <col min="14" max="14" width="8.5" customWidth="1"/>
    <col min="15" max="15" width="7.75" customWidth="1"/>
    <col min="16" max="17" width="7.875" customWidth="1"/>
    <col min="18" max="18" width="6.125" customWidth="1"/>
    <col min="19" max="19" width="7.625" customWidth="1"/>
    <col min="20" max="20" width="8.625" customWidth="1"/>
    <col min="21" max="22" width="8.125" customWidth="1"/>
    <col min="23" max="23" width="7.375" customWidth="1"/>
    <col min="24" max="24" width="5.875" customWidth="1"/>
    <col min="25" max="25" width="7.625" customWidth="1"/>
    <col min="26" max="26" width="8.375" hidden="1" customWidth="1" outlineLevel="1"/>
    <col min="27" max="28" width="0" hidden="1" customWidth="1" outlineLevel="1"/>
    <col min="29" max="29" width="7.25" hidden="1" customWidth="1" outlineLevel="1"/>
    <col min="30" max="30" width="6.125" hidden="1" customWidth="1" outlineLevel="1"/>
    <col min="31" max="31" width="7.75" hidden="1" customWidth="1" outlineLevel="1"/>
    <col min="32" max="32" width="8.625" collapsed="1"/>
  </cols>
  <sheetData>
    <row r="1" spans="1:31" ht="36.6" customHeight="1" x14ac:dyDescent="0.25">
      <c r="B1" s="120" t="s">
        <v>128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15"/>
      <c r="U1" s="115"/>
      <c r="V1" s="115"/>
      <c r="W1" s="115"/>
      <c r="X1" s="115"/>
      <c r="Y1" s="115"/>
    </row>
    <row r="3" spans="1:31" x14ac:dyDescent="0.25">
      <c r="Y3" t="s">
        <v>7</v>
      </c>
    </row>
    <row r="4" spans="1:31" ht="76.7" customHeight="1" x14ac:dyDescent="0.25">
      <c r="A4" s="129"/>
      <c r="B4" s="121" t="s">
        <v>94</v>
      </c>
      <c r="C4" s="121"/>
      <c r="D4" s="121"/>
      <c r="E4" s="121"/>
      <c r="F4" s="121"/>
      <c r="G4" s="121"/>
      <c r="H4" s="121" t="s">
        <v>87</v>
      </c>
      <c r="I4" s="121"/>
      <c r="J4" s="121"/>
      <c r="K4" s="121"/>
      <c r="L4" s="121"/>
      <c r="M4" s="121"/>
      <c r="N4" s="126" t="s">
        <v>86</v>
      </c>
      <c r="O4" s="127"/>
      <c r="P4" s="127"/>
      <c r="Q4" s="127"/>
      <c r="R4" s="127"/>
      <c r="S4" s="128"/>
      <c r="T4" s="126" t="s">
        <v>88</v>
      </c>
      <c r="U4" s="127"/>
      <c r="V4" s="127"/>
      <c r="W4" s="127"/>
      <c r="X4" s="127"/>
      <c r="Y4" s="128"/>
      <c r="Z4" s="126" t="s">
        <v>91</v>
      </c>
      <c r="AA4" s="127"/>
      <c r="AB4" s="127"/>
      <c r="AC4" s="127"/>
      <c r="AD4" s="127"/>
      <c r="AE4" s="128"/>
    </row>
    <row r="5" spans="1:31" ht="15.6" customHeight="1" x14ac:dyDescent="0.25">
      <c r="A5" s="130"/>
      <c r="B5" s="122" t="s">
        <v>8</v>
      </c>
      <c r="C5" s="122" t="s">
        <v>9</v>
      </c>
      <c r="D5" s="122"/>
      <c r="E5" s="122"/>
      <c r="F5" s="122"/>
      <c r="G5" s="122"/>
      <c r="H5" s="122" t="s">
        <v>8</v>
      </c>
      <c r="I5" s="122" t="s">
        <v>9</v>
      </c>
      <c r="J5" s="122"/>
      <c r="K5" s="122"/>
      <c r="L5" s="122"/>
      <c r="M5" s="122"/>
      <c r="N5" s="122" t="s">
        <v>8</v>
      </c>
      <c r="O5" s="122" t="s">
        <v>9</v>
      </c>
      <c r="P5" s="122"/>
      <c r="Q5" s="122"/>
      <c r="R5" s="122"/>
      <c r="S5" s="122"/>
      <c r="T5" s="122" t="s">
        <v>8</v>
      </c>
      <c r="U5" s="122" t="s">
        <v>9</v>
      </c>
      <c r="V5" s="122"/>
      <c r="W5" s="122"/>
      <c r="X5" s="122"/>
      <c r="Y5" s="122"/>
      <c r="Z5" s="122" t="s">
        <v>8</v>
      </c>
      <c r="AA5" s="122" t="s">
        <v>9</v>
      </c>
      <c r="AB5" s="122"/>
      <c r="AC5" s="122"/>
      <c r="AD5" s="122"/>
      <c r="AE5" s="122"/>
    </row>
    <row r="6" spans="1:31" ht="21" customHeight="1" x14ac:dyDescent="0.25">
      <c r="A6" s="130"/>
      <c r="B6" s="122"/>
      <c r="C6" s="123" t="s">
        <v>10</v>
      </c>
      <c r="D6" s="122" t="s">
        <v>11</v>
      </c>
      <c r="E6" s="122"/>
      <c r="F6" s="122"/>
      <c r="G6" s="122"/>
      <c r="H6" s="122"/>
      <c r="I6" s="123" t="s">
        <v>10</v>
      </c>
      <c r="J6" s="122" t="s">
        <v>11</v>
      </c>
      <c r="K6" s="122"/>
      <c r="L6" s="122"/>
      <c r="M6" s="122"/>
      <c r="N6" s="122"/>
      <c r="O6" s="122" t="s">
        <v>82</v>
      </c>
      <c r="P6" s="122" t="s">
        <v>11</v>
      </c>
      <c r="Q6" s="122"/>
      <c r="R6" s="122"/>
      <c r="S6" s="122"/>
      <c r="T6" s="122"/>
      <c r="U6" s="122" t="s">
        <v>89</v>
      </c>
      <c r="V6" s="122" t="s">
        <v>11</v>
      </c>
      <c r="W6" s="122"/>
      <c r="X6" s="122"/>
      <c r="Y6" s="122"/>
      <c r="Z6" s="122"/>
      <c r="AA6" s="122" t="s">
        <v>92</v>
      </c>
      <c r="AB6" s="122" t="s">
        <v>11</v>
      </c>
      <c r="AC6" s="122"/>
      <c r="AD6" s="122"/>
      <c r="AE6" s="122"/>
    </row>
    <row r="7" spans="1:31" ht="21" customHeight="1" x14ac:dyDescent="0.25">
      <c r="A7" s="130"/>
      <c r="B7" s="122"/>
      <c r="C7" s="124"/>
      <c r="D7" s="122" t="s">
        <v>0</v>
      </c>
      <c r="E7" s="122" t="s">
        <v>12</v>
      </c>
      <c r="F7" s="122"/>
      <c r="G7" s="122"/>
      <c r="H7" s="122"/>
      <c r="I7" s="124"/>
      <c r="J7" s="122" t="s">
        <v>0</v>
      </c>
      <c r="K7" s="122" t="s">
        <v>12</v>
      </c>
      <c r="L7" s="122"/>
      <c r="M7" s="122"/>
      <c r="N7" s="122"/>
      <c r="O7" s="122"/>
      <c r="P7" s="122" t="s">
        <v>0</v>
      </c>
      <c r="Q7" s="122" t="s">
        <v>12</v>
      </c>
      <c r="R7" s="122"/>
      <c r="S7" s="122"/>
      <c r="T7" s="122"/>
      <c r="U7" s="122"/>
      <c r="V7" s="122" t="s">
        <v>0</v>
      </c>
      <c r="W7" s="122" t="s">
        <v>12</v>
      </c>
      <c r="X7" s="122"/>
      <c r="Y7" s="122"/>
      <c r="Z7" s="122"/>
      <c r="AA7" s="122"/>
      <c r="AB7" s="122" t="s">
        <v>0</v>
      </c>
      <c r="AC7" s="122" t="s">
        <v>12</v>
      </c>
      <c r="AD7" s="122"/>
      <c r="AE7" s="122"/>
    </row>
    <row r="8" spans="1:31" ht="21" customHeight="1" x14ac:dyDescent="0.25">
      <c r="A8" s="130"/>
      <c r="B8" s="122"/>
      <c r="C8" s="124"/>
      <c r="D8" s="122"/>
      <c r="E8" s="122" t="s">
        <v>13</v>
      </c>
      <c r="F8" s="122" t="s">
        <v>14</v>
      </c>
      <c r="G8" s="122"/>
      <c r="H8" s="122"/>
      <c r="I8" s="124"/>
      <c r="J8" s="122"/>
      <c r="K8" s="122" t="s">
        <v>13</v>
      </c>
      <c r="L8" s="122" t="s">
        <v>14</v>
      </c>
      <c r="M8" s="122"/>
      <c r="N8" s="122"/>
      <c r="O8" s="122"/>
      <c r="P8" s="122"/>
      <c r="Q8" s="122" t="s">
        <v>24</v>
      </c>
      <c r="R8" s="122" t="s">
        <v>14</v>
      </c>
      <c r="S8" s="122"/>
      <c r="T8" s="122"/>
      <c r="U8" s="122"/>
      <c r="V8" s="122"/>
      <c r="W8" s="122" t="s">
        <v>90</v>
      </c>
      <c r="X8" s="122" t="s">
        <v>14</v>
      </c>
      <c r="Y8" s="122"/>
      <c r="Z8" s="122"/>
      <c r="AA8" s="122"/>
      <c r="AB8" s="122"/>
      <c r="AC8" s="122" t="s">
        <v>93</v>
      </c>
      <c r="AD8" s="122" t="s">
        <v>14</v>
      </c>
      <c r="AE8" s="122"/>
    </row>
    <row r="9" spans="1:31" ht="30" customHeight="1" x14ac:dyDescent="0.25">
      <c r="A9" s="131"/>
      <c r="B9" s="122"/>
      <c r="C9" s="125"/>
      <c r="D9" s="122"/>
      <c r="E9" s="122"/>
      <c r="F9" s="19" t="s">
        <v>22</v>
      </c>
      <c r="G9" s="19" t="s">
        <v>15</v>
      </c>
      <c r="H9" s="122"/>
      <c r="I9" s="125"/>
      <c r="J9" s="122"/>
      <c r="K9" s="122"/>
      <c r="L9" s="19" t="s">
        <v>22</v>
      </c>
      <c r="M9" s="19" t="s">
        <v>15</v>
      </c>
      <c r="N9" s="122"/>
      <c r="O9" s="122"/>
      <c r="P9" s="122"/>
      <c r="Q9" s="122"/>
      <c r="R9" s="19" t="s">
        <v>22</v>
      </c>
      <c r="S9" s="19" t="s">
        <v>15</v>
      </c>
      <c r="T9" s="122"/>
      <c r="U9" s="122"/>
      <c r="V9" s="122"/>
      <c r="W9" s="122"/>
      <c r="X9" s="19" t="s">
        <v>22</v>
      </c>
      <c r="Y9" s="19" t="s">
        <v>15</v>
      </c>
      <c r="Z9" s="122"/>
      <c r="AA9" s="122"/>
      <c r="AB9" s="122"/>
      <c r="AC9" s="122"/>
      <c r="AD9" s="19" t="s">
        <v>22</v>
      </c>
      <c r="AE9" s="19" t="s">
        <v>15</v>
      </c>
    </row>
    <row r="10" spans="1:31" x14ac:dyDescent="0.25">
      <c r="A10" s="20" t="s">
        <v>142</v>
      </c>
      <c r="B10" s="21">
        <v>15664000</v>
      </c>
      <c r="C10" s="22">
        <v>658627</v>
      </c>
      <c r="D10" s="22">
        <f t="shared" ref="D10:D19" si="0">B10-C10</f>
        <v>15005373</v>
      </c>
      <c r="E10" s="22">
        <v>7664784</v>
      </c>
      <c r="F10" s="22">
        <f>ROUND(G10/E10*100,1)</f>
        <v>95.8</v>
      </c>
      <c r="G10" s="22">
        <f>D10-E10</f>
        <v>7340589</v>
      </c>
      <c r="H10" s="21">
        <v>16006000</v>
      </c>
      <c r="I10" s="22">
        <v>658627</v>
      </c>
      <c r="J10" s="22">
        <f t="shared" ref="J10:J19" si="1">H10-I10</f>
        <v>15347373</v>
      </c>
      <c r="K10" s="22">
        <v>7664784</v>
      </c>
      <c r="L10" s="22">
        <f>ROUND(M10/K10*100,1)</f>
        <v>100.2</v>
      </c>
      <c r="M10" s="22">
        <f>J10-K10</f>
        <v>7682589</v>
      </c>
      <c r="N10" s="21">
        <v>18131000</v>
      </c>
      <c r="O10" s="22">
        <v>658627</v>
      </c>
      <c r="P10" s="22">
        <f t="shared" ref="P10:P19" si="2">N10-O10</f>
        <v>17472373</v>
      </c>
      <c r="Q10" s="22">
        <f>K10</f>
        <v>7664784</v>
      </c>
      <c r="R10" s="22">
        <f>ROUND(S10/Q10*100,1)</f>
        <v>128</v>
      </c>
      <c r="S10" s="22">
        <f>P10-Q10</f>
        <v>9807589</v>
      </c>
      <c r="T10" s="21">
        <f>N10</f>
        <v>18131000</v>
      </c>
      <c r="U10" s="22">
        <f>ROUND(O10*1.1,0)</f>
        <v>724490</v>
      </c>
      <c r="V10" s="22">
        <f>T10-U10</f>
        <v>17406510</v>
      </c>
      <c r="W10" s="22">
        <f>ROUND(Q10*1.1,0)</f>
        <v>8431262</v>
      </c>
      <c r="X10" s="22">
        <f>ROUND(Y10/W10*100,1)</f>
        <v>106.5</v>
      </c>
      <c r="Y10" s="22">
        <f>V10-W10</f>
        <v>8975248</v>
      </c>
      <c r="Z10" s="21">
        <f>T10</f>
        <v>18131000</v>
      </c>
      <c r="AA10" s="22">
        <f>ROUND(O10*1.15,0)</f>
        <v>757421</v>
      </c>
      <c r="AB10" s="22">
        <f>Z10-AA10</f>
        <v>17373579</v>
      </c>
      <c r="AC10" s="22">
        <f>ROUND(Q10*1.15,0)</f>
        <v>8814502</v>
      </c>
      <c r="AD10" s="22">
        <f>ROUND(AE10/AC10*100,1)</f>
        <v>97.1</v>
      </c>
      <c r="AE10" s="22">
        <f>AB10-AC10</f>
        <v>8559077</v>
      </c>
    </row>
    <row r="11" spans="1:31" x14ac:dyDescent="0.25">
      <c r="A11" s="20" t="s">
        <v>143</v>
      </c>
      <c r="B11" s="21">
        <v>4086000</v>
      </c>
      <c r="C11" s="22">
        <v>613721</v>
      </c>
      <c r="D11" s="22">
        <f t="shared" si="0"/>
        <v>3472279</v>
      </c>
      <c r="E11" s="22">
        <v>1935504</v>
      </c>
      <c r="F11" s="22">
        <f t="shared" ref="F11:F20" si="3">ROUND(G11/E11*100,1)</f>
        <v>79.400000000000006</v>
      </c>
      <c r="G11" s="22">
        <f t="shared" ref="G11:G19" si="4">D11-E11</f>
        <v>1536775</v>
      </c>
      <c r="H11" s="21">
        <v>4175000</v>
      </c>
      <c r="I11" s="22">
        <v>613721</v>
      </c>
      <c r="J11" s="22">
        <f t="shared" si="1"/>
        <v>3561279</v>
      </c>
      <c r="K11" s="22">
        <v>1935504</v>
      </c>
      <c r="L11" s="22">
        <f t="shared" ref="L11:L25" si="5">ROUND(M11/K11*100,1)</f>
        <v>84</v>
      </c>
      <c r="M11" s="22">
        <f t="shared" ref="M11:M24" si="6">J11-K11</f>
        <v>1625775</v>
      </c>
      <c r="N11" s="21">
        <v>4731000</v>
      </c>
      <c r="O11" s="22">
        <v>613721</v>
      </c>
      <c r="P11" s="22">
        <f t="shared" si="2"/>
        <v>4117279</v>
      </c>
      <c r="Q11" s="22">
        <f t="shared" ref="Q11:Q24" si="7">K11</f>
        <v>1935504</v>
      </c>
      <c r="R11" s="22">
        <f t="shared" ref="R11:R20" si="8">ROUND(S11/Q11*100,1)</f>
        <v>112.7</v>
      </c>
      <c r="S11" s="22">
        <f t="shared" ref="S11:S19" si="9">P11-Q11</f>
        <v>2181775</v>
      </c>
      <c r="T11" s="21">
        <f t="shared" ref="T11:T24" si="10">N11</f>
        <v>4731000</v>
      </c>
      <c r="U11" s="22">
        <f t="shared" ref="U11:U19" si="11">ROUND(O11*1.1,0)</f>
        <v>675093</v>
      </c>
      <c r="V11" s="22">
        <f t="shared" ref="V11:V24" si="12">T11-U11</f>
        <v>4055907</v>
      </c>
      <c r="W11" s="22">
        <f t="shared" ref="W11:W19" si="13">ROUND(Q11*1.1,0)</f>
        <v>2129054</v>
      </c>
      <c r="X11" s="22">
        <f t="shared" ref="X11:X25" si="14">ROUND(Y11/W11*100,1)</f>
        <v>90.5</v>
      </c>
      <c r="Y11" s="22">
        <f t="shared" ref="Y11:Y24" si="15">V11-W11</f>
        <v>1926853</v>
      </c>
      <c r="Z11" s="21">
        <f t="shared" ref="Z11:Z24" si="16">T11</f>
        <v>4731000</v>
      </c>
      <c r="AA11" s="22">
        <f t="shared" ref="AA11:AA24" si="17">ROUND(O11*1.15,0)</f>
        <v>705779</v>
      </c>
      <c r="AB11" s="22">
        <f t="shared" ref="AB11:AB19" si="18">Z11-AA11</f>
        <v>4025221</v>
      </c>
      <c r="AC11" s="22">
        <f t="shared" ref="AC11:AC24" si="19">ROUND(Q11*1.15,0)</f>
        <v>2225830</v>
      </c>
      <c r="AD11" s="22">
        <f t="shared" ref="AD11:AD20" si="20">ROUND(AE11/AC11*100,1)</f>
        <v>80.8</v>
      </c>
      <c r="AE11" s="22">
        <f t="shared" ref="AE11:AE19" si="21">AB11-AC11</f>
        <v>1799391</v>
      </c>
    </row>
    <row r="12" spans="1:31" x14ac:dyDescent="0.25">
      <c r="A12" s="20" t="s">
        <v>144</v>
      </c>
      <c r="B12" s="21">
        <v>8772000</v>
      </c>
      <c r="C12" s="22">
        <v>613721</v>
      </c>
      <c r="D12" s="22">
        <f t="shared" si="0"/>
        <v>8158279</v>
      </c>
      <c r="E12" s="22">
        <v>4129854</v>
      </c>
      <c r="F12" s="22">
        <f t="shared" si="3"/>
        <v>97.5</v>
      </c>
      <c r="G12" s="22">
        <f t="shared" si="4"/>
        <v>4028425</v>
      </c>
      <c r="H12" s="21">
        <v>8963000</v>
      </c>
      <c r="I12" s="22">
        <v>613721</v>
      </c>
      <c r="J12" s="22">
        <f t="shared" si="1"/>
        <v>8349279</v>
      </c>
      <c r="K12" s="22">
        <v>4129854</v>
      </c>
      <c r="L12" s="22">
        <f t="shared" si="5"/>
        <v>102.2</v>
      </c>
      <c r="M12" s="22">
        <f t="shared" si="6"/>
        <v>4219425</v>
      </c>
      <c r="N12" s="21">
        <v>10155000</v>
      </c>
      <c r="O12" s="22">
        <v>613721</v>
      </c>
      <c r="P12" s="22">
        <f t="shared" si="2"/>
        <v>9541279</v>
      </c>
      <c r="Q12" s="22">
        <f t="shared" si="7"/>
        <v>4129854</v>
      </c>
      <c r="R12" s="22">
        <f t="shared" si="8"/>
        <v>131</v>
      </c>
      <c r="S12" s="22">
        <f t="shared" si="9"/>
        <v>5411425</v>
      </c>
      <c r="T12" s="21">
        <f t="shared" si="10"/>
        <v>10155000</v>
      </c>
      <c r="U12" s="22">
        <f t="shared" si="11"/>
        <v>675093</v>
      </c>
      <c r="V12" s="22">
        <f t="shared" si="12"/>
        <v>9479907</v>
      </c>
      <c r="W12" s="22">
        <f t="shared" si="13"/>
        <v>4542839</v>
      </c>
      <c r="X12" s="22">
        <f t="shared" si="14"/>
        <v>108.7</v>
      </c>
      <c r="Y12" s="22">
        <f t="shared" si="15"/>
        <v>4937068</v>
      </c>
      <c r="Z12" s="21">
        <f t="shared" si="16"/>
        <v>10155000</v>
      </c>
      <c r="AA12" s="22">
        <f t="shared" si="17"/>
        <v>705779</v>
      </c>
      <c r="AB12" s="22">
        <f t="shared" si="18"/>
        <v>9449221</v>
      </c>
      <c r="AC12" s="22">
        <f t="shared" si="19"/>
        <v>4749332</v>
      </c>
      <c r="AD12" s="22">
        <f t="shared" si="20"/>
        <v>99</v>
      </c>
      <c r="AE12" s="22">
        <f t="shared" si="21"/>
        <v>4699889</v>
      </c>
    </row>
    <row r="13" spans="1:31" x14ac:dyDescent="0.25">
      <c r="A13" s="23" t="s">
        <v>16</v>
      </c>
      <c r="B13" s="4">
        <v>65954000</v>
      </c>
      <c r="C13" s="22">
        <v>658627</v>
      </c>
      <c r="D13" s="22">
        <f t="shared" si="0"/>
        <v>65295373</v>
      </c>
      <c r="E13" s="22">
        <v>39918702</v>
      </c>
      <c r="F13" s="22">
        <f t="shared" si="3"/>
        <v>63.6</v>
      </c>
      <c r="G13" s="22">
        <f t="shared" si="4"/>
        <v>25376671</v>
      </c>
      <c r="H13" s="4">
        <v>67393000</v>
      </c>
      <c r="I13" s="22">
        <v>658627</v>
      </c>
      <c r="J13" s="22">
        <f t="shared" si="1"/>
        <v>66734373</v>
      </c>
      <c r="K13" s="22">
        <v>39918702</v>
      </c>
      <c r="L13" s="22">
        <f t="shared" si="5"/>
        <v>67.2</v>
      </c>
      <c r="M13" s="22">
        <f t="shared" si="6"/>
        <v>26815671</v>
      </c>
      <c r="N13" s="4">
        <v>76329000</v>
      </c>
      <c r="O13" s="22">
        <v>658627</v>
      </c>
      <c r="P13" s="22">
        <f t="shared" si="2"/>
        <v>75670373</v>
      </c>
      <c r="Q13" s="22">
        <f t="shared" si="7"/>
        <v>39918702</v>
      </c>
      <c r="R13" s="22">
        <f t="shared" si="8"/>
        <v>89.6</v>
      </c>
      <c r="S13" s="22">
        <f t="shared" si="9"/>
        <v>35751671</v>
      </c>
      <c r="T13" s="21">
        <f t="shared" si="10"/>
        <v>76329000</v>
      </c>
      <c r="U13" s="22">
        <f t="shared" si="11"/>
        <v>724490</v>
      </c>
      <c r="V13" s="22">
        <f t="shared" si="12"/>
        <v>75604510</v>
      </c>
      <c r="W13" s="22">
        <f t="shared" si="13"/>
        <v>43910572</v>
      </c>
      <c r="X13" s="22">
        <f t="shared" si="14"/>
        <v>72.2</v>
      </c>
      <c r="Y13" s="22">
        <f t="shared" si="15"/>
        <v>31693938</v>
      </c>
      <c r="Z13" s="21">
        <f t="shared" si="16"/>
        <v>76329000</v>
      </c>
      <c r="AA13" s="22">
        <f t="shared" si="17"/>
        <v>757421</v>
      </c>
      <c r="AB13" s="22">
        <f t="shared" si="18"/>
        <v>75571579</v>
      </c>
      <c r="AC13" s="22">
        <f t="shared" si="19"/>
        <v>45906507</v>
      </c>
      <c r="AD13" s="22">
        <f t="shared" si="20"/>
        <v>64.599999999999994</v>
      </c>
      <c r="AE13" s="22">
        <f t="shared" si="21"/>
        <v>29665072</v>
      </c>
    </row>
    <row r="14" spans="1:31" x14ac:dyDescent="0.25">
      <c r="A14" s="23" t="s">
        <v>1</v>
      </c>
      <c r="B14" s="4">
        <v>30777000</v>
      </c>
      <c r="C14" s="22">
        <v>613721</v>
      </c>
      <c r="D14" s="22">
        <f t="shared" si="0"/>
        <v>30163279</v>
      </c>
      <c r="E14" s="22">
        <v>18477156</v>
      </c>
      <c r="F14" s="22">
        <f t="shared" si="3"/>
        <v>63.2</v>
      </c>
      <c r="G14" s="22">
        <f t="shared" si="4"/>
        <v>11686123</v>
      </c>
      <c r="H14" s="4">
        <v>31449000</v>
      </c>
      <c r="I14" s="22">
        <v>613721</v>
      </c>
      <c r="J14" s="22">
        <f t="shared" si="1"/>
        <v>30835279</v>
      </c>
      <c r="K14" s="22">
        <v>18477156</v>
      </c>
      <c r="L14" s="22">
        <f t="shared" si="5"/>
        <v>66.900000000000006</v>
      </c>
      <c r="M14" s="22">
        <f t="shared" si="6"/>
        <v>12358123</v>
      </c>
      <c r="N14" s="4">
        <v>35626000</v>
      </c>
      <c r="O14" s="22">
        <v>613721</v>
      </c>
      <c r="P14" s="22">
        <f t="shared" si="2"/>
        <v>35012279</v>
      </c>
      <c r="Q14" s="22">
        <f t="shared" si="7"/>
        <v>18477156</v>
      </c>
      <c r="R14" s="22">
        <f t="shared" si="8"/>
        <v>89.5</v>
      </c>
      <c r="S14" s="22">
        <f t="shared" si="9"/>
        <v>16535123</v>
      </c>
      <c r="T14" s="21">
        <f t="shared" si="10"/>
        <v>35626000</v>
      </c>
      <c r="U14" s="22">
        <f t="shared" si="11"/>
        <v>675093</v>
      </c>
      <c r="V14" s="22">
        <f t="shared" si="12"/>
        <v>34950907</v>
      </c>
      <c r="W14" s="22">
        <f t="shared" si="13"/>
        <v>20324872</v>
      </c>
      <c r="X14" s="22">
        <f t="shared" si="14"/>
        <v>72</v>
      </c>
      <c r="Y14" s="22">
        <f t="shared" si="15"/>
        <v>14626035</v>
      </c>
      <c r="Z14" s="21">
        <f t="shared" si="16"/>
        <v>35626000</v>
      </c>
      <c r="AA14" s="22">
        <f t="shared" si="17"/>
        <v>705779</v>
      </c>
      <c r="AB14" s="22">
        <f t="shared" si="18"/>
        <v>34920221</v>
      </c>
      <c r="AC14" s="22">
        <f t="shared" si="19"/>
        <v>21248729</v>
      </c>
      <c r="AD14" s="22">
        <f t="shared" si="20"/>
        <v>64.3</v>
      </c>
      <c r="AE14" s="22">
        <f t="shared" si="21"/>
        <v>13671492</v>
      </c>
    </row>
    <row r="15" spans="1:31" x14ac:dyDescent="0.25">
      <c r="A15" s="20" t="s">
        <v>146</v>
      </c>
      <c r="B15" s="21">
        <v>35548000</v>
      </c>
      <c r="C15" s="22">
        <v>1147000</v>
      </c>
      <c r="D15" s="22">
        <f t="shared" si="0"/>
        <v>34401000</v>
      </c>
      <c r="E15" s="22">
        <v>22561938</v>
      </c>
      <c r="F15" s="22">
        <f t="shared" si="3"/>
        <v>52.5</v>
      </c>
      <c r="G15" s="22">
        <f t="shared" si="4"/>
        <v>11839062</v>
      </c>
      <c r="H15" s="21">
        <v>36324000</v>
      </c>
      <c r="I15" s="22">
        <v>1147000</v>
      </c>
      <c r="J15" s="22">
        <f t="shared" si="1"/>
        <v>35177000</v>
      </c>
      <c r="K15" s="22">
        <v>22561938</v>
      </c>
      <c r="L15" s="22">
        <f t="shared" si="5"/>
        <v>55.9</v>
      </c>
      <c r="M15" s="22">
        <f t="shared" si="6"/>
        <v>12615062</v>
      </c>
      <c r="N15" s="21">
        <v>41156000</v>
      </c>
      <c r="O15" s="22">
        <v>1147000</v>
      </c>
      <c r="P15" s="22">
        <f t="shared" si="2"/>
        <v>40009000</v>
      </c>
      <c r="Q15" s="22">
        <f t="shared" si="7"/>
        <v>22561938</v>
      </c>
      <c r="R15" s="22">
        <f t="shared" si="8"/>
        <v>77.3</v>
      </c>
      <c r="S15" s="22">
        <f t="shared" si="9"/>
        <v>17447062</v>
      </c>
      <c r="T15" s="21">
        <f t="shared" si="10"/>
        <v>41156000</v>
      </c>
      <c r="U15" s="22">
        <f t="shared" si="11"/>
        <v>1261700</v>
      </c>
      <c r="V15" s="22">
        <f t="shared" si="12"/>
        <v>39894300</v>
      </c>
      <c r="W15" s="22">
        <f t="shared" si="13"/>
        <v>24818132</v>
      </c>
      <c r="X15" s="22">
        <f t="shared" si="14"/>
        <v>60.7</v>
      </c>
      <c r="Y15" s="22">
        <f t="shared" si="15"/>
        <v>15076168</v>
      </c>
      <c r="Z15" s="21">
        <f t="shared" si="16"/>
        <v>41156000</v>
      </c>
      <c r="AA15" s="22">
        <f t="shared" si="17"/>
        <v>1319050</v>
      </c>
      <c r="AB15" s="22">
        <f t="shared" si="18"/>
        <v>39836950</v>
      </c>
      <c r="AC15" s="22">
        <f t="shared" si="19"/>
        <v>25946229</v>
      </c>
      <c r="AD15" s="22">
        <f t="shared" si="20"/>
        <v>53.5</v>
      </c>
      <c r="AE15" s="22">
        <f t="shared" si="21"/>
        <v>13890721</v>
      </c>
    </row>
    <row r="16" spans="1:31" x14ac:dyDescent="0.25">
      <c r="A16" s="20" t="s">
        <v>17</v>
      </c>
      <c r="B16" s="21">
        <v>18063000</v>
      </c>
      <c r="C16" s="22">
        <v>613721</v>
      </c>
      <c r="D16" s="22">
        <f t="shared" si="0"/>
        <v>17449279</v>
      </c>
      <c r="E16" s="22">
        <v>11184564</v>
      </c>
      <c r="F16" s="22">
        <f t="shared" si="3"/>
        <v>56</v>
      </c>
      <c r="G16" s="22">
        <f t="shared" si="4"/>
        <v>6264715</v>
      </c>
      <c r="H16" s="21">
        <v>18457000</v>
      </c>
      <c r="I16" s="22">
        <v>613721</v>
      </c>
      <c r="J16" s="22">
        <f t="shared" si="1"/>
        <v>17843279</v>
      </c>
      <c r="K16" s="22">
        <v>11184564</v>
      </c>
      <c r="L16" s="22">
        <f t="shared" si="5"/>
        <v>59.5</v>
      </c>
      <c r="M16" s="22">
        <f t="shared" si="6"/>
        <v>6658715</v>
      </c>
      <c r="N16" s="21">
        <v>20906000</v>
      </c>
      <c r="O16" s="22">
        <v>613721</v>
      </c>
      <c r="P16" s="22">
        <f t="shared" si="2"/>
        <v>20292279</v>
      </c>
      <c r="Q16" s="22">
        <f t="shared" si="7"/>
        <v>11184564</v>
      </c>
      <c r="R16" s="22">
        <f t="shared" si="8"/>
        <v>81.400000000000006</v>
      </c>
      <c r="S16" s="22">
        <f t="shared" si="9"/>
        <v>9107715</v>
      </c>
      <c r="T16" s="21">
        <f t="shared" si="10"/>
        <v>20906000</v>
      </c>
      <c r="U16" s="22">
        <f t="shared" si="11"/>
        <v>675093</v>
      </c>
      <c r="V16" s="22">
        <f t="shared" si="12"/>
        <v>20230907</v>
      </c>
      <c r="W16" s="22">
        <f t="shared" si="13"/>
        <v>12303020</v>
      </c>
      <c r="X16" s="22">
        <f t="shared" si="14"/>
        <v>64.400000000000006</v>
      </c>
      <c r="Y16" s="22">
        <f t="shared" si="15"/>
        <v>7927887</v>
      </c>
      <c r="Z16" s="21">
        <f t="shared" si="16"/>
        <v>20906000</v>
      </c>
      <c r="AA16" s="22">
        <f t="shared" si="17"/>
        <v>705779</v>
      </c>
      <c r="AB16" s="22">
        <f t="shared" si="18"/>
        <v>20200221</v>
      </c>
      <c r="AC16" s="22">
        <f t="shared" si="19"/>
        <v>12862249</v>
      </c>
      <c r="AD16" s="22">
        <f t="shared" si="20"/>
        <v>57.1</v>
      </c>
      <c r="AE16" s="22">
        <f t="shared" si="21"/>
        <v>7337972</v>
      </c>
    </row>
    <row r="17" spans="1:31" x14ac:dyDescent="0.25">
      <c r="A17" s="20" t="s">
        <v>2</v>
      </c>
      <c r="B17" s="21">
        <v>23609000</v>
      </c>
      <c r="C17" s="22">
        <v>658627</v>
      </c>
      <c r="D17" s="22">
        <f t="shared" si="0"/>
        <v>22950373</v>
      </c>
      <c r="E17" s="22">
        <v>13706550</v>
      </c>
      <c r="F17" s="22">
        <f t="shared" si="3"/>
        <v>67.400000000000006</v>
      </c>
      <c r="G17" s="22">
        <f t="shared" si="4"/>
        <v>9243823</v>
      </c>
      <c r="H17" s="21">
        <v>24124000</v>
      </c>
      <c r="I17" s="22">
        <v>658627</v>
      </c>
      <c r="J17" s="22">
        <f t="shared" si="1"/>
        <v>23465373</v>
      </c>
      <c r="K17" s="22">
        <v>13706550</v>
      </c>
      <c r="L17" s="22">
        <f t="shared" si="5"/>
        <v>71.2</v>
      </c>
      <c r="M17" s="22">
        <f t="shared" si="6"/>
        <v>9758823</v>
      </c>
      <c r="N17" s="21">
        <v>27325000</v>
      </c>
      <c r="O17" s="22">
        <v>658627</v>
      </c>
      <c r="P17" s="22">
        <f t="shared" si="2"/>
        <v>26666373</v>
      </c>
      <c r="Q17" s="22">
        <f t="shared" si="7"/>
        <v>13706550</v>
      </c>
      <c r="R17" s="22">
        <f t="shared" si="8"/>
        <v>94.6</v>
      </c>
      <c r="S17" s="22">
        <f t="shared" si="9"/>
        <v>12959823</v>
      </c>
      <c r="T17" s="21">
        <f t="shared" si="10"/>
        <v>27325000</v>
      </c>
      <c r="U17" s="22">
        <f t="shared" si="11"/>
        <v>724490</v>
      </c>
      <c r="V17" s="22">
        <f t="shared" si="12"/>
        <v>26600510</v>
      </c>
      <c r="W17" s="22">
        <f t="shared" si="13"/>
        <v>15077205</v>
      </c>
      <c r="X17" s="22">
        <f t="shared" si="14"/>
        <v>76.400000000000006</v>
      </c>
      <c r="Y17" s="22">
        <f t="shared" si="15"/>
        <v>11523305</v>
      </c>
      <c r="Z17" s="21">
        <f t="shared" si="16"/>
        <v>27325000</v>
      </c>
      <c r="AA17" s="22">
        <f t="shared" si="17"/>
        <v>757421</v>
      </c>
      <c r="AB17" s="22">
        <f t="shared" si="18"/>
        <v>26567579</v>
      </c>
      <c r="AC17" s="22">
        <f t="shared" si="19"/>
        <v>15762533</v>
      </c>
      <c r="AD17" s="22">
        <f t="shared" si="20"/>
        <v>68.5</v>
      </c>
      <c r="AE17" s="22">
        <f t="shared" si="21"/>
        <v>10805046</v>
      </c>
    </row>
    <row r="18" spans="1:31" x14ac:dyDescent="0.25">
      <c r="A18" s="24" t="s">
        <v>3</v>
      </c>
      <c r="B18" s="21">
        <v>16141000</v>
      </c>
      <c r="C18" s="22">
        <v>1050430</v>
      </c>
      <c r="D18" s="22">
        <f t="shared" si="0"/>
        <v>15090570</v>
      </c>
      <c r="E18" s="22">
        <f>10008996</f>
        <v>10008996</v>
      </c>
      <c r="F18" s="22">
        <f t="shared" si="3"/>
        <v>50.8</v>
      </c>
      <c r="G18" s="22">
        <f t="shared" si="4"/>
        <v>5081574</v>
      </c>
      <c r="H18" s="21">
        <v>16493000</v>
      </c>
      <c r="I18" s="22">
        <v>1050430</v>
      </c>
      <c r="J18" s="22">
        <f t="shared" si="1"/>
        <v>15442570</v>
      </c>
      <c r="K18" s="22">
        <f>10008996</f>
        <v>10008996</v>
      </c>
      <c r="L18" s="22">
        <f t="shared" si="5"/>
        <v>54.3</v>
      </c>
      <c r="M18" s="22">
        <f t="shared" si="6"/>
        <v>5433574</v>
      </c>
      <c r="N18" s="21">
        <v>19168000</v>
      </c>
      <c r="O18" s="22">
        <v>1050430</v>
      </c>
      <c r="P18" s="22">
        <f t="shared" si="2"/>
        <v>18117570</v>
      </c>
      <c r="Q18" s="22">
        <f>K18+275892</f>
        <v>10284888</v>
      </c>
      <c r="R18" s="22">
        <f t="shared" si="8"/>
        <v>76.2</v>
      </c>
      <c r="S18" s="22">
        <f t="shared" si="9"/>
        <v>7832682</v>
      </c>
      <c r="T18" s="21">
        <f t="shared" si="10"/>
        <v>19168000</v>
      </c>
      <c r="U18" s="22">
        <f t="shared" si="11"/>
        <v>1155473</v>
      </c>
      <c r="V18" s="22">
        <f t="shared" si="12"/>
        <v>18012527</v>
      </c>
      <c r="W18" s="22">
        <f t="shared" si="13"/>
        <v>11313377</v>
      </c>
      <c r="X18" s="22">
        <f t="shared" si="14"/>
        <v>59.2</v>
      </c>
      <c r="Y18" s="22">
        <f t="shared" si="15"/>
        <v>6699150</v>
      </c>
      <c r="Z18" s="21">
        <f t="shared" si="16"/>
        <v>19168000</v>
      </c>
      <c r="AA18" s="22">
        <f t="shared" si="17"/>
        <v>1207995</v>
      </c>
      <c r="AB18" s="22">
        <f t="shared" si="18"/>
        <v>17960005</v>
      </c>
      <c r="AC18" s="22">
        <f t="shared" si="19"/>
        <v>11827621</v>
      </c>
      <c r="AD18" s="22">
        <f t="shared" si="20"/>
        <v>51.8</v>
      </c>
      <c r="AE18" s="22">
        <f t="shared" si="21"/>
        <v>6132384</v>
      </c>
    </row>
    <row r="19" spans="1:31" x14ac:dyDescent="0.25">
      <c r="A19" s="20" t="s">
        <v>4</v>
      </c>
      <c r="B19" s="21">
        <v>13302000</v>
      </c>
      <c r="C19" s="22">
        <v>658627</v>
      </c>
      <c r="D19" s="22">
        <f t="shared" si="0"/>
        <v>12643373</v>
      </c>
      <c r="E19" s="22">
        <v>6719322</v>
      </c>
      <c r="F19" s="22">
        <f t="shared" si="3"/>
        <v>88.2</v>
      </c>
      <c r="G19" s="22">
        <f t="shared" si="4"/>
        <v>5924051</v>
      </c>
      <c r="H19" s="21">
        <v>13592000</v>
      </c>
      <c r="I19" s="22">
        <v>658627</v>
      </c>
      <c r="J19" s="22">
        <f t="shared" si="1"/>
        <v>12933373</v>
      </c>
      <c r="K19" s="22">
        <v>6719322</v>
      </c>
      <c r="L19" s="22">
        <f t="shared" si="5"/>
        <v>92.5</v>
      </c>
      <c r="M19" s="22">
        <f t="shared" si="6"/>
        <v>6214051</v>
      </c>
      <c r="N19" s="21">
        <v>15400000</v>
      </c>
      <c r="O19" s="22">
        <v>658627</v>
      </c>
      <c r="P19" s="22">
        <f t="shared" si="2"/>
        <v>14741373</v>
      </c>
      <c r="Q19" s="22">
        <f t="shared" si="7"/>
        <v>6719322</v>
      </c>
      <c r="R19" s="22">
        <f t="shared" si="8"/>
        <v>119.4</v>
      </c>
      <c r="S19" s="22">
        <f t="shared" si="9"/>
        <v>8022051</v>
      </c>
      <c r="T19" s="21">
        <f t="shared" si="10"/>
        <v>15400000</v>
      </c>
      <c r="U19" s="22">
        <f t="shared" si="11"/>
        <v>724490</v>
      </c>
      <c r="V19" s="22">
        <f t="shared" si="12"/>
        <v>14675510</v>
      </c>
      <c r="W19" s="22">
        <f t="shared" si="13"/>
        <v>7391254</v>
      </c>
      <c r="X19" s="22">
        <f t="shared" si="14"/>
        <v>98.6</v>
      </c>
      <c r="Y19" s="22">
        <f t="shared" si="15"/>
        <v>7284256</v>
      </c>
      <c r="Z19" s="21">
        <f t="shared" si="16"/>
        <v>15400000</v>
      </c>
      <c r="AA19" s="22">
        <f t="shared" si="17"/>
        <v>757421</v>
      </c>
      <c r="AB19" s="22">
        <f t="shared" si="18"/>
        <v>14642579</v>
      </c>
      <c r="AC19" s="22">
        <f t="shared" si="19"/>
        <v>7727220</v>
      </c>
      <c r="AD19" s="22">
        <f t="shared" si="20"/>
        <v>89.5</v>
      </c>
      <c r="AE19" s="22">
        <f t="shared" si="21"/>
        <v>6915359</v>
      </c>
    </row>
    <row r="20" spans="1:31" x14ac:dyDescent="0.25">
      <c r="A20" s="24" t="s">
        <v>148</v>
      </c>
      <c r="B20" s="21">
        <f>B21+B22</f>
        <v>43027000</v>
      </c>
      <c r="C20" s="21">
        <f t="shared" ref="C20:E20" si="22">C21+C22</f>
        <v>1290375</v>
      </c>
      <c r="D20" s="21">
        <f t="shared" si="22"/>
        <v>41736625</v>
      </c>
      <c r="E20" s="21">
        <f t="shared" si="22"/>
        <v>24203592</v>
      </c>
      <c r="F20" s="22">
        <f t="shared" si="3"/>
        <v>72.400000000000006</v>
      </c>
      <c r="G20" s="21">
        <f t="shared" ref="G20" si="23">G21+G22</f>
        <v>17533033</v>
      </c>
      <c r="H20" s="21">
        <f>H21+H22</f>
        <v>43966000</v>
      </c>
      <c r="I20" s="21">
        <f t="shared" ref="I20:Y20" si="24">I21+I22</f>
        <v>1290375</v>
      </c>
      <c r="J20" s="21">
        <f t="shared" si="24"/>
        <v>42675625</v>
      </c>
      <c r="K20" s="21">
        <f t="shared" si="24"/>
        <v>24203592</v>
      </c>
      <c r="L20" s="22">
        <f t="shared" si="5"/>
        <v>76.3</v>
      </c>
      <c r="M20" s="21">
        <f t="shared" si="24"/>
        <v>18472033</v>
      </c>
      <c r="N20" s="21">
        <f t="shared" si="24"/>
        <v>49796000</v>
      </c>
      <c r="O20" s="21">
        <f t="shared" ref="O20" si="25">O21+O22</f>
        <v>1290375</v>
      </c>
      <c r="P20" s="21">
        <f>P21+P22</f>
        <v>48505625</v>
      </c>
      <c r="Q20" s="21">
        <f>Q21+Q22</f>
        <v>24203592</v>
      </c>
      <c r="R20" s="22">
        <f t="shared" si="8"/>
        <v>100.4</v>
      </c>
      <c r="S20" s="21">
        <f>S21+S22</f>
        <v>24302033</v>
      </c>
      <c r="T20" s="21">
        <f t="shared" si="10"/>
        <v>49796000</v>
      </c>
      <c r="U20" s="21">
        <f t="shared" si="24"/>
        <v>1419413</v>
      </c>
      <c r="V20" s="21">
        <f t="shared" si="24"/>
        <v>48376587</v>
      </c>
      <c r="W20" s="21">
        <f t="shared" si="24"/>
        <v>26623951</v>
      </c>
      <c r="X20" s="21">
        <f t="shared" si="24"/>
        <v>162.30000000000001</v>
      </c>
      <c r="Y20" s="21">
        <f t="shared" si="24"/>
        <v>21752636</v>
      </c>
      <c r="Z20" s="21">
        <f t="shared" si="16"/>
        <v>49796000</v>
      </c>
      <c r="AA20" s="21">
        <f t="shared" ref="AA20:AE20" si="26">AA21+AA22</f>
        <v>1483931</v>
      </c>
      <c r="AB20" s="21">
        <f t="shared" si="26"/>
        <v>48312069</v>
      </c>
      <c r="AC20" s="21">
        <f t="shared" si="26"/>
        <v>27834131</v>
      </c>
      <c r="AD20" s="22">
        <f t="shared" si="20"/>
        <v>73.599999999999994</v>
      </c>
      <c r="AE20" s="21">
        <f t="shared" si="26"/>
        <v>20477938</v>
      </c>
    </row>
    <row r="21" spans="1:31" s="34" customFormat="1" x14ac:dyDescent="0.25">
      <c r="A21" s="31" t="s">
        <v>20</v>
      </c>
      <c r="B21" s="32">
        <v>25421000</v>
      </c>
      <c r="C21" s="33">
        <v>1290375</v>
      </c>
      <c r="D21" s="33">
        <f>B21-C21</f>
        <v>24130625</v>
      </c>
      <c r="E21" s="33">
        <v>13763964</v>
      </c>
      <c r="F21" s="33">
        <f>ROUND(G21/E21*100,1)</f>
        <v>75.3</v>
      </c>
      <c r="G21" s="33">
        <f>D21-E21</f>
        <v>10366661</v>
      </c>
      <c r="H21" s="32">
        <v>25976000</v>
      </c>
      <c r="I21" s="33">
        <v>1290375</v>
      </c>
      <c r="J21" s="33">
        <f>H21-I21</f>
        <v>24685625</v>
      </c>
      <c r="K21" s="33">
        <v>13763964</v>
      </c>
      <c r="L21" s="33">
        <f>ROUND(M21/K21*100,1)</f>
        <v>79.3</v>
      </c>
      <c r="M21" s="33">
        <f>J21-K21</f>
        <v>10921661</v>
      </c>
      <c r="N21" s="32">
        <v>29421000</v>
      </c>
      <c r="O21" s="33">
        <v>1290375</v>
      </c>
      <c r="P21" s="33">
        <f>N21-O21</f>
        <v>28130625</v>
      </c>
      <c r="Q21" s="33">
        <f t="shared" si="7"/>
        <v>13763964</v>
      </c>
      <c r="R21" s="33">
        <f>ROUND(S21/Q21*100,1)</f>
        <v>104.4</v>
      </c>
      <c r="S21" s="33">
        <f>P21-Q21</f>
        <v>14366661</v>
      </c>
      <c r="T21" s="21">
        <f t="shared" si="10"/>
        <v>29421000</v>
      </c>
      <c r="U21" s="33">
        <f>ROUND(O21*1.1,0)</f>
        <v>1419413</v>
      </c>
      <c r="V21" s="33">
        <f>T21-U21</f>
        <v>28001587</v>
      </c>
      <c r="W21" s="33">
        <f>ROUND(Q21*1.1,0)</f>
        <v>15140360</v>
      </c>
      <c r="X21" s="33">
        <f>ROUND(Y21/W21*100,1)</f>
        <v>84.9</v>
      </c>
      <c r="Y21" s="33">
        <f>V21-W21</f>
        <v>12861227</v>
      </c>
      <c r="Z21" s="21">
        <f t="shared" si="16"/>
        <v>29421000</v>
      </c>
      <c r="AA21" s="33">
        <f t="shared" si="17"/>
        <v>1483931</v>
      </c>
      <c r="AB21" s="33">
        <f>Z21-AA21</f>
        <v>27937069</v>
      </c>
      <c r="AC21" s="33">
        <f t="shared" si="19"/>
        <v>15828559</v>
      </c>
      <c r="AD21" s="33">
        <f>ROUND(AE21/AC21*100,1)</f>
        <v>76.5</v>
      </c>
      <c r="AE21" s="33">
        <f>AB21-AC21</f>
        <v>12108510</v>
      </c>
    </row>
    <row r="22" spans="1:31" s="34" customFormat="1" x14ac:dyDescent="0.25">
      <c r="A22" s="31" t="s">
        <v>21</v>
      </c>
      <c r="B22" s="32">
        <v>17606000</v>
      </c>
      <c r="C22" s="33"/>
      <c r="D22" s="33">
        <f>B22-C22</f>
        <v>17606000</v>
      </c>
      <c r="E22" s="33">
        <v>10439628</v>
      </c>
      <c r="F22" s="33">
        <f>ROUND(G22/E22*100,1)</f>
        <v>68.599999999999994</v>
      </c>
      <c r="G22" s="33">
        <f>D22-E22</f>
        <v>7166372</v>
      </c>
      <c r="H22" s="32">
        <v>17990000</v>
      </c>
      <c r="I22" s="33"/>
      <c r="J22" s="33">
        <f>H22-I22</f>
        <v>17990000</v>
      </c>
      <c r="K22" s="33">
        <v>10439628</v>
      </c>
      <c r="L22" s="33">
        <f>ROUND(M22/K22*100,1)</f>
        <v>72.3</v>
      </c>
      <c r="M22" s="33">
        <f>J22-K22</f>
        <v>7550372</v>
      </c>
      <c r="N22" s="32">
        <v>20375000</v>
      </c>
      <c r="O22" s="33"/>
      <c r="P22" s="33">
        <f>N22-O22</f>
        <v>20375000</v>
      </c>
      <c r="Q22" s="33">
        <f t="shared" si="7"/>
        <v>10439628</v>
      </c>
      <c r="R22" s="33">
        <f>ROUND(S22/Q22*100,1)</f>
        <v>95.2</v>
      </c>
      <c r="S22" s="33">
        <f>P22-Q22</f>
        <v>9935372</v>
      </c>
      <c r="T22" s="21">
        <f t="shared" si="10"/>
        <v>20375000</v>
      </c>
      <c r="U22" s="33"/>
      <c r="V22" s="33">
        <f>T22-U22</f>
        <v>20375000</v>
      </c>
      <c r="W22" s="33">
        <f t="shared" ref="W22:W24" si="27">ROUND(Q22*1.1,0)</f>
        <v>11483591</v>
      </c>
      <c r="X22" s="33">
        <f>ROUND(Y22/W22*100,1)</f>
        <v>77.400000000000006</v>
      </c>
      <c r="Y22" s="33">
        <f>V22-W22</f>
        <v>8891409</v>
      </c>
      <c r="Z22" s="21">
        <f t="shared" si="16"/>
        <v>20375000</v>
      </c>
      <c r="AA22" s="33">
        <f t="shared" si="17"/>
        <v>0</v>
      </c>
      <c r="AB22" s="33">
        <f>Z22-AA22</f>
        <v>20375000</v>
      </c>
      <c r="AC22" s="33">
        <f t="shared" si="19"/>
        <v>12005572</v>
      </c>
      <c r="AD22" s="33">
        <f>ROUND(AE22/AC22*100,1)</f>
        <v>69.7</v>
      </c>
      <c r="AE22" s="33">
        <f>AB22-AC22</f>
        <v>8369428</v>
      </c>
    </row>
    <row r="23" spans="1:31" x14ac:dyDescent="0.25">
      <c r="A23" s="25" t="s">
        <v>5</v>
      </c>
      <c r="B23" s="21">
        <v>7749000</v>
      </c>
      <c r="C23" s="22">
        <v>860250</v>
      </c>
      <c r="D23" s="22">
        <f>B23-C23</f>
        <v>6888750</v>
      </c>
      <c r="E23" s="22">
        <v>4616421</v>
      </c>
      <c r="F23" s="22">
        <f t="shared" ref="F23:F25" si="28">ROUND(G23/E23*100,1)</f>
        <v>49.2</v>
      </c>
      <c r="G23" s="22">
        <f t="shared" ref="G23:G24" si="29">D23-E23</f>
        <v>2272329</v>
      </c>
      <c r="H23" s="21">
        <v>7918000</v>
      </c>
      <c r="I23" s="22">
        <v>860250</v>
      </c>
      <c r="J23" s="22">
        <f>H23-I23</f>
        <v>7057750</v>
      </c>
      <c r="K23" s="22">
        <v>4616421</v>
      </c>
      <c r="L23" s="22">
        <f t="shared" si="5"/>
        <v>52.9</v>
      </c>
      <c r="M23" s="22">
        <f t="shared" si="6"/>
        <v>2441329</v>
      </c>
      <c r="N23" s="21">
        <v>8967000</v>
      </c>
      <c r="O23" s="22">
        <v>860250</v>
      </c>
      <c r="P23" s="22">
        <f>N23-O23</f>
        <v>8106750</v>
      </c>
      <c r="Q23" s="22">
        <f t="shared" si="7"/>
        <v>4616421</v>
      </c>
      <c r="R23" s="22">
        <f>ROUND(S23/Q23*100,1)</f>
        <v>75.599999999999994</v>
      </c>
      <c r="S23" s="22">
        <f>P23-Q23</f>
        <v>3490329</v>
      </c>
      <c r="T23" s="21">
        <f t="shared" si="10"/>
        <v>8967000</v>
      </c>
      <c r="U23" s="22">
        <f>ROUND(O23*1.1,0)</f>
        <v>946275</v>
      </c>
      <c r="V23" s="22">
        <f t="shared" si="12"/>
        <v>8020725</v>
      </c>
      <c r="W23" s="111">
        <f t="shared" si="27"/>
        <v>5078063</v>
      </c>
      <c r="X23" s="22">
        <f t="shared" si="14"/>
        <v>57.9</v>
      </c>
      <c r="Y23" s="22">
        <f t="shared" si="15"/>
        <v>2942662</v>
      </c>
      <c r="Z23" s="21">
        <f t="shared" si="16"/>
        <v>8967000</v>
      </c>
      <c r="AA23" s="22">
        <f t="shared" si="17"/>
        <v>989288</v>
      </c>
      <c r="AB23" s="22">
        <f t="shared" ref="AB23:AB24" si="30">Z23-AA23</f>
        <v>7977712</v>
      </c>
      <c r="AC23" s="22">
        <f t="shared" si="19"/>
        <v>5308884</v>
      </c>
      <c r="AD23" s="22">
        <f t="shared" ref="AD23:AD25" si="31">ROUND(AE23/AC23*100,1)</f>
        <v>50.3</v>
      </c>
      <c r="AE23" s="22">
        <f t="shared" ref="AE23:AE24" si="32">AB23-AC23</f>
        <v>2668828</v>
      </c>
    </row>
    <row r="24" spans="1:31" x14ac:dyDescent="0.25">
      <c r="A24" s="23" t="s">
        <v>158</v>
      </c>
      <c r="B24" s="4">
        <v>15856000</v>
      </c>
      <c r="C24" s="22">
        <v>1147000</v>
      </c>
      <c r="D24" s="22">
        <f>B24-C24</f>
        <v>14709000</v>
      </c>
      <c r="E24" s="22">
        <v>7169004</v>
      </c>
      <c r="F24" s="22">
        <f t="shared" si="28"/>
        <v>105.2</v>
      </c>
      <c r="G24" s="22">
        <f t="shared" si="29"/>
        <v>7539996</v>
      </c>
      <c r="H24" s="4">
        <v>16202000</v>
      </c>
      <c r="I24" s="22">
        <v>1147000</v>
      </c>
      <c r="J24" s="22">
        <f>H24-I24</f>
        <v>15055000</v>
      </c>
      <c r="K24" s="22">
        <v>7169004</v>
      </c>
      <c r="L24" s="22">
        <f t="shared" si="5"/>
        <v>110</v>
      </c>
      <c r="M24" s="22">
        <f t="shared" si="6"/>
        <v>7885996</v>
      </c>
      <c r="N24" s="4">
        <v>17447000</v>
      </c>
      <c r="O24" s="22">
        <v>1147000</v>
      </c>
      <c r="P24" s="22">
        <f>N24-O24</f>
        <v>16300000</v>
      </c>
      <c r="Q24" s="22">
        <f t="shared" si="7"/>
        <v>7169004</v>
      </c>
      <c r="R24" s="22">
        <f>ROUND(S24/Q24*100,1)</f>
        <v>127.4</v>
      </c>
      <c r="S24" s="22">
        <f>P24-Q24</f>
        <v>9130996</v>
      </c>
      <c r="T24" s="21">
        <f t="shared" si="10"/>
        <v>17447000</v>
      </c>
      <c r="U24" s="22">
        <f>ROUND(O24*1.1,0)</f>
        <v>1261700</v>
      </c>
      <c r="V24" s="22">
        <f t="shared" si="12"/>
        <v>16185300</v>
      </c>
      <c r="W24" s="111">
        <f t="shared" si="27"/>
        <v>7885904</v>
      </c>
      <c r="X24" s="22">
        <f t="shared" si="14"/>
        <v>105.2</v>
      </c>
      <c r="Y24" s="22">
        <f t="shared" si="15"/>
        <v>8299396</v>
      </c>
      <c r="Z24" s="21">
        <f t="shared" si="16"/>
        <v>17447000</v>
      </c>
      <c r="AA24" s="22">
        <f t="shared" si="17"/>
        <v>1319050</v>
      </c>
      <c r="AB24" s="22">
        <f t="shared" si="30"/>
        <v>16127950</v>
      </c>
      <c r="AC24" s="22">
        <f t="shared" si="19"/>
        <v>8244355</v>
      </c>
      <c r="AD24" s="22">
        <f t="shared" si="31"/>
        <v>95.6</v>
      </c>
      <c r="AE24" s="22">
        <f t="shared" si="32"/>
        <v>7883595</v>
      </c>
    </row>
    <row r="25" spans="1:31" s="29" customFormat="1" x14ac:dyDescent="0.25">
      <c r="A25" s="26" t="s">
        <v>18</v>
      </c>
      <c r="B25" s="27">
        <f>SUM(B10:B20,B23:B24)</f>
        <v>298548000</v>
      </c>
      <c r="C25" s="27">
        <f>SUM(C10:C20,C23:C24)</f>
        <v>10584447</v>
      </c>
      <c r="D25" s="27">
        <f>SUM(D10:D20,D23:D24)</f>
        <v>287963553</v>
      </c>
      <c r="E25" s="27">
        <f>SUM(E10:E20,E23:E24)</f>
        <v>172296387</v>
      </c>
      <c r="F25" s="28">
        <f t="shared" si="28"/>
        <v>67.099999999999994</v>
      </c>
      <c r="G25" s="27">
        <f>SUM(G10:G20,G23:G24)</f>
        <v>115667166</v>
      </c>
      <c r="H25" s="27">
        <f>SUM(H10:H20,H23:H24)</f>
        <v>305062000</v>
      </c>
      <c r="I25" s="27">
        <f>SUM(I10:I20,I23:I24)</f>
        <v>10584447</v>
      </c>
      <c r="J25" s="27">
        <f>SUM(J10:J20,J23:J24)</f>
        <v>294477553</v>
      </c>
      <c r="K25" s="27">
        <f>SUM(K10:K20,K23:K24)</f>
        <v>172296387</v>
      </c>
      <c r="L25" s="28">
        <f t="shared" si="5"/>
        <v>70.900000000000006</v>
      </c>
      <c r="M25" s="27">
        <f>SUM(M10:M20,M23:M24)</f>
        <v>122181166</v>
      </c>
      <c r="N25" s="27">
        <f>SUM(N10:N20,N23:N24)</f>
        <v>345137000</v>
      </c>
      <c r="O25" s="27">
        <f>SUM(O10:O20,O23:O24)</f>
        <v>10584447</v>
      </c>
      <c r="P25" s="27">
        <f>SUM(P10:P20,P23:P24)</f>
        <v>334552553</v>
      </c>
      <c r="Q25" s="27">
        <f>SUM(Q10:Q20,Q23:Q24)</f>
        <v>172572279</v>
      </c>
      <c r="R25" s="28">
        <f>ROUND(S25/Q25*100,1)</f>
        <v>93.9</v>
      </c>
      <c r="S25" s="27">
        <f>SUM(S10:S20,S23:S24)</f>
        <v>161980274</v>
      </c>
      <c r="T25" s="27">
        <f>SUM(T10:T20,T23:T24)</f>
        <v>345137000</v>
      </c>
      <c r="U25" s="27">
        <f>SUM(U10:U20,U23:U24)</f>
        <v>11642893</v>
      </c>
      <c r="V25" s="27">
        <f>SUM(V10:V20,V23:V24)</f>
        <v>333494107</v>
      </c>
      <c r="W25" s="27">
        <f>SUM(W10:W20,W23:W24)</f>
        <v>189829505</v>
      </c>
      <c r="X25" s="28">
        <f t="shared" si="14"/>
        <v>75.7</v>
      </c>
      <c r="Y25" s="27">
        <f>SUM(Y10:Y20,Y23:Y24)</f>
        <v>143664602</v>
      </c>
      <c r="Z25" s="27">
        <f>SUM(Z10:Z20,Z23:Z24)</f>
        <v>345137000</v>
      </c>
      <c r="AA25" s="27">
        <f>SUM(AA10:AA20,AA23:AA24)</f>
        <v>12172114</v>
      </c>
      <c r="AB25" s="27">
        <f>SUM(AB10:AB20,AB23:AB24)</f>
        <v>332964886</v>
      </c>
      <c r="AC25" s="27">
        <f>SUM(AC10:AC20,AC23:AC24)</f>
        <v>198458122</v>
      </c>
      <c r="AD25" s="28">
        <f t="shared" si="31"/>
        <v>67.8</v>
      </c>
      <c r="AE25" s="27">
        <f>SUM(AE10:AE20,AE23:AE24)</f>
        <v>134506764</v>
      </c>
    </row>
    <row r="26" spans="1:31" s="35" customFormat="1" ht="13.5" x14ac:dyDescent="0.25">
      <c r="A26" s="40" t="s">
        <v>23</v>
      </c>
      <c r="B26" s="41"/>
      <c r="C26" s="41"/>
      <c r="D26" s="42">
        <v>1</v>
      </c>
      <c r="E26" s="43">
        <f>ROUND(E25/D25,3)</f>
        <v>0.59799999999999998</v>
      </c>
      <c r="F26" s="43"/>
      <c r="G26" s="43">
        <f>ROUND(G25/D25,3)</f>
        <v>0.40200000000000002</v>
      </c>
      <c r="H26" s="41"/>
      <c r="I26" s="41"/>
      <c r="J26" s="42">
        <v>1</v>
      </c>
      <c r="K26" s="43">
        <f>ROUND(K25/J25,3)</f>
        <v>0.58499999999999996</v>
      </c>
      <c r="L26" s="43"/>
      <c r="M26" s="43">
        <f>ROUND(M25/J25,3)</f>
        <v>0.41499999999999998</v>
      </c>
      <c r="N26" s="41"/>
      <c r="O26" s="41"/>
      <c r="P26" s="42">
        <v>1</v>
      </c>
      <c r="Q26" s="43">
        <f>ROUND(Q25/P25,3)</f>
        <v>0.51600000000000001</v>
      </c>
      <c r="R26" s="43"/>
      <c r="S26" s="43">
        <f>ROUND(S25/P25,3)</f>
        <v>0.48399999999999999</v>
      </c>
      <c r="T26" s="43"/>
      <c r="U26" s="43"/>
      <c r="V26" s="42">
        <v>1</v>
      </c>
      <c r="W26" s="43">
        <f>ROUND(W25/V25,3)</f>
        <v>0.56899999999999995</v>
      </c>
      <c r="X26" s="43"/>
      <c r="Y26" s="43">
        <f>ROUND(Y25/V25,3)</f>
        <v>0.43099999999999999</v>
      </c>
      <c r="Z26" s="43"/>
      <c r="AA26" s="43"/>
      <c r="AB26" s="42">
        <v>1</v>
      </c>
      <c r="AC26" s="43">
        <f>ROUND(AC25/AB25,3)</f>
        <v>0.59599999999999997</v>
      </c>
      <c r="AD26" s="43"/>
      <c r="AE26" s="43">
        <f>ROUND(AE25/AB25,3)</f>
        <v>0.40400000000000003</v>
      </c>
    </row>
    <row r="27" spans="1:31" s="91" customFormat="1" ht="12.75" x14ac:dyDescent="0.2">
      <c r="A27" s="36" t="s">
        <v>57</v>
      </c>
      <c r="B27" s="37"/>
      <c r="C27" s="37"/>
      <c r="D27" s="38"/>
      <c r="E27" s="39"/>
      <c r="F27" s="39"/>
      <c r="G27" s="39"/>
      <c r="H27" s="37"/>
      <c r="I27" s="37"/>
      <c r="J27" s="38"/>
      <c r="K27" s="39"/>
      <c r="L27" s="39"/>
      <c r="M27" s="39"/>
      <c r="N27" s="37"/>
      <c r="O27" s="37"/>
      <c r="P27" s="38"/>
      <c r="Q27" s="39"/>
      <c r="R27" s="39"/>
      <c r="S27" s="39"/>
      <c r="T27" s="39"/>
      <c r="U27" s="39"/>
      <c r="V27" s="38"/>
      <c r="W27" s="93" t="s">
        <v>83</v>
      </c>
      <c r="X27" s="93"/>
      <c r="Y27" s="93"/>
      <c r="Z27" s="39"/>
      <c r="AA27" s="39"/>
      <c r="AB27" s="38"/>
      <c r="AC27" s="93" t="s">
        <v>83</v>
      </c>
      <c r="AD27" s="93"/>
      <c r="AE27" s="93"/>
    </row>
    <row r="28" spans="1:31" s="35" customFormat="1" ht="13.5" x14ac:dyDescent="0.25">
      <c r="A28" s="87"/>
      <c r="B28" s="87"/>
      <c r="C28" s="87"/>
      <c r="D28" s="87"/>
      <c r="E28" s="87"/>
      <c r="F28" s="87"/>
      <c r="G28" s="87"/>
      <c r="H28" s="88"/>
      <c r="I28" s="88"/>
      <c r="J28" s="89"/>
      <c r="K28" s="90"/>
      <c r="L28" s="90"/>
      <c r="M28" s="90"/>
      <c r="N28" s="112" t="s">
        <v>95</v>
      </c>
      <c r="O28" s="88"/>
      <c r="P28" s="89"/>
      <c r="Q28" s="90"/>
      <c r="R28" s="90"/>
      <c r="S28" s="90"/>
      <c r="T28" s="90"/>
      <c r="U28" s="90"/>
      <c r="V28" s="89"/>
      <c r="W28" s="92"/>
      <c r="X28" s="90"/>
      <c r="Y28" s="90"/>
    </row>
    <row r="29" spans="1:31" x14ac:dyDescent="0.25">
      <c r="N29" s="112" t="s">
        <v>96</v>
      </c>
    </row>
    <row r="30" spans="1:31" hidden="1" outlineLevel="1" x14ac:dyDescent="0.25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113" t="s">
        <v>97</v>
      </c>
      <c r="Q30" s="114">
        <v>18711</v>
      </c>
      <c r="R30" s="30"/>
      <c r="S30" s="30"/>
      <c r="V30" s="113" t="s">
        <v>97</v>
      </c>
      <c r="W30" s="114">
        <v>20582</v>
      </c>
      <c r="AB30" s="113" t="s">
        <v>97</v>
      </c>
      <c r="AC30" s="114">
        <v>21518</v>
      </c>
    </row>
    <row r="31" spans="1:31" hidden="1" outlineLevel="1" x14ac:dyDescent="0.25">
      <c r="P31" s="113" t="s">
        <v>98</v>
      </c>
      <c r="Q31" t="s">
        <v>127</v>
      </c>
      <c r="V31" s="113" t="s">
        <v>98</v>
      </c>
      <c r="W31" t="s">
        <v>102</v>
      </c>
      <c r="AB31" s="113" t="s">
        <v>98</v>
      </c>
      <c r="AC31" t="s">
        <v>103</v>
      </c>
    </row>
    <row r="32" spans="1:31" hidden="1" outlineLevel="1" x14ac:dyDescent="0.25">
      <c r="P32" s="113" t="s">
        <v>99</v>
      </c>
      <c r="Q32" t="s">
        <v>126</v>
      </c>
      <c r="V32" s="113" t="s">
        <v>99</v>
      </c>
      <c r="W32" t="s">
        <v>100</v>
      </c>
      <c r="AB32" s="113" t="s">
        <v>99</v>
      </c>
      <c r="AC32" t="s">
        <v>101</v>
      </c>
    </row>
    <row r="33" spans="1:22" collapsed="1" x14ac:dyDescent="0.25">
      <c r="V33" s="113"/>
    </row>
    <row r="34" spans="1:22" x14ac:dyDescent="0.25">
      <c r="A34" s="30" t="s">
        <v>19</v>
      </c>
    </row>
  </sheetData>
  <mergeCells count="47">
    <mergeCell ref="A4:A9"/>
    <mergeCell ref="H4:M4"/>
    <mergeCell ref="N4:S4"/>
    <mergeCell ref="T4:Y4"/>
    <mergeCell ref="H5:H9"/>
    <mergeCell ref="I5:M5"/>
    <mergeCell ref="N5:N9"/>
    <mergeCell ref="O5:S5"/>
    <mergeCell ref="T5:T9"/>
    <mergeCell ref="U5:Y5"/>
    <mergeCell ref="I6:I9"/>
    <mergeCell ref="J6:M6"/>
    <mergeCell ref="O6:O9"/>
    <mergeCell ref="P6:S6"/>
    <mergeCell ref="U6:U9"/>
    <mergeCell ref="V6:Y6"/>
    <mergeCell ref="W7:Y7"/>
    <mergeCell ref="K8:K9"/>
    <mergeCell ref="L8:M8"/>
    <mergeCell ref="Q8:Q9"/>
    <mergeCell ref="R8:S8"/>
    <mergeCell ref="W8:W9"/>
    <mergeCell ref="X8:Y8"/>
    <mergeCell ref="K7:M7"/>
    <mergeCell ref="P7:P9"/>
    <mergeCell ref="Q7:S7"/>
    <mergeCell ref="V7:V9"/>
    <mergeCell ref="Z4:AE4"/>
    <mergeCell ref="Z5:Z9"/>
    <mergeCell ref="AA5:AE5"/>
    <mergeCell ref="AA6:AA9"/>
    <mergeCell ref="AB6:AE6"/>
    <mergeCell ref="AB7:AB9"/>
    <mergeCell ref="AC7:AE7"/>
    <mergeCell ref="AC8:AC9"/>
    <mergeCell ref="AD8:AE8"/>
    <mergeCell ref="B1:S1"/>
    <mergeCell ref="B4:G4"/>
    <mergeCell ref="B5:B9"/>
    <mergeCell ref="C5:G5"/>
    <mergeCell ref="C6:C9"/>
    <mergeCell ref="D6:G6"/>
    <mergeCell ref="D7:D9"/>
    <mergeCell ref="E7:G7"/>
    <mergeCell ref="E8:E9"/>
    <mergeCell ref="F8:G8"/>
    <mergeCell ref="J7:J9"/>
  </mergeCells>
  <pageMargins left="0" right="0" top="0.74803149606299213" bottom="0.35433070866141736" header="0.31496062992125984" footer="0.31496062992125984"/>
  <pageSetup paperSize="9" scale="8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1"/>
  <sheetViews>
    <sheetView zoomScale="80" zoomScaleNormal="80" workbookViewId="0">
      <selection activeCell="H7" sqref="H7"/>
    </sheetView>
  </sheetViews>
  <sheetFormatPr defaultColWidth="8" defaultRowHeight="12.75" outlineLevelRow="1" outlineLevelCol="2" x14ac:dyDescent="0.2"/>
  <cols>
    <col min="1" max="1" width="21.625" style="45" customWidth="1"/>
    <col min="2" max="2" width="6.875" style="45" customWidth="1" outlineLevel="2"/>
    <col min="3" max="3" width="6.25" style="45" customWidth="1" outlineLevel="2"/>
    <col min="4" max="4" width="6.875" style="45" customWidth="1" outlineLevel="1"/>
    <col min="5" max="5" width="7.375" style="45" customWidth="1" outlineLevel="1"/>
    <col min="6" max="6" width="8.125" style="45" customWidth="1"/>
    <col min="7" max="7" width="7.25" style="45" customWidth="1"/>
    <col min="8" max="8" width="6.5" style="45" customWidth="1"/>
    <col min="9" max="9" width="7.25" style="45" customWidth="1"/>
    <col min="10" max="10" width="7.625" style="45" customWidth="1"/>
    <col min="11" max="11" width="8.75" style="45" customWidth="1"/>
    <col min="12" max="12" width="6.75" style="45" hidden="1" customWidth="1" outlineLevel="1"/>
    <col min="13" max="13" width="7.125" style="45" hidden="1" customWidth="1" outlineLevel="1"/>
    <col min="14" max="14" width="6.625" style="45" hidden="1" customWidth="1" outlineLevel="1"/>
    <col min="15" max="15" width="7.875" style="45" hidden="1" customWidth="1" outlineLevel="1"/>
    <col min="16" max="16" width="7.625" style="45" hidden="1" customWidth="1" outlineLevel="1"/>
    <col min="17" max="17" width="7.375" style="45" customWidth="1" collapsed="1"/>
    <col min="18" max="18" width="7.125" style="45" customWidth="1"/>
    <col min="19" max="19" width="7.625" style="45" customWidth="1"/>
    <col min="20" max="20" width="7.75" style="45" customWidth="1"/>
    <col min="21" max="21" width="8.375" style="45" customWidth="1"/>
    <col min="22" max="22" width="7.25" style="45" hidden="1" customWidth="1" outlineLevel="1"/>
    <col min="23" max="24" width="0" style="45" hidden="1" customWidth="1" outlineLevel="1"/>
    <col min="25" max="25" width="7.5" style="45" hidden="1" customWidth="1" outlineLevel="1"/>
    <col min="26" max="26" width="0" style="45" hidden="1" customWidth="1" outlineLevel="1"/>
    <col min="27" max="27" width="8" style="45" collapsed="1"/>
    <col min="28" max="16384" width="8" style="45"/>
  </cols>
  <sheetData>
    <row r="1" spans="1:26" ht="32.1" customHeight="1" x14ac:dyDescent="0.25">
      <c r="A1" s="138" t="s">
        <v>159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6" ht="6.6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105" t="s">
        <v>70</v>
      </c>
    </row>
    <row r="3" spans="1:26" ht="50.45" customHeight="1" x14ac:dyDescent="0.2">
      <c r="A3" s="139" t="s">
        <v>25</v>
      </c>
      <c r="B3" s="132" t="s">
        <v>84</v>
      </c>
      <c r="C3" s="133"/>
      <c r="D3" s="133"/>
      <c r="E3" s="133"/>
      <c r="F3" s="134"/>
      <c r="G3" s="132" t="s">
        <v>109</v>
      </c>
      <c r="H3" s="133"/>
      <c r="I3" s="133"/>
      <c r="J3" s="133"/>
      <c r="K3" s="134"/>
      <c r="L3" s="132" t="s">
        <v>110</v>
      </c>
      <c r="M3" s="133"/>
      <c r="N3" s="133"/>
      <c r="O3" s="133"/>
      <c r="P3" s="134"/>
      <c r="Q3" s="132" t="s">
        <v>106</v>
      </c>
      <c r="R3" s="133"/>
      <c r="S3" s="133"/>
      <c r="T3" s="133"/>
      <c r="U3" s="134"/>
      <c r="V3" s="132" t="s">
        <v>113</v>
      </c>
      <c r="W3" s="133"/>
      <c r="X3" s="133"/>
      <c r="Y3" s="133"/>
      <c r="Z3" s="134"/>
    </row>
    <row r="4" spans="1:26" ht="26.25" customHeight="1" x14ac:dyDescent="0.2">
      <c r="A4" s="139"/>
      <c r="B4" s="135" t="s">
        <v>26</v>
      </c>
      <c r="C4" s="135" t="s">
        <v>52</v>
      </c>
      <c r="D4" s="135" t="s">
        <v>80</v>
      </c>
      <c r="E4" s="47" t="s">
        <v>27</v>
      </c>
      <c r="F4" s="137" t="s">
        <v>107</v>
      </c>
      <c r="G4" s="135" t="s">
        <v>26</v>
      </c>
      <c r="H4" s="135" t="s">
        <v>52</v>
      </c>
      <c r="I4" s="135" t="s">
        <v>80</v>
      </c>
      <c r="J4" s="47" t="s">
        <v>27</v>
      </c>
      <c r="K4" s="137" t="s">
        <v>108</v>
      </c>
      <c r="L4" s="135" t="s">
        <v>111</v>
      </c>
      <c r="M4" s="135" t="s">
        <v>112</v>
      </c>
      <c r="N4" s="135" t="s">
        <v>53</v>
      </c>
      <c r="O4" s="47" t="s">
        <v>27</v>
      </c>
      <c r="P4" s="137" t="s">
        <v>108</v>
      </c>
      <c r="Q4" s="135" t="s">
        <v>104</v>
      </c>
      <c r="R4" s="135" t="s">
        <v>105</v>
      </c>
      <c r="S4" s="135" t="s">
        <v>53</v>
      </c>
      <c r="T4" s="47" t="s">
        <v>27</v>
      </c>
      <c r="U4" s="137" t="s">
        <v>54</v>
      </c>
      <c r="V4" s="135" t="s">
        <v>114</v>
      </c>
      <c r="W4" s="135" t="s">
        <v>115</v>
      </c>
      <c r="X4" s="135" t="s">
        <v>53</v>
      </c>
      <c r="Y4" s="47" t="s">
        <v>27</v>
      </c>
      <c r="Z4" s="137" t="s">
        <v>54</v>
      </c>
    </row>
    <row r="5" spans="1:26" ht="35.1" customHeight="1" x14ac:dyDescent="0.2">
      <c r="A5" s="139"/>
      <c r="B5" s="136"/>
      <c r="C5" s="136"/>
      <c r="D5" s="136"/>
      <c r="E5" s="48">
        <v>49.59451</v>
      </c>
      <c r="F5" s="137"/>
      <c r="G5" s="136"/>
      <c r="H5" s="136"/>
      <c r="I5" s="136"/>
      <c r="J5" s="48">
        <v>59.916919999999998</v>
      </c>
      <c r="K5" s="137"/>
      <c r="L5" s="136"/>
      <c r="M5" s="136"/>
      <c r="N5" s="136"/>
      <c r="O5" s="109">
        <v>49.456093000000003</v>
      </c>
      <c r="P5" s="137"/>
      <c r="Q5" s="136"/>
      <c r="R5" s="136"/>
      <c r="S5" s="136"/>
      <c r="T5" s="109">
        <v>45.379185999999997</v>
      </c>
      <c r="U5" s="137"/>
      <c r="V5" s="136"/>
      <c r="W5" s="136"/>
      <c r="X5" s="136"/>
      <c r="Y5" s="109">
        <v>39.059207000000001</v>
      </c>
      <c r="Z5" s="137"/>
    </row>
    <row r="6" spans="1:26" x14ac:dyDescent="0.2">
      <c r="A6" s="54" t="s">
        <v>28</v>
      </c>
      <c r="B6" s="55"/>
      <c r="C6" s="56"/>
      <c r="D6" s="55"/>
      <c r="E6" s="57"/>
      <c r="F6" s="57"/>
      <c r="G6" s="57"/>
      <c r="H6" s="57"/>
      <c r="I6" s="55"/>
      <c r="J6" s="52"/>
      <c r="K6" s="53"/>
      <c r="L6" s="55"/>
      <c r="M6" s="56"/>
      <c r="N6" s="55"/>
      <c r="O6" s="52"/>
      <c r="P6" s="57"/>
      <c r="Q6" s="55"/>
      <c r="R6" s="56"/>
      <c r="S6" s="55"/>
      <c r="T6" s="52"/>
      <c r="U6" s="57"/>
      <c r="V6" s="55"/>
      <c r="W6" s="56"/>
      <c r="X6" s="55"/>
      <c r="Y6" s="52"/>
      <c r="Z6" s="57"/>
    </row>
    <row r="7" spans="1:26" x14ac:dyDescent="0.2">
      <c r="A7" s="58" t="s">
        <v>150</v>
      </c>
      <c r="B7" s="59">
        <v>8486</v>
      </c>
      <c r="C7" s="60">
        <v>155</v>
      </c>
      <c r="D7" s="51">
        <f>B7+C7</f>
        <v>8641</v>
      </c>
      <c r="E7" s="52">
        <f>ROUND(D7*$E$5/100,0)</f>
        <v>4285</v>
      </c>
      <c r="F7" s="53">
        <f>D7+E7</f>
        <v>12926</v>
      </c>
      <c r="G7" s="59">
        <v>8486</v>
      </c>
      <c r="H7" s="60">
        <v>155</v>
      </c>
      <c r="I7" s="51">
        <f>G7+H7</f>
        <v>8641</v>
      </c>
      <c r="J7" s="52">
        <f t="shared" ref="J7:J26" si="0">ROUND(I7*$J$5/100,0)</f>
        <v>5177</v>
      </c>
      <c r="K7" s="53">
        <f>I7+J7</f>
        <v>13818</v>
      </c>
      <c r="L7" s="59">
        <f>ROUND(G7*1.07,)</f>
        <v>9080</v>
      </c>
      <c r="M7" s="60">
        <f>ROUND(H7*1.07,0)</f>
        <v>166</v>
      </c>
      <c r="N7" s="51">
        <f>L7+M7</f>
        <v>9246</v>
      </c>
      <c r="O7" s="57">
        <f>ROUND(N7*$O$5/100,0)</f>
        <v>4573</v>
      </c>
      <c r="P7" s="53">
        <f>N7+O7</f>
        <v>13819</v>
      </c>
      <c r="Q7" s="59">
        <f>ROUND(G7*1.1,)</f>
        <v>9335</v>
      </c>
      <c r="R7" s="60">
        <f>ROUND(H7*1.1,0)</f>
        <v>171</v>
      </c>
      <c r="S7" s="51">
        <f>Q7+R7</f>
        <v>9506</v>
      </c>
      <c r="T7" s="57">
        <f>ROUND(S7*$T$5/100,1)</f>
        <v>4313.7</v>
      </c>
      <c r="U7" s="53">
        <f>S7+T7</f>
        <v>13819.7</v>
      </c>
      <c r="V7" s="59">
        <f>ROUND(G7*1.15,)</f>
        <v>9759</v>
      </c>
      <c r="W7" s="60">
        <f>ROUND(H7*1.15,0)</f>
        <v>178</v>
      </c>
      <c r="X7" s="51">
        <f>V7+W7</f>
        <v>9937</v>
      </c>
      <c r="Y7" s="57">
        <f>ROUND(X7*$Y$5/100,0)</f>
        <v>3881</v>
      </c>
      <c r="Z7" s="53">
        <f>X7+Y7</f>
        <v>13818</v>
      </c>
    </row>
    <row r="8" spans="1:26" ht="25.5" x14ac:dyDescent="0.2">
      <c r="A8" s="61" t="s">
        <v>151</v>
      </c>
      <c r="B8" s="59">
        <v>21084</v>
      </c>
      <c r="C8" s="60">
        <v>155</v>
      </c>
      <c r="D8" s="51">
        <f t="shared" ref="D8:D26" si="1">B8+C8</f>
        <v>21239</v>
      </c>
      <c r="E8" s="52">
        <f t="shared" ref="E8:E22" si="2">ROUND(D8*$E$5/100,0)</f>
        <v>10533</v>
      </c>
      <c r="F8" s="53">
        <f>D8+E8</f>
        <v>31772</v>
      </c>
      <c r="G8" s="59">
        <v>21102</v>
      </c>
      <c r="H8" s="60">
        <v>155</v>
      </c>
      <c r="I8" s="51">
        <f t="shared" ref="I8:I26" si="3">G8+H8</f>
        <v>21257</v>
      </c>
      <c r="J8" s="52">
        <f>ROUND(I8*$J$5/100,0)</f>
        <v>12737</v>
      </c>
      <c r="K8" s="53">
        <f>I8+J8</f>
        <v>33994</v>
      </c>
      <c r="L8" s="59">
        <f t="shared" ref="L8:L26" si="4">ROUND(G8*1.07,)</f>
        <v>22579</v>
      </c>
      <c r="M8" s="60">
        <f t="shared" ref="M8:M26" si="5">ROUND(H8*1.07,0)</f>
        <v>166</v>
      </c>
      <c r="N8" s="51">
        <f>L8+M8</f>
        <v>22745</v>
      </c>
      <c r="O8" s="57">
        <f t="shared" ref="O8:O26" si="6">ROUND(N8*$O$5/100,0)</f>
        <v>11249</v>
      </c>
      <c r="P8" s="53">
        <f>N8+O8</f>
        <v>33994</v>
      </c>
      <c r="Q8" s="59">
        <f t="shared" ref="Q8:Q26" si="7">ROUND(G8*1.1,)</f>
        <v>23212</v>
      </c>
      <c r="R8" s="60">
        <f t="shared" ref="R8:R26" si="8">ROUND(H8*1.1,0)</f>
        <v>171</v>
      </c>
      <c r="S8" s="51">
        <f>Q8+R8</f>
        <v>23383</v>
      </c>
      <c r="T8" s="57">
        <f t="shared" ref="T8:T11" si="9">ROUND(S8*$T$5/100,1)</f>
        <v>10611</v>
      </c>
      <c r="U8" s="53">
        <f>S8+T8</f>
        <v>33994</v>
      </c>
      <c r="V8" s="59">
        <f t="shared" ref="V8:V26" si="10">ROUND(G8*1.15,)</f>
        <v>24267</v>
      </c>
      <c r="W8" s="60">
        <f t="shared" ref="W8:W26" si="11">ROUND(H8*1.15,0)</f>
        <v>178</v>
      </c>
      <c r="X8" s="51">
        <f>V8+W8</f>
        <v>24445</v>
      </c>
      <c r="Y8" s="57">
        <f t="shared" ref="Y8:Y26" si="12">ROUND(X8*$Y$5/100,0)</f>
        <v>9548</v>
      </c>
      <c r="Z8" s="53">
        <f>X8+Y8</f>
        <v>33993</v>
      </c>
    </row>
    <row r="9" spans="1:26" x14ac:dyDescent="0.2">
      <c r="A9" s="62" t="s">
        <v>29</v>
      </c>
      <c r="B9" s="59"/>
      <c r="C9" s="63"/>
      <c r="D9" s="51"/>
      <c r="E9" s="52"/>
      <c r="F9" s="64"/>
      <c r="G9" s="59"/>
      <c r="H9" s="63"/>
      <c r="I9" s="51"/>
      <c r="J9" s="52"/>
      <c r="K9" s="53"/>
      <c r="L9" s="59">
        <f t="shared" si="4"/>
        <v>0</v>
      </c>
      <c r="M9" s="60">
        <f t="shared" si="5"/>
        <v>0</v>
      </c>
      <c r="N9" s="51"/>
      <c r="O9" s="57">
        <f t="shared" si="6"/>
        <v>0</v>
      </c>
      <c r="P9" s="64"/>
      <c r="Q9" s="59">
        <f t="shared" si="7"/>
        <v>0</v>
      </c>
      <c r="R9" s="60">
        <f t="shared" si="8"/>
        <v>0</v>
      </c>
      <c r="S9" s="51"/>
      <c r="T9" s="57">
        <f t="shared" si="9"/>
        <v>0</v>
      </c>
      <c r="U9" s="64"/>
      <c r="V9" s="59">
        <f t="shared" si="10"/>
        <v>0</v>
      </c>
      <c r="W9" s="60">
        <f t="shared" si="11"/>
        <v>0</v>
      </c>
      <c r="X9" s="51"/>
      <c r="Y9" s="57">
        <f t="shared" si="12"/>
        <v>0</v>
      </c>
      <c r="Z9" s="64"/>
    </row>
    <row r="10" spans="1:26" x14ac:dyDescent="0.2">
      <c r="A10" s="61" t="s">
        <v>152</v>
      </c>
      <c r="B10" s="49">
        <v>12780</v>
      </c>
      <c r="C10" s="50">
        <v>311</v>
      </c>
      <c r="D10" s="51">
        <f>B10+C10</f>
        <v>13091</v>
      </c>
      <c r="E10" s="52">
        <f>ROUND(D10*$E$5/100,0)-4</f>
        <v>6488</v>
      </c>
      <c r="F10" s="53">
        <f>D10+E10</f>
        <v>19579</v>
      </c>
      <c r="G10" s="49">
        <v>12780</v>
      </c>
      <c r="H10" s="50">
        <v>311</v>
      </c>
      <c r="I10" s="51">
        <f>G10+H10</f>
        <v>13091</v>
      </c>
      <c r="J10" s="52">
        <f>ROUND(I10*$J$5/100,0)</f>
        <v>7844</v>
      </c>
      <c r="K10" s="53">
        <f>I10+J10</f>
        <v>20935</v>
      </c>
      <c r="L10" s="59">
        <f t="shared" si="4"/>
        <v>13675</v>
      </c>
      <c r="M10" s="60">
        <f t="shared" si="5"/>
        <v>333</v>
      </c>
      <c r="N10" s="51">
        <f>L10+M10</f>
        <v>14008</v>
      </c>
      <c r="O10" s="57">
        <f t="shared" si="6"/>
        <v>6928</v>
      </c>
      <c r="P10" s="53">
        <f>N10+O10</f>
        <v>20936</v>
      </c>
      <c r="Q10" s="59">
        <f t="shared" si="7"/>
        <v>14058</v>
      </c>
      <c r="R10" s="60">
        <f t="shared" si="8"/>
        <v>342</v>
      </c>
      <c r="S10" s="51">
        <f>Q10+R10</f>
        <v>14400</v>
      </c>
      <c r="T10" s="57">
        <f t="shared" si="9"/>
        <v>6534.6</v>
      </c>
      <c r="U10" s="53">
        <f>S10+T10</f>
        <v>20934.599999999999</v>
      </c>
      <c r="V10" s="59">
        <f t="shared" si="10"/>
        <v>14697</v>
      </c>
      <c r="W10" s="60">
        <f t="shared" si="11"/>
        <v>358</v>
      </c>
      <c r="X10" s="51">
        <f>V10+W10</f>
        <v>15055</v>
      </c>
      <c r="Y10" s="57">
        <f t="shared" si="12"/>
        <v>5880</v>
      </c>
      <c r="Z10" s="53">
        <f>X10+Y10</f>
        <v>20935</v>
      </c>
    </row>
    <row r="11" spans="1:26" ht="29.45" customHeight="1" x14ac:dyDescent="0.2">
      <c r="A11" s="58" t="s">
        <v>153</v>
      </c>
      <c r="B11" s="59">
        <v>22823</v>
      </c>
      <c r="C11" s="60">
        <v>155</v>
      </c>
      <c r="D11" s="51">
        <f t="shared" si="1"/>
        <v>22978</v>
      </c>
      <c r="E11" s="52">
        <f>ROUND(D11*$E$5/100,0)+3</f>
        <v>11399</v>
      </c>
      <c r="F11" s="53">
        <f t="shared" ref="F11:F26" si="13">D11+E11</f>
        <v>34377</v>
      </c>
      <c r="G11" s="59">
        <v>22823</v>
      </c>
      <c r="H11" s="60">
        <v>284</v>
      </c>
      <c r="I11" s="51">
        <f t="shared" si="3"/>
        <v>23107</v>
      </c>
      <c r="J11" s="52">
        <f t="shared" si="0"/>
        <v>13845</v>
      </c>
      <c r="K11" s="53">
        <f t="shared" ref="K11:K26" si="14">I11+J11</f>
        <v>36952</v>
      </c>
      <c r="L11" s="59">
        <f t="shared" si="4"/>
        <v>24421</v>
      </c>
      <c r="M11" s="60">
        <f t="shared" si="5"/>
        <v>304</v>
      </c>
      <c r="N11" s="51">
        <f t="shared" ref="N11:N17" si="15">L11+M11</f>
        <v>24725</v>
      </c>
      <c r="O11" s="57">
        <f t="shared" si="6"/>
        <v>12228</v>
      </c>
      <c r="P11" s="53">
        <f t="shared" ref="P11:P17" si="16">N11+O11</f>
        <v>36953</v>
      </c>
      <c r="Q11" s="59">
        <f t="shared" si="7"/>
        <v>25105</v>
      </c>
      <c r="R11" s="60">
        <f t="shared" si="8"/>
        <v>312</v>
      </c>
      <c r="S11" s="51">
        <f t="shared" ref="S11:S17" si="17">Q11+R11</f>
        <v>25417</v>
      </c>
      <c r="T11" s="57">
        <f t="shared" si="9"/>
        <v>11534</v>
      </c>
      <c r="U11" s="53">
        <f t="shared" ref="U11:U26" si="18">S11+T11</f>
        <v>36951</v>
      </c>
      <c r="V11" s="59">
        <f t="shared" si="10"/>
        <v>26246</v>
      </c>
      <c r="W11" s="60">
        <f t="shared" si="11"/>
        <v>327</v>
      </c>
      <c r="X11" s="51">
        <f t="shared" ref="X11:X17" si="19">V11+W11</f>
        <v>26573</v>
      </c>
      <c r="Y11" s="57">
        <f t="shared" si="12"/>
        <v>10379</v>
      </c>
      <c r="Z11" s="53">
        <f t="shared" ref="Z11:Z17" si="20">X11+Y11</f>
        <v>36952</v>
      </c>
    </row>
    <row r="12" spans="1:26" ht="25.5" x14ac:dyDescent="0.2">
      <c r="A12" s="58" t="s">
        <v>72</v>
      </c>
      <c r="B12" s="59">
        <v>15140</v>
      </c>
      <c r="C12" s="60">
        <v>233</v>
      </c>
      <c r="D12" s="51">
        <f t="shared" si="1"/>
        <v>15373</v>
      </c>
      <c r="E12" s="52">
        <f>ROUND(D12*$E$5/100,0)-3</f>
        <v>7621</v>
      </c>
      <c r="F12" s="65">
        <f t="shared" si="13"/>
        <v>22994</v>
      </c>
      <c r="G12" s="59">
        <v>15287</v>
      </c>
      <c r="H12" s="60">
        <v>233</v>
      </c>
      <c r="I12" s="51">
        <f t="shared" si="3"/>
        <v>15520</v>
      </c>
      <c r="J12" s="52">
        <f>ROUND(I12*$J$5/100,0)</f>
        <v>9299</v>
      </c>
      <c r="K12" s="53">
        <f t="shared" si="14"/>
        <v>24819</v>
      </c>
      <c r="L12" s="59">
        <f t="shared" si="4"/>
        <v>16357</v>
      </c>
      <c r="M12" s="60">
        <f t="shared" si="5"/>
        <v>249</v>
      </c>
      <c r="N12" s="51">
        <f t="shared" si="15"/>
        <v>16606</v>
      </c>
      <c r="O12" s="57">
        <f t="shared" si="6"/>
        <v>8213</v>
      </c>
      <c r="P12" s="65">
        <f t="shared" si="16"/>
        <v>24819</v>
      </c>
      <c r="Q12" s="59">
        <f t="shared" si="7"/>
        <v>16816</v>
      </c>
      <c r="R12" s="60">
        <f t="shared" si="8"/>
        <v>256</v>
      </c>
      <c r="S12" s="51">
        <f t="shared" si="17"/>
        <v>17072</v>
      </c>
      <c r="T12" s="57">
        <f>ROUND(S12*$T$5/100,0)</f>
        <v>7747</v>
      </c>
      <c r="U12" s="65">
        <f t="shared" si="18"/>
        <v>24819</v>
      </c>
      <c r="V12" s="59">
        <f t="shared" si="10"/>
        <v>17580</v>
      </c>
      <c r="W12" s="60">
        <f t="shared" si="11"/>
        <v>268</v>
      </c>
      <c r="X12" s="51">
        <f t="shared" si="19"/>
        <v>17848</v>
      </c>
      <c r="Y12" s="57">
        <f t="shared" si="12"/>
        <v>6971</v>
      </c>
      <c r="Z12" s="65">
        <f t="shared" si="20"/>
        <v>24819</v>
      </c>
    </row>
    <row r="13" spans="1:26" x14ac:dyDescent="0.2">
      <c r="A13" s="58" t="s">
        <v>154</v>
      </c>
      <c r="B13" s="59">
        <v>5520</v>
      </c>
      <c r="C13" s="60">
        <v>155</v>
      </c>
      <c r="D13" s="51">
        <f t="shared" si="1"/>
        <v>5675</v>
      </c>
      <c r="E13" s="52">
        <f>ROUND(D13*$E$5/100,0)+4</f>
        <v>2818</v>
      </c>
      <c r="F13" s="65">
        <f t="shared" si="13"/>
        <v>8493</v>
      </c>
      <c r="G13" s="59">
        <v>5520</v>
      </c>
      <c r="H13" s="60">
        <v>155</v>
      </c>
      <c r="I13" s="51">
        <f t="shared" si="3"/>
        <v>5675</v>
      </c>
      <c r="J13" s="52">
        <f t="shared" si="0"/>
        <v>3400</v>
      </c>
      <c r="K13" s="53">
        <f t="shared" si="14"/>
        <v>9075</v>
      </c>
      <c r="L13" s="59">
        <f t="shared" si="4"/>
        <v>5906</v>
      </c>
      <c r="M13" s="60">
        <f t="shared" si="5"/>
        <v>166</v>
      </c>
      <c r="N13" s="51">
        <f t="shared" si="15"/>
        <v>6072</v>
      </c>
      <c r="O13" s="57">
        <f t="shared" si="6"/>
        <v>3003</v>
      </c>
      <c r="P13" s="65">
        <f t="shared" si="16"/>
        <v>9075</v>
      </c>
      <c r="Q13" s="59">
        <f t="shared" si="7"/>
        <v>6072</v>
      </c>
      <c r="R13" s="60">
        <f t="shared" si="8"/>
        <v>171</v>
      </c>
      <c r="S13" s="51">
        <f t="shared" si="17"/>
        <v>6243</v>
      </c>
      <c r="T13" s="57">
        <f t="shared" ref="T13:T26" si="21">ROUND(S13*$T$5/100,0)</f>
        <v>2833</v>
      </c>
      <c r="U13" s="65">
        <f t="shared" si="18"/>
        <v>9076</v>
      </c>
      <c r="V13" s="59">
        <f t="shared" si="10"/>
        <v>6348</v>
      </c>
      <c r="W13" s="60">
        <f t="shared" si="11"/>
        <v>178</v>
      </c>
      <c r="X13" s="51">
        <f t="shared" si="19"/>
        <v>6526</v>
      </c>
      <c r="Y13" s="57">
        <f t="shared" si="12"/>
        <v>2549</v>
      </c>
      <c r="Z13" s="65">
        <f t="shared" si="20"/>
        <v>9075</v>
      </c>
    </row>
    <row r="14" spans="1:26" ht="25.5" x14ac:dyDescent="0.2">
      <c r="A14" s="58" t="s">
        <v>135</v>
      </c>
      <c r="B14" s="59">
        <v>6095</v>
      </c>
      <c r="C14" s="60">
        <v>60</v>
      </c>
      <c r="D14" s="51">
        <f t="shared" si="1"/>
        <v>6155</v>
      </c>
      <c r="E14" s="52">
        <f>ROUND(D14*$E$5/100,0)+1</f>
        <v>3054</v>
      </c>
      <c r="F14" s="65">
        <f t="shared" si="13"/>
        <v>9209</v>
      </c>
      <c r="G14" s="59">
        <v>6147</v>
      </c>
      <c r="H14" s="60">
        <v>60</v>
      </c>
      <c r="I14" s="51">
        <f t="shared" si="3"/>
        <v>6207</v>
      </c>
      <c r="J14" s="52">
        <f>ROUND(I14*$J$5/100,0)</f>
        <v>3719</v>
      </c>
      <c r="K14" s="53">
        <f t="shared" si="14"/>
        <v>9926</v>
      </c>
      <c r="L14" s="59">
        <f t="shared" si="4"/>
        <v>6577</v>
      </c>
      <c r="M14" s="60">
        <f t="shared" si="5"/>
        <v>64</v>
      </c>
      <c r="N14" s="51">
        <f t="shared" si="15"/>
        <v>6641</v>
      </c>
      <c r="O14" s="57">
        <f t="shared" si="6"/>
        <v>3284</v>
      </c>
      <c r="P14" s="65">
        <f t="shared" si="16"/>
        <v>9925</v>
      </c>
      <c r="Q14" s="59">
        <f t="shared" si="7"/>
        <v>6762</v>
      </c>
      <c r="R14" s="60">
        <f t="shared" si="8"/>
        <v>66</v>
      </c>
      <c r="S14" s="51">
        <f t="shared" si="17"/>
        <v>6828</v>
      </c>
      <c r="T14" s="57">
        <f t="shared" si="21"/>
        <v>3098</v>
      </c>
      <c r="U14" s="65">
        <f t="shared" si="18"/>
        <v>9926</v>
      </c>
      <c r="V14" s="59">
        <f t="shared" si="10"/>
        <v>7069</v>
      </c>
      <c r="W14" s="60">
        <f t="shared" si="11"/>
        <v>69</v>
      </c>
      <c r="X14" s="51">
        <f t="shared" si="19"/>
        <v>7138</v>
      </c>
      <c r="Y14" s="57">
        <f t="shared" si="12"/>
        <v>2788</v>
      </c>
      <c r="Z14" s="65">
        <f t="shared" si="20"/>
        <v>9926</v>
      </c>
    </row>
    <row r="15" spans="1:26" x14ac:dyDescent="0.2">
      <c r="A15" s="58" t="s">
        <v>73</v>
      </c>
      <c r="B15" s="59">
        <v>7263</v>
      </c>
      <c r="C15" s="60">
        <v>180</v>
      </c>
      <c r="D15" s="51">
        <f t="shared" si="1"/>
        <v>7443</v>
      </c>
      <c r="E15" s="52">
        <f>ROUND(D15*$E$5/100,0)-3</f>
        <v>3688</v>
      </c>
      <c r="F15" s="65">
        <f t="shared" si="13"/>
        <v>11131</v>
      </c>
      <c r="G15" s="59">
        <v>7263</v>
      </c>
      <c r="H15" s="60">
        <v>180</v>
      </c>
      <c r="I15" s="51">
        <f t="shared" si="3"/>
        <v>7443</v>
      </c>
      <c r="J15" s="52">
        <f t="shared" si="0"/>
        <v>4460</v>
      </c>
      <c r="K15" s="53">
        <f t="shared" si="14"/>
        <v>11903</v>
      </c>
      <c r="L15" s="59">
        <f t="shared" si="4"/>
        <v>7771</v>
      </c>
      <c r="M15" s="60">
        <f t="shared" si="5"/>
        <v>193</v>
      </c>
      <c r="N15" s="51">
        <f t="shared" si="15"/>
        <v>7964</v>
      </c>
      <c r="O15" s="57">
        <f t="shared" si="6"/>
        <v>3939</v>
      </c>
      <c r="P15" s="65">
        <f t="shared" si="16"/>
        <v>11903</v>
      </c>
      <c r="Q15" s="59">
        <f t="shared" si="7"/>
        <v>7989</v>
      </c>
      <c r="R15" s="60">
        <f t="shared" si="8"/>
        <v>198</v>
      </c>
      <c r="S15" s="51">
        <f t="shared" si="17"/>
        <v>8187</v>
      </c>
      <c r="T15" s="57">
        <f t="shared" si="21"/>
        <v>3715</v>
      </c>
      <c r="U15" s="65">
        <f t="shared" si="18"/>
        <v>11902</v>
      </c>
      <c r="V15" s="59">
        <f t="shared" si="10"/>
        <v>8352</v>
      </c>
      <c r="W15" s="60">
        <f t="shared" si="11"/>
        <v>207</v>
      </c>
      <c r="X15" s="51">
        <f t="shared" si="19"/>
        <v>8559</v>
      </c>
      <c r="Y15" s="57">
        <f t="shared" si="12"/>
        <v>3343</v>
      </c>
      <c r="Z15" s="65">
        <f t="shared" si="20"/>
        <v>11902</v>
      </c>
    </row>
    <row r="16" spans="1:26" x14ac:dyDescent="0.2">
      <c r="A16" s="58" t="s">
        <v>155</v>
      </c>
      <c r="B16" s="59">
        <v>12944</v>
      </c>
      <c r="C16" s="60">
        <v>276</v>
      </c>
      <c r="D16" s="51">
        <f t="shared" si="1"/>
        <v>13220</v>
      </c>
      <c r="E16" s="52">
        <f t="shared" si="2"/>
        <v>6556</v>
      </c>
      <c r="F16" s="65">
        <f t="shared" si="13"/>
        <v>19776</v>
      </c>
      <c r="G16" s="59">
        <v>13031</v>
      </c>
      <c r="H16" s="60">
        <v>276</v>
      </c>
      <c r="I16" s="51">
        <f t="shared" si="3"/>
        <v>13307</v>
      </c>
      <c r="J16" s="52">
        <f t="shared" si="0"/>
        <v>7973</v>
      </c>
      <c r="K16" s="53">
        <f t="shared" si="14"/>
        <v>21280</v>
      </c>
      <c r="L16" s="59">
        <f t="shared" si="4"/>
        <v>13943</v>
      </c>
      <c r="M16" s="60">
        <f t="shared" si="5"/>
        <v>295</v>
      </c>
      <c r="N16" s="51">
        <f t="shared" si="15"/>
        <v>14238</v>
      </c>
      <c r="O16" s="57">
        <f t="shared" si="6"/>
        <v>7042</v>
      </c>
      <c r="P16" s="65">
        <f t="shared" si="16"/>
        <v>21280</v>
      </c>
      <c r="Q16" s="59">
        <f t="shared" si="7"/>
        <v>14334</v>
      </c>
      <c r="R16" s="60">
        <f t="shared" si="8"/>
        <v>304</v>
      </c>
      <c r="S16" s="51">
        <f t="shared" si="17"/>
        <v>14638</v>
      </c>
      <c r="T16" s="57">
        <f t="shared" si="21"/>
        <v>6643</v>
      </c>
      <c r="U16" s="65">
        <f t="shared" si="18"/>
        <v>21281</v>
      </c>
      <c r="V16" s="59">
        <f t="shared" si="10"/>
        <v>14986</v>
      </c>
      <c r="W16" s="60">
        <f t="shared" si="11"/>
        <v>317</v>
      </c>
      <c r="X16" s="51">
        <f t="shared" si="19"/>
        <v>15303</v>
      </c>
      <c r="Y16" s="57">
        <f t="shared" si="12"/>
        <v>5977</v>
      </c>
      <c r="Z16" s="65">
        <f t="shared" si="20"/>
        <v>21280</v>
      </c>
    </row>
    <row r="17" spans="1:26" ht="15.75" customHeight="1" x14ac:dyDescent="0.2">
      <c r="A17" s="61" t="s">
        <v>74</v>
      </c>
      <c r="B17" s="59">
        <v>11548</v>
      </c>
      <c r="C17" s="60"/>
      <c r="D17" s="51">
        <f t="shared" si="1"/>
        <v>11548</v>
      </c>
      <c r="E17" s="52">
        <f>ROUND(D17*$E$5/100,0)-2</f>
        <v>5725</v>
      </c>
      <c r="F17" s="65">
        <f t="shared" si="13"/>
        <v>17273</v>
      </c>
      <c r="G17" s="59">
        <v>11566</v>
      </c>
      <c r="H17" s="60">
        <v>103</v>
      </c>
      <c r="I17" s="51">
        <f t="shared" si="3"/>
        <v>11669</v>
      </c>
      <c r="J17" s="52">
        <f>ROUND(I17*$J$5/100,0)</f>
        <v>6992</v>
      </c>
      <c r="K17" s="53">
        <f t="shared" si="14"/>
        <v>18661</v>
      </c>
      <c r="L17" s="59">
        <f t="shared" si="4"/>
        <v>12376</v>
      </c>
      <c r="M17" s="60">
        <f t="shared" si="5"/>
        <v>110</v>
      </c>
      <c r="N17" s="51">
        <f t="shared" si="15"/>
        <v>12486</v>
      </c>
      <c r="O17" s="57">
        <f t="shared" si="6"/>
        <v>6175</v>
      </c>
      <c r="P17" s="65">
        <f t="shared" si="16"/>
        <v>18661</v>
      </c>
      <c r="Q17" s="59">
        <f t="shared" si="7"/>
        <v>12723</v>
      </c>
      <c r="R17" s="60">
        <f t="shared" si="8"/>
        <v>113</v>
      </c>
      <c r="S17" s="51">
        <f t="shared" si="17"/>
        <v>12836</v>
      </c>
      <c r="T17" s="57">
        <f t="shared" si="21"/>
        <v>5825</v>
      </c>
      <c r="U17" s="65">
        <f t="shared" si="18"/>
        <v>18661</v>
      </c>
      <c r="V17" s="59">
        <f t="shared" si="10"/>
        <v>13301</v>
      </c>
      <c r="W17" s="60">
        <f t="shared" si="11"/>
        <v>118</v>
      </c>
      <c r="X17" s="51">
        <f t="shared" si="19"/>
        <v>13419</v>
      </c>
      <c r="Y17" s="57">
        <f t="shared" si="12"/>
        <v>5241</v>
      </c>
      <c r="Z17" s="65">
        <f t="shared" si="20"/>
        <v>18660</v>
      </c>
    </row>
    <row r="18" spans="1:26" s="66" customFormat="1" ht="16.350000000000001" customHeight="1" x14ac:dyDescent="0.2">
      <c r="A18" s="62" t="s">
        <v>30</v>
      </c>
      <c r="B18" s="59"/>
      <c r="C18" s="63"/>
      <c r="D18" s="51"/>
      <c r="E18" s="52"/>
      <c r="F18" s="65"/>
      <c r="G18" s="59"/>
      <c r="H18" s="63"/>
      <c r="I18" s="51"/>
      <c r="J18" s="52"/>
      <c r="K18" s="53"/>
      <c r="L18" s="59">
        <f t="shared" si="4"/>
        <v>0</v>
      </c>
      <c r="M18" s="60">
        <f t="shared" si="5"/>
        <v>0</v>
      </c>
      <c r="N18" s="51"/>
      <c r="O18" s="57">
        <f t="shared" si="6"/>
        <v>0</v>
      </c>
      <c r="P18" s="65"/>
      <c r="Q18" s="59">
        <f t="shared" si="7"/>
        <v>0</v>
      </c>
      <c r="R18" s="60">
        <f t="shared" si="8"/>
        <v>0</v>
      </c>
      <c r="S18" s="51"/>
      <c r="T18" s="57">
        <f t="shared" si="21"/>
        <v>0</v>
      </c>
      <c r="U18" s="65"/>
      <c r="V18" s="59">
        <f t="shared" si="10"/>
        <v>0</v>
      </c>
      <c r="W18" s="60">
        <f t="shared" si="11"/>
        <v>0</v>
      </c>
      <c r="X18" s="51"/>
      <c r="Y18" s="57">
        <f t="shared" si="12"/>
        <v>0</v>
      </c>
      <c r="Z18" s="65"/>
    </row>
    <row r="19" spans="1:26" s="66" customFormat="1" x14ac:dyDescent="0.2">
      <c r="A19" s="58" t="s">
        <v>156</v>
      </c>
      <c r="B19" s="59">
        <v>1351</v>
      </c>
      <c r="C19" s="60">
        <v>64</v>
      </c>
      <c r="D19" s="51">
        <f t="shared" si="1"/>
        <v>1415</v>
      </c>
      <c r="E19" s="52">
        <f>ROUND(D19*$E$5/100,0)+1</f>
        <v>703</v>
      </c>
      <c r="F19" s="65">
        <f t="shared" si="13"/>
        <v>2118</v>
      </c>
      <c r="G19" s="59">
        <v>1404</v>
      </c>
      <c r="H19" s="60">
        <v>64</v>
      </c>
      <c r="I19" s="51">
        <f t="shared" si="3"/>
        <v>1468</v>
      </c>
      <c r="J19" s="52">
        <f t="shared" si="0"/>
        <v>880</v>
      </c>
      <c r="K19" s="53">
        <f t="shared" si="14"/>
        <v>2348</v>
      </c>
      <c r="L19" s="59">
        <f t="shared" si="4"/>
        <v>1502</v>
      </c>
      <c r="M19" s="60">
        <f t="shared" si="5"/>
        <v>68</v>
      </c>
      <c r="N19" s="51">
        <f>L19+M19</f>
        <v>1570</v>
      </c>
      <c r="O19" s="57">
        <f t="shared" si="6"/>
        <v>776</v>
      </c>
      <c r="P19" s="65">
        <f t="shared" ref="P19:P23" si="22">N19+O19</f>
        <v>2346</v>
      </c>
      <c r="Q19" s="59">
        <f t="shared" si="7"/>
        <v>1544</v>
      </c>
      <c r="R19" s="60">
        <f t="shared" si="8"/>
        <v>70</v>
      </c>
      <c r="S19" s="51">
        <f>Q19+R19</f>
        <v>1614</v>
      </c>
      <c r="T19" s="57">
        <f t="shared" si="21"/>
        <v>732</v>
      </c>
      <c r="U19" s="65">
        <f t="shared" si="18"/>
        <v>2346</v>
      </c>
      <c r="V19" s="59">
        <f t="shared" si="10"/>
        <v>1615</v>
      </c>
      <c r="W19" s="60">
        <f t="shared" si="11"/>
        <v>74</v>
      </c>
      <c r="X19" s="51">
        <f>V19+W19</f>
        <v>1689</v>
      </c>
      <c r="Y19" s="116">
        <f>ROUND(X19*$Y$5/100,0)+1</f>
        <v>661</v>
      </c>
      <c r="Z19" s="65">
        <f t="shared" ref="Z19:Z23" si="23">X19+Y19</f>
        <v>2350</v>
      </c>
    </row>
    <row r="20" spans="1:26" s="66" customFormat="1" x14ac:dyDescent="0.2">
      <c r="A20" s="58" t="s">
        <v>137</v>
      </c>
      <c r="B20" s="59">
        <v>2003</v>
      </c>
      <c r="C20" s="60">
        <v>120</v>
      </c>
      <c r="D20" s="51">
        <f t="shared" si="1"/>
        <v>2123</v>
      </c>
      <c r="E20" s="52">
        <f>ROUND(D20*$E$5/100,0)+2</f>
        <v>1055</v>
      </c>
      <c r="F20" s="65">
        <f t="shared" si="13"/>
        <v>3178</v>
      </c>
      <c r="G20" s="59">
        <v>2003</v>
      </c>
      <c r="H20" s="60">
        <v>120</v>
      </c>
      <c r="I20" s="51">
        <f t="shared" si="3"/>
        <v>2123</v>
      </c>
      <c r="J20" s="52">
        <f t="shared" si="0"/>
        <v>1272</v>
      </c>
      <c r="K20" s="53">
        <f t="shared" si="14"/>
        <v>3395</v>
      </c>
      <c r="L20" s="59">
        <f t="shared" si="4"/>
        <v>2143</v>
      </c>
      <c r="M20" s="60">
        <f t="shared" si="5"/>
        <v>128</v>
      </c>
      <c r="N20" s="51">
        <f>L20+M20</f>
        <v>2271</v>
      </c>
      <c r="O20" s="57">
        <f t="shared" si="6"/>
        <v>1123</v>
      </c>
      <c r="P20" s="65">
        <f t="shared" si="22"/>
        <v>3394</v>
      </c>
      <c r="Q20" s="59">
        <f t="shared" si="7"/>
        <v>2203</v>
      </c>
      <c r="R20" s="60">
        <f t="shared" si="8"/>
        <v>132</v>
      </c>
      <c r="S20" s="51">
        <f>Q20+R20</f>
        <v>2335</v>
      </c>
      <c r="T20" s="57">
        <f t="shared" si="21"/>
        <v>1060</v>
      </c>
      <c r="U20" s="65">
        <f t="shared" si="18"/>
        <v>3395</v>
      </c>
      <c r="V20" s="59">
        <f t="shared" si="10"/>
        <v>2303</v>
      </c>
      <c r="W20" s="60">
        <f t="shared" si="11"/>
        <v>138</v>
      </c>
      <c r="X20" s="51">
        <f>V20+W20</f>
        <v>2441</v>
      </c>
      <c r="Y20" s="57">
        <f t="shared" si="12"/>
        <v>953</v>
      </c>
      <c r="Z20" s="65">
        <f t="shared" si="23"/>
        <v>3394</v>
      </c>
    </row>
    <row r="21" spans="1:26" s="66" customFormat="1" x14ac:dyDescent="0.2">
      <c r="A21" s="58" t="s">
        <v>75</v>
      </c>
      <c r="B21" s="59">
        <v>1823</v>
      </c>
      <c r="C21" s="60">
        <v>69</v>
      </c>
      <c r="D21" s="51">
        <f t="shared" si="1"/>
        <v>1892</v>
      </c>
      <c r="E21" s="52">
        <f t="shared" si="2"/>
        <v>938</v>
      </c>
      <c r="F21" s="65">
        <f t="shared" si="13"/>
        <v>2830</v>
      </c>
      <c r="G21" s="59">
        <v>1834</v>
      </c>
      <c r="H21" s="60">
        <v>69</v>
      </c>
      <c r="I21" s="51">
        <f t="shared" si="3"/>
        <v>1903</v>
      </c>
      <c r="J21" s="52">
        <f t="shared" si="0"/>
        <v>1140</v>
      </c>
      <c r="K21" s="53">
        <f t="shared" si="14"/>
        <v>3043</v>
      </c>
      <c r="L21" s="59">
        <f t="shared" si="4"/>
        <v>1962</v>
      </c>
      <c r="M21" s="60">
        <f t="shared" si="5"/>
        <v>74</v>
      </c>
      <c r="N21" s="51">
        <f>L21+M21</f>
        <v>2036</v>
      </c>
      <c r="O21" s="57">
        <f t="shared" si="6"/>
        <v>1007</v>
      </c>
      <c r="P21" s="65">
        <f t="shared" si="22"/>
        <v>3043</v>
      </c>
      <c r="Q21" s="59">
        <f t="shared" si="7"/>
        <v>2017</v>
      </c>
      <c r="R21" s="60">
        <f t="shared" si="8"/>
        <v>76</v>
      </c>
      <c r="S21" s="51">
        <f>Q21+R21</f>
        <v>2093</v>
      </c>
      <c r="T21" s="57">
        <f t="shared" si="21"/>
        <v>950</v>
      </c>
      <c r="U21" s="65">
        <f t="shared" si="18"/>
        <v>3043</v>
      </c>
      <c r="V21" s="59">
        <f t="shared" si="10"/>
        <v>2109</v>
      </c>
      <c r="W21" s="60">
        <f t="shared" si="11"/>
        <v>79</v>
      </c>
      <c r="X21" s="51">
        <f>V21+W21</f>
        <v>2188</v>
      </c>
      <c r="Y21" s="57">
        <f t="shared" si="12"/>
        <v>855</v>
      </c>
      <c r="Z21" s="65">
        <f t="shared" si="23"/>
        <v>3043</v>
      </c>
    </row>
    <row r="22" spans="1:26" s="66" customFormat="1" x14ac:dyDescent="0.2">
      <c r="A22" s="58" t="s">
        <v>157</v>
      </c>
      <c r="B22" s="59">
        <v>2692</v>
      </c>
      <c r="C22" s="60">
        <v>155</v>
      </c>
      <c r="D22" s="51">
        <f t="shared" si="1"/>
        <v>2847</v>
      </c>
      <c r="E22" s="52">
        <f t="shared" si="2"/>
        <v>1412</v>
      </c>
      <c r="F22" s="65">
        <f t="shared" si="13"/>
        <v>4259</v>
      </c>
      <c r="G22" s="59">
        <v>2686</v>
      </c>
      <c r="H22" s="60">
        <v>155</v>
      </c>
      <c r="I22" s="51">
        <f t="shared" si="3"/>
        <v>2841</v>
      </c>
      <c r="J22" s="52">
        <f t="shared" si="0"/>
        <v>1702</v>
      </c>
      <c r="K22" s="53">
        <f t="shared" si="14"/>
        <v>4543</v>
      </c>
      <c r="L22" s="59">
        <f t="shared" si="4"/>
        <v>2874</v>
      </c>
      <c r="M22" s="60">
        <f t="shared" si="5"/>
        <v>166</v>
      </c>
      <c r="N22" s="51">
        <f>L22+M22</f>
        <v>3040</v>
      </c>
      <c r="O22" s="57">
        <f t="shared" si="6"/>
        <v>1503</v>
      </c>
      <c r="P22" s="65">
        <f t="shared" si="22"/>
        <v>4543</v>
      </c>
      <c r="Q22" s="59">
        <f t="shared" si="7"/>
        <v>2955</v>
      </c>
      <c r="R22" s="60">
        <f t="shared" si="8"/>
        <v>171</v>
      </c>
      <c r="S22" s="51">
        <f>Q22+R22</f>
        <v>3126</v>
      </c>
      <c r="T22" s="57">
        <f t="shared" si="21"/>
        <v>1419</v>
      </c>
      <c r="U22" s="65">
        <f t="shared" si="18"/>
        <v>4545</v>
      </c>
      <c r="V22" s="59">
        <f t="shared" si="10"/>
        <v>3089</v>
      </c>
      <c r="W22" s="60">
        <f t="shared" si="11"/>
        <v>178</v>
      </c>
      <c r="X22" s="51">
        <f>V22+W22</f>
        <v>3267</v>
      </c>
      <c r="Y22" s="57">
        <f t="shared" si="12"/>
        <v>1276</v>
      </c>
      <c r="Z22" s="65">
        <f t="shared" si="23"/>
        <v>4543</v>
      </c>
    </row>
    <row r="23" spans="1:26" s="66" customFormat="1" ht="15.95" customHeight="1" x14ac:dyDescent="0.2">
      <c r="A23" s="67" t="s">
        <v>31</v>
      </c>
      <c r="B23" s="59">
        <v>6176</v>
      </c>
      <c r="C23" s="60">
        <v>69</v>
      </c>
      <c r="D23" s="51">
        <f t="shared" si="1"/>
        <v>6245</v>
      </c>
      <c r="E23" s="52">
        <f>ROUND(D23*$E$5/100,0)+1</f>
        <v>3098</v>
      </c>
      <c r="F23" s="65">
        <f t="shared" si="13"/>
        <v>9343</v>
      </c>
      <c r="G23" s="59">
        <v>6464</v>
      </c>
      <c r="H23" s="60">
        <v>69</v>
      </c>
      <c r="I23" s="51">
        <f t="shared" si="3"/>
        <v>6533</v>
      </c>
      <c r="J23" s="52">
        <f t="shared" si="0"/>
        <v>3914</v>
      </c>
      <c r="K23" s="53">
        <f t="shared" si="14"/>
        <v>10447</v>
      </c>
      <c r="L23" s="59">
        <f t="shared" si="4"/>
        <v>6916</v>
      </c>
      <c r="M23" s="60">
        <f t="shared" si="5"/>
        <v>74</v>
      </c>
      <c r="N23" s="51">
        <f>L23+M23</f>
        <v>6990</v>
      </c>
      <c r="O23" s="57">
        <f t="shared" si="6"/>
        <v>3457</v>
      </c>
      <c r="P23" s="65">
        <f t="shared" si="22"/>
        <v>10447</v>
      </c>
      <c r="Q23" s="59">
        <f t="shared" si="7"/>
        <v>7110</v>
      </c>
      <c r="R23" s="60">
        <f t="shared" si="8"/>
        <v>76</v>
      </c>
      <c r="S23" s="51">
        <f>Q23+R23</f>
        <v>7186</v>
      </c>
      <c r="T23" s="57">
        <f t="shared" si="21"/>
        <v>3261</v>
      </c>
      <c r="U23" s="65">
        <f t="shared" si="18"/>
        <v>10447</v>
      </c>
      <c r="V23" s="59">
        <f t="shared" si="10"/>
        <v>7434</v>
      </c>
      <c r="W23" s="60">
        <f t="shared" si="11"/>
        <v>79</v>
      </c>
      <c r="X23" s="51">
        <f>V23+W23</f>
        <v>7513</v>
      </c>
      <c r="Y23" s="57">
        <f t="shared" si="12"/>
        <v>2935</v>
      </c>
      <c r="Z23" s="65">
        <f t="shared" si="23"/>
        <v>10448</v>
      </c>
    </row>
    <row r="24" spans="1:26" s="66" customFormat="1" x14ac:dyDescent="0.2">
      <c r="A24" s="67" t="s">
        <v>32</v>
      </c>
      <c r="B24" s="59"/>
      <c r="C24" s="63"/>
      <c r="D24" s="51"/>
      <c r="E24" s="52"/>
      <c r="F24" s="65"/>
      <c r="G24" s="59"/>
      <c r="H24" s="63"/>
      <c r="I24" s="51"/>
      <c r="J24" s="52"/>
      <c r="K24" s="53"/>
      <c r="L24" s="59">
        <f t="shared" si="4"/>
        <v>0</v>
      </c>
      <c r="M24" s="60">
        <f t="shared" si="5"/>
        <v>0</v>
      </c>
      <c r="N24" s="51"/>
      <c r="O24" s="57">
        <f t="shared" si="6"/>
        <v>0</v>
      </c>
      <c r="P24" s="65"/>
      <c r="Q24" s="59">
        <f t="shared" si="7"/>
        <v>0</v>
      </c>
      <c r="R24" s="60">
        <f t="shared" si="8"/>
        <v>0</v>
      </c>
      <c r="S24" s="51"/>
      <c r="T24" s="57">
        <f t="shared" si="21"/>
        <v>0</v>
      </c>
      <c r="U24" s="65"/>
      <c r="V24" s="59">
        <f t="shared" si="10"/>
        <v>0</v>
      </c>
      <c r="W24" s="60">
        <f t="shared" si="11"/>
        <v>0</v>
      </c>
      <c r="X24" s="51"/>
      <c r="Y24" s="57">
        <f t="shared" si="12"/>
        <v>0</v>
      </c>
      <c r="Z24" s="65"/>
    </row>
    <row r="25" spans="1:26" s="66" customFormat="1" x14ac:dyDescent="0.2">
      <c r="A25" s="61" t="s">
        <v>76</v>
      </c>
      <c r="B25" s="59">
        <v>6174</v>
      </c>
      <c r="C25" s="60">
        <v>1362</v>
      </c>
      <c r="D25" s="51">
        <f t="shared" si="1"/>
        <v>7536</v>
      </c>
      <c r="E25" s="52">
        <f>ROUND(D25*$E$5/100,0)+2</f>
        <v>3739</v>
      </c>
      <c r="F25" s="65">
        <f t="shared" si="13"/>
        <v>11275</v>
      </c>
      <c r="G25" s="59">
        <v>6174</v>
      </c>
      <c r="H25" s="60">
        <v>1370</v>
      </c>
      <c r="I25" s="51">
        <f t="shared" si="3"/>
        <v>7544</v>
      </c>
      <c r="J25" s="52">
        <f t="shared" si="0"/>
        <v>4520</v>
      </c>
      <c r="K25" s="53">
        <f t="shared" si="14"/>
        <v>12064</v>
      </c>
      <c r="L25" s="59">
        <f t="shared" si="4"/>
        <v>6606</v>
      </c>
      <c r="M25" s="60">
        <f t="shared" si="5"/>
        <v>1466</v>
      </c>
      <c r="N25" s="51">
        <f>L25+M25</f>
        <v>8072</v>
      </c>
      <c r="O25" s="57">
        <f t="shared" si="6"/>
        <v>3992</v>
      </c>
      <c r="P25" s="65">
        <f t="shared" ref="P25:P26" si="24">N25+O25</f>
        <v>12064</v>
      </c>
      <c r="Q25" s="59">
        <f t="shared" si="7"/>
        <v>6791</v>
      </c>
      <c r="R25" s="60">
        <f t="shared" si="8"/>
        <v>1507</v>
      </c>
      <c r="S25" s="51">
        <f>Q25+R25</f>
        <v>8298</v>
      </c>
      <c r="T25" s="57">
        <f t="shared" si="21"/>
        <v>3766</v>
      </c>
      <c r="U25" s="65">
        <f t="shared" si="18"/>
        <v>12064</v>
      </c>
      <c r="V25" s="59">
        <f t="shared" si="10"/>
        <v>7100</v>
      </c>
      <c r="W25" s="60">
        <f t="shared" si="11"/>
        <v>1576</v>
      </c>
      <c r="X25" s="51">
        <f>V25+W25</f>
        <v>8676</v>
      </c>
      <c r="Y25" s="57">
        <f t="shared" si="12"/>
        <v>3389</v>
      </c>
      <c r="Z25" s="65">
        <f t="shared" ref="Z25:Z26" si="25">X25+Y25</f>
        <v>12065</v>
      </c>
    </row>
    <row r="26" spans="1:26" s="66" customFormat="1" ht="16.7" customHeight="1" x14ac:dyDescent="0.2">
      <c r="A26" s="61" t="s">
        <v>77</v>
      </c>
      <c r="B26" s="59">
        <v>4323</v>
      </c>
      <c r="C26" s="60">
        <v>1650</v>
      </c>
      <c r="D26" s="51">
        <f t="shared" si="1"/>
        <v>5973</v>
      </c>
      <c r="E26" s="52">
        <f>ROUND(D26*$E$5/100,0)+1</f>
        <v>2963</v>
      </c>
      <c r="F26" s="65">
        <f t="shared" si="13"/>
        <v>8936</v>
      </c>
      <c r="G26" s="59">
        <v>4323</v>
      </c>
      <c r="H26" s="60">
        <v>1650</v>
      </c>
      <c r="I26" s="51">
        <f t="shared" si="3"/>
        <v>5973</v>
      </c>
      <c r="J26" s="52">
        <f t="shared" si="0"/>
        <v>3579</v>
      </c>
      <c r="K26" s="53">
        <f t="shared" si="14"/>
        <v>9552</v>
      </c>
      <c r="L26" s="59">
        <f t="shared" si="4"/>
        <v>4626</v>
      </c>
      <c r="M26" s="60">
        <f t="shared" si="5"/>
        <v>1766</v>
      </c>
      <c r="N26" s="51">
        <f>L26+M26</f>
        <v>6392</v>
      </c>
      <c r="O26" s="57">
        <f t="shared" si="6"/>
        <v>3161</v>
      </c>
      <c r="P26" s="65">
        <f t="shared" si="24"/>
        <v>9553</v>
      </c>
      <c r="Q26" s="59">
        <f t="shared" si="7"/>
        <v>4755</v>
      </c>
      <c r="R26" s="60">
        <f t="shared" si="8"/>
        <v>1815</v>
      </c>
      <c r="S26" s="51">
        <f>Q26+R26</f>
        <v>6570</v>
      </c>
      <c r="T26" s="57">
        <f t="shared" si="21"/>
        <v>2981</v>
      </c>
      <c r="U26" s="65">
        <f t="shared" si="18"/>
        <v>9551</v>
      </c>
      <c r="V26" s="59">
        <f t="shared" si="10"/>
        <v>4971</v>
      </c>
      <c r="W26" s="60">
        <f t="shared" si="11"/>
        <v>1898</v>
      </c>
      <c r="X26" s="51">
        <f>V26+W26</f>
        <v>6869</v>
      </c>
      <c r="Y26" s="57">
        <f t="shared" si="12"/>
        <v>2683</v>
      </c>
      <c r="Z26" s="65">
        <f t="shared" si="25"/>
        <v>9552</v>
      </c>
    </row>
    <row r="27" spans="1:26" s="66" customFormat="1" ht="13.7" customHeight="1" x14ac:dyDescent="0.25">
      <c r="A27" s="68" t="s">
        <v>78</v>
      </c>
      <c r="B27" s="69">
        <f t="shared" ref="B27:U27" si="26">SUM(B6:B26)</f>
        <v>148225</v>
      </c>
      <c r="C27" s="69">
        <f t="shared" si="26"/>
        <v>5169</v>
      </c>
      <c r="D27" s="70">
        <f t="shared" si="26"/>
        <v>153394</v>
      </c>
      <c r="E27" s="70">
        <f t="shared" si="26"/>
        <v>76075</v>
      </c>
      <c r="F27" s="70">
        <f t="shared" si="26"/>
        <v>229469</v>
      </c>
      <c r="G27" s="70">
        <f t="shared" si="26"/>
        <v>148893</v>
      </c>
      <c r="H27" s="70">
        <f t="shared" si="26"/>
        <v>5409</v>
      </c>
      <c r="I27" s="70">
        <f t="shared" si="26"/>
        <v>154302</v>
      </c>
      <c r="J27" s="70">
        <f t="shared" si="26"/>
        <v>92453</v>
      </c>
      <c r="K27" s="70">
        <f t="shared" si="26"/>
        <v>246755</v>
      </c>
      <c r="L27" s="69">
        <f t="shared" ref="L27:P27" si="27">SUM(L6:L26)</f>
        <v>159314</v>
      </c>
      <c r="M27" s="70">
        <f t="shared" si="27"/>
        <v>5788</v>
      </c>
      <c r="N27" s="70">
        <f t="shared" si="27"/>
        <v>165102</v>
      </c>
      <c r="O27" s="70">
        <f t="shared" si="27"/>
        <v>81653</v>
      </c>
      <c r="P27" s="70">
        <f t="shared" si="27"/>
        <v>246755</v>
      </c>
      <c r="Q27" s="69">
        <f t="shared" si="26"/>
        <v>163781</v>
      </c>
      <c r="R27" s="70">
        <f t="shared" si="26"/>
        <v>5951</v>
      </c>
      <c r="S27" s="70">
        <f t="shared" si="26"/>
        <v>169732</v>
      </c>
      <c r="T27" s="70">
        <f t="shared" si="26"/>
        <v>77023.3</v>
      </c>
      <c r="U27" s="70">
        <f t="shared" si="26"/>
        <v>246755.3</v>
      </c>
      <c r="V27" s="69">
        <f t="shared" ref="V27:Z27" si="28">SUM(V6:V26)</f>
        <v>171226</v>
      </c>
      <c r="W27" s="70">
        <f t="shared" si="28"/>
        <v>6220</v>
      </c>
      <c r="X27" s="70">
        <f t="shared" si="28"/>
        <v>177446</v>
      </c>
      <c r="Y27" s="70">
        <f t="shared" si="28"/>
        <v>69309</v>
      </c>
      <c r="Z27" s="70">
        <f t="shared" si="28"/>
        <v>246755</v>
      </c>
    </row>
    <row r="28" spans="1:26" s="74" customFormat="1" hidden="1" outlineLevel="1" x14ac:dyDescent="0.2">
      <c r="A28" s="72" t="s">
        <v>33</v>
      </c>
      <c r="B28" s="73">
        <f>SUM(B7:B26)</f>
        <v>148225</v>
      </c>
      <c r="C28" s="73">
        <f>SUM(C7:C26)</f>
        <v>5169</v>
      </c>
      <c r="D28" s="73">
        <f>SUM(D7:D26)</f>
        <v>153394</v>
      </c>
      <c r="E28" s="73">
        <f>SUM(E7:E26)</f>
        <v>76075</v>
      </c>
      <c r="F28" s="73">
        <f>SUM(F7:F26)</f>
        <v>229469</v>
      </c>
      <c r="G28" s="81"/>
      <c r="H28" s="81"/>
      <c r="I28" s="81"/>
      <c r="J28" s="81"/>
      <c r="K28" s="81"/>
    </row>
    <row r="29" spans="1:26" ht="27" hidden="1" customHeight="1" x14ac:dyDescent="0.2">
      <c r="A29" s="140" t="s">
        <v>34</v>
      </c>
      <c r="B29" s="140"/>
      <c r="C29" s="140"/>
      <c r="D29" s="75"/>
    </row>
    <row r="30" spans="1:26" hidden="1" x14ac:dyDescent="0.2">
      <c r="A30" s="44"/>
      <c r="B30" s="44"/>
      <c r="C30" s="44"/>
      <c r="D30" s="44"/>
      <c r="E30" s="76"/>
      <c r="F30" s="76"/>
      <c r="G30" s="76"/>
      <c r="H30" s="76"/>
      <c r="I30" s="76"/>
      <c r="J30" s="76"/>
      <c r="K30" s="76"/>
    </row>
    <row r="31" spans="1:26" hidden="1" x14ac:dyDescent="0.2">
      <c r="B31" s="45">
        <v>94021</v>
      </c>
      <c r="C31" s="45">
        <v>2698</v>
      </c>
      <c r="D31" s="45">
        <f>B31+C31</f>
        <v>96719</v>
      </c>
    </row>
    <row r="32" spans="1:26" hidden="1" x14ac:dyDescent="0.2"/>
    <row r="33" spans="1:11" ht="3" hidden="1" customHeight="1" x14ac:dyDescent="0.2"/>
    <row r="34" spans="1:11" hidden="1" x14ac:dyDescent="0.2"/>
    <row r="35" spans="1:11" ht="26.25" hidden="1" customHeight="1" x14ac:dyDescent="0.25">
      <c r="A35" s="141" t="s">
        <v>35</v>
      </c>
      <c r="B35" s="142"/>
      <c r="C35" s="142"/>
      <c r="D35" s="142"/>
      <c r="E35" s="142"/>
      <c r="F35" s="142"/>
      <c r="G35" s="82"/>
      <c r="H35" s="82"/>
      <c r="I35" s="82"/>
      <c r="J35" s="82"/>
      <c r="K35" s="82"/>
    </row>
    <row r="36" spans="1:11" hidden="1" x14ac:dyDescent="0.2">
      <c r="C36" s="76"/>
    </row>
    <row r="37" spans="1:11" hidden="1" x14ac:dyDescent="0.2">
      <c r="A37" s="74" t="s">
        <v>36</v>
      </c>
    </row>
    <row r="38" spans="1:11" hidden="1" x14ac:dyDescent="0.2">
      <c r="A38" s="71" t="s">
        <v>37</v>
      </c>
    </row>
    <row r="39" spans="1:11" hidden="1" x14ac:dyDescent="0.2">
      <c r="A39" s="45" t="s">
        <v>38</v>
      </c>
    </row>
    <row r="40" spans="1:11" hidden="1" x14ac:dyDescent="0.2">
      <c r="A40" s="45" t="s">
        <v>39</v>
      </c>
    </row>
    <row r="41" spans="1:11" hidden="1" x14ac:dyDescent="0.2">
      <c r="A41" s="45" t="s">
        <v>40</v>
      </c>
    </row>
    <row r="42" spans="1:11" hidden="1" x14ac:dyDescent="0.2">
      <c r="A42" s="45" t="s">
        <v>41</v>
      </c>
    </row>
    <row r="43" spans="1:11" hidden="1" x14ac:dyDescent="0.2">
      <c r="A43" s="45" t="s">
        <v>42</v>
      </c>
    </row>
    <row r="44" spans="1:11" hidden="1" x14ac:dyDescent="0.2">
      <c r="A44" s="45" t="s">
        <v>43</v>
      </c>
    </row>
    <row r="45" spans="1:11" hidden="1" x14ac:dyDescent="0.2">
      <c r="A45" s="71" t="s">
        <v>44</v>
      </c>
    </row>
    <row r="46" spans="1:11" hidden="1" x14ac:dyDescent="0.2">
      <c r="A46" s="71" t="s">
        <v>45</v>
      </c>
    </row>
    <row r="47" spans="1:11" hidden="1" x14ac:dyDescent="0.2"/>
    <row r="48" spans="1:11" hidden="1" x14ac:dyDescent="0.2">
      <c r="A48" s="45" t="s">
        <v>46</v>
      </c>
    </row>
    <row r="49" spans="1:5" hidden="1" x14ac:dyDescent="0.2">
      <c r="A49" s="45" t="s">
        <v>47</v>
      </c>
    </row>
    <row r="50" spans="1:5" hidden="1" x14ac:dyDescent="0.2"/>
    <row r="51" spans="1:5" hidden="1" x14ac:dyDescent="0.2">
      <c r="A51" s="45" t="s">
        <v>48</v>
      </c>
    </row>
    <row r="52" spans="1:5" hidden="1" x14ac:dyDescent="0.2"/>
    <row r="53" spans="1:5" hidden="1" x14ac:dyDescent="0.2">
      <c r="A53" s="45" t="s">
        <v>49</v>
      </c>
    </row>
    <row r="54" spans="1:5" hidden="1" x14ac:dyDescent="0.2"/>
    <row r="55" spans="1:5" hidden="1" x14ac:dyDescent="0.2">
      <c r="A55" s="45" t="s">
        <v>50</v>
      </c>
    </row>
    <row r="56" spans="1:5" hidden="1" x14ac:dyDescent="0.2">
      <c r="A56" s="45" t="s">
        <v>51</v>
      </c>
    </row>
    <row r="57" spans="1:5" hidden="1" outlineLevel="1" x14ac:dyDescent="0.2">
      <c r="E57" s="45" t="e">
        <f>ROUND(#REF!/D27*100,5)</f>
        <v>#REF!</v>
      </c>
    </row>
    <row r="58" spans="1:5" hidden="1" outlineLevel="1" x14ac:dyDescent="0.2"/>
    <row r="59" spans="1:5" hidden="1" outlineLevel="1" x14ac:dyDescent="0.2"/>
    <row r="60" spans="1:5" hidden="1" outlineLevel="1" x14ac:dyDescent="0.2"/>
    <row r="61" spans="1:5" hidden="1" outlineLevel="1" x14ac:dyDescent="0.2"/>
    <row r="62" spans="1:5" hidden="1" outlineLevel="1" x14ac:dyDescent="0.2"/>
    <row r="63" spans="1:5" hidden="1" outlineLevel="1" x14ac:dyDescent="0.2"/>
    <row r="64" spans="1:5" hidden="1" outlineLevel="1" x14ac:dyDescent="0.2"/>
    <row r="65" hidden="1" outlineLevel="1" x14ac:dyDescent="0.2"/>
    <row r="66" hidden="1" outlineLevel="1" x14ac:dyDescent="0.2"/>
    <row r="67" hidden="1" outlineLevel="1" x14ac:dyDescent="0.2"/>
    <row r="68" hidden="1" outlineLevel="1" x14ac:dyDescent="0.2"/>
    <row r="69" hidden="1" outlineLevel="1" x14ac:dyDescent="0.2"/>
    <row r="70" hidden="1" outlineLevel="1" x14ac:dyDescent="0.2"/>
    <row r="71" hidden="1" outlineLevel="1" x14ac:dyDescent="0.2"/>
    <row r="72" hidden="1" outlineLevel="1" x14ac:dyDescent="0.2"/>
    <row r="73" hidden="1" outlineLevel="1" x14ac:dyDescent="0.2"/>
    <row r="74" hidden="1" outlineLevel="1" x14ac:dyDescent="0.2"/>
    <row r="75" hidden="1" outlineLevel="1" x14ac:dyDescent="0.2"/>
    <row r="76" hidden="1" outlineLevel="1" x14ac:dyDescent="0.2"/>
    <row r="77" hidden="1" outlineLevel="1" x14ac:dyDescent="0.2"/>
    <row r="78" hidden="1" outlineLevel="1" x14ac:dyDescent="0.2"/>
    <row r="79" hidden="1" outlineLevel="1" x14ac:dyDescent="0.2"/>
    <row r="80" hidden="1" outlineLevel="1" x14ac:dyDescent="0.2"/>
    <row r="81" spans="1:26" hidden="1" outlineLevel="1" x14ac:dyDescent="0.2"/>
    <row r="82" spans="1:26" hidden="1" outlineLevel="1" x14ac:dyDescent="0.2"/>
    <row r="83" spans="1:26" ht="12.75" hidden="1" customHeight="1" outlineLevel="1" x14ac:dyDescent="0.2">
      <c r="A83" s="142"/>
      <c r="B83" s="142"/>
      <c r="C83" s="142"/>
      <c r="D83" s="142"/>
      <c r="E83" s="142"/>
      <c r="F83" s="142"/>
      <c r="G83" s="82"/>
      <c r="H83" s="82"/>
      <c r="I83" s="82"/>
      <c r="J83" s="82"/>
      <c r="K83" s="82"/>
    </row>
    <row r="84" spans="1:26" hidden="1" outlineLevel="1" x14ac:dyDescent="0.2">
      <c r="E84" s="45">
        <f>129353+20893+14413</f>
        <v>164659</v>
      </c>
    </row>
    <row r="85" spans="1:26" hidden="1" x14ac:dyDescent="0.2"/>
    <row r="86" spans="1:26" ht="31.35" hidden="1" customHeight="1" x14ac:dyDescent="0.2"/>
    <row r="87" spans="1:26" hidden="1" x14ac:dyDescent="0.2">
      <c r="C87" s="143"/>
      <c r="D87" s="77"/>
      <c r="E87" s="143"/>
      <c r="F87" s="143"/>
      <c r="G87" s="77"/>
      <c r="H87" s="77"/>
      <c r="I87" s="77"/>
      <c r="J87" s="77"/>
      <c r="K87" s="77"/>
    </row>
    <row r="88" spans="1:26" hidden="1" x14ac:dyDescent="0.2">
      <c r="C88" s="143"/>
    </row>
    <row r="89" spans="1:26" s="84" customFormat="1" ht="13.5" x14ac:dyDescent="0.25">
      <c r="A89" s="83" t="s">
        <v>23</v>
      </c>
      <c r="B89" s="85"/>
      <c r="C89" s="85"/>
      <c r="D89" s="85">
        <f>ROUND(D27/F27,3)</f>
        <v>0.66800000000000004</v>
      </c>
      <c r="E89" s="85">
        <f>ROUND(E27/F27,3)</f>
        <v>0.33200000000000002</v>
      </c>
      <c r="F89" s="85">
        <v>1</v>
      </c>
      <c r="G89" s="85"/>
      <c r="H89" s="85"/>
      <c r="I89" s="85">
        <f>ROUND(I27/K27,3)</f>
        <v>0.625</v>
      </c>
      <c r="J89" s="85">
        <f>ROUND(J27/K27,3)</f>
        <v>0.375</v>
      </c>
      <c r="K89" s="85">
        <v>1</v>
      </c>
      <c r="L89" s="85"/>
      <c r="M89" s="85"/>
      <c r="N89" s="85">
        <f>ROUND(N27/P27,3)</f>
        <v>0.66900000000000004</v>
      </c>
      <c r="O89" s="85">
        <f>ROUND(O27/P27,3)</f>
        <v>0.33100000000000002</v>
      </c>
      <c r="P89" s="85">
        <v>1</v>
      </c>
      <c r="Q89" s="85"/>
      <c r="R89" s="85"/>
      <c r="S89" s="85">
        <f>ROUND(S27/U27,3)</f>
        <v>0.68799999999999994</v>
      </c>
      <c r="T89" s="85">
        <f>ROUND(T27/U27,3)</f>
        <v>0.312</v>
      </c>
      <c r="U89" s="85">
        <v>1</v>
      </c>
      <c r="V89" s="85"/>
      <c r="W89" s="85"/>
      <c r="X89" s="85">
        <f>ROUND(X27/Z27,3)</f>
        <v>0.71899999999999997</v>
      </c>
      <c r="Y89" s="85">
        <f>ROUND(Y27/Z27,3)</f>
        <v>0.28100000000000003</v>
      </c>
      <c r="Z89" s="85">
        <v>1</v>
      </c>
    </row>
    <row r="90" spans="1:26" s="80" customFormat="1" ht="18.95" customHeight="1" x14ac:dyDescent="0.2">
      <c r="A90" s="86" t="s">
        <v>55</v>
      </c>
      <c r="K90" s="110" t="s">
        <v>85</v>
      </c>
      <c r="L90" s="110"/>
      <c r="M90" s="110"/>
      <c r="N90" s="110"/>
      <c r="O90" s="110"/>
      <c r="P90" s="110"/>
      <c r="S90" s="80" t="s">
        <v>56</v>
      </c>
    </row>
    <row r="91" spans="1:26" s="117" customFormat="1" ht="12.95" hidden="1" customHeight="1" outlineLevel="1" x14ac:dyDescent="0.2">
      <c r="G91" s="117" t="s">
        <v>116</v>
      </c>
      <c r="H91" s="119" t="s">
        <v>118</v>
      </c>
      <c r="L91" s="117" t="s">
        <v>116</v>
      </c>
      <c r="M91" s="119" t="s">
        <v>120</v>
      </c>
      <c r="Q91" s="117" t="s">
        <v>116</v>
      </c>
      <c r="R91" s="119" t="s">
        <v>122</v>
      </c>
      <c r="V91" s="117" t="s">
        <v>116</v>
      </c>
      <c r="W91" s="119" t="s">
        <v>124</v>
      </c>
    </row>
    <row r="92" spans="1:26" s="117" customFormat="1" ht="13.5" hidden="1" customHeight="1" outlineLevel="1" x14ac:dyDescent="0.2">
      <c r="B92" s="118" t="e">
        <f>B27-#REF!</f>
        <v>#REF!</v>
      </c>
      <c r="C92" s="118"/>
      <c r="G92" s="117" t="s">
        <v>117</v>
      </c>
      <c r="H92" s="119" t="s">
        <v>119</v>
      </c>
      <c r="L92" s="117" t="s">
        <v>117</v>
      </c>
      <c r="M92" s="119" t="s">
        <v>121</v>
      </c>
      <c r="Q92" s="117" t="s">
        <v>117</v>
      </c>
      <c r="R92" s="119" t="s">
        <v>123</v>
      </c>
      <c r="V92" s="117" t="s">
        <v>117</v>
      </c>
      <c r="W92" s="119" t="s">
        <v>125</v>
      </c>
    </row>
    <row r="93" spans="1:26" s="117" customFormat="1" ht="6.6" customHeight="1" collapsed="1" x14ac:dyDescent="0.2">
      <c r="B93" s="118"/>
      <c r="C93" s="118"/>
    </row>
    <row r="94" spans="1:26" ht="13.35" customHeight="1" x14ac:dyDescent="0.2">
      <c r="A94" s="30" t="s">
        <v>19</v>
      </c>
      <c r="B94" s="76"/>
      <c r="C94" s="76"/>
    </row>
    <row r="95" spans="1:26" x14ac:dyDescent="0.2">
      <c r="A95" s="44"/>
      <c r="C95" s="106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</row>
    <row r="96" spans="1:26" ht="23.25" customHeight="1" x14ac:dyDescent="0.2">
      <c r="C96" s="106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</row>
    <row r="100" spans="4:16" x14ac:dyDescent="0.2"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</row>
    <row r="101" spans="4:16" x14ac:dyDescent="0.2">
      <c r="D101" s="66"/>
    </row>
  </sheetData>
  <mergeCells count="32">
    <mergeCell ref="A29:C29"/>
    <mergeCell ref="A35:F35"/>
    <mergeCell ref="A83:F83"/>
    <mergeCell ref="C87:C88"/>
    <mergeCell ref="U4:U5"/>
    <mergeCell ref="Q4:Q5"/>
    <mergeCell ref="E87:F87"/>
    <mergeCell ref="L4:L5"/>
    <mergeCell ref="M4:M5"/>
    <mergeCell ref="N4:N5"/>
    <mergeCell ref="P4:P5"/>
    <mergeCell ref="A1:U1"/>
    <mergeCell ref="A3:A5"/>
    <mergeCell ref="B3:F3"/>
    <mergeCell ref="Q3:U3"/>
    <mergeCell ref="R4:R5"/>
    <mergeCell ref="B4:B5"/>
    <mergeCell ref="C4:C5"/>
    <mergeCell ref="D4:D5"/>
    <mergeCell ref="S4:S5"/>
    <mergeCell ref="G3:K3"/>
    <mergeCell ref="G4:G5"/>
    <mergeCell ref="H4:H5"/>
    <mergeCell ref="I4:I5"/>
    <mergeCell ref="K4:K5"/>
    <mergeCell ref="F4:F5"/>
    <mergeCell ref="L3:P3"/>
    <mergeCell ref="V3:Z3"/>
    <mergeCell ref="V4:V5"/>
    <mergeCell ref="W4:W5"/>
    <mergeCell ref="X4:X5"/>
    <mergeCell ref="Z4:Z5"/>
  </mergeCells>
  <pageMargins left="0" right="0" top="0.39370078740157483" bottom="0" header="0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7"/>
  <sheetViews>
    <sheetView showZeros="0" topLeftCell="A16" zoomScale="80" zoomScaleNormal="80" workbookViewId="0">
      <selection activeCell="K44" sqref="K44"/>
    </sheetView>
  </sheetViews>
  <sheetFormatPr defaultColWidth="7.125" defaultRowHeight="12.75" outlineLevelRow="1" outlineLevelCol="1" x14ac:dyDescent="0.2"/>
  <cols>
    <col min="1" max="1" width="3" style="1" customWidth="1"/>
    <col min="2" max="2" width="35.625" style="1" customWidth="1"/>
    <col min="3" max="3" width="6.625" style="1" hidden="1" customWidth="1" outlineLevel="1"/>
    <col min="4" max="4" width="7.875" style="1" hidden="1" customWidth="1" outlineLevel="1"/>
    <col min="5" max="5" width="7.375" style="1" hidden="1" customWidth="1" outlineLevel="1"/>
    <col min="6" max="6" width="6.375" style="1" hidden="1" customWidth="1" outlineLevel="1"/>
    <col min="7" max="7" width="7.125" style="1" hidden="1" customWidth="1" outlineLevel="1"/>
    <col min="8" max="8" width="7.375" style="1" customWidth="1" collapsed="1"/>
    <col min="9" max="9" width="7.625" style="1" customWidth="1"/>
    <col min="10" max="10" width="6.625" style="1" customWidth="1"/>
    <col min="11" max="11" width="7.5" style="1" customWidth="1"/>
    <col min="12" max="16384" width="7.125" style="1"/>
  </cols>
  <sheetData>
    <row r="1" spans="1:11" ht="64.349999999999994" customHeight="1" x14ac:dyDescent="0.2">
      <c r="A1" s="144" t="s">
        <v>129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3.5" customHeigh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0.35" customHeight="1" x14ac:dyDescent="0.2">
      <c r="K3" s="1" t="s">
        <v>70</v>
      </c>
    </row>
    <row r="4" spans="1:11" ht="45" customHeight="1" x14ac:dyDescent="0.2">
      <c r="A4" s="156"/>
      <c r="B4" s="156"/>
      <c r="C4" s="153" t="s">
        <v>130</v>
      </c>
      <c r="D4" s="154"/>
      <c r="E4" s="154"/>
      <c r="F4" s="154"/>
      <c r="G4" s="155"/>
      <c r="H4" s="153" t="s">
        <v>69</v>
      </c>
      <c r="I4" s="154"/>
      <c r="J4" s="154"/>
      <c r="K4" s="155"/>
    </row>
    <row r="5" spans="1:11" ht="13.35" customHeight="1" x14ac:dyDescent="0.2">
      <c r="A5" s="156"/>
      <c r="B5" s="156"/>
      <c r="C5" s="147" t="s">
        <v>58</v>
      </c>
      <c r="D5" s="151" t="s">
        <v>12</v>
      </c>
      <c r="E5" s="152"/>
      <c r="F5" s="150" t="s">
        <v>79</v>
      </c>
      <c r="G5" s="145" t="s">
        <v>0</v>
      </c>
      <c r="H5" s="147" t="s">
        <v>58</v>
      </c>
      <c r="I5" s="148" t="s">
        <v>71</v>
      </c>
      <c r="J5" s="150" t="s">
        <v>79</v>
      </c>
      <c r="K5" s="145" t="s">
        <v>0</v>
      </c>
    </row>
    <row r="6" spans="1:11" ht="24" customHeight="1" x14ac:dyDescent="0.2">
      <c r="A6" s="156"/>
      <c r="B6" s="156"/>
      <c r="C6" s="147"/>
      <c r="D6" s="94" t="s">
        <v>59</v>
      </c>
      <c r="E6" s="95" t="s">
        <v>60</v>
      </c>
      <c r="F6" s="150"/>
      <c r="G6" s="146"/>
      <c r="H6" s="147"/>
      <c r="I6" s="149"/>
      <c r="J6" s="150"/>
      <c r="K6" s="146"/>
    </row>
    <row r="7" spans="1:11" x14ac:dyDescent="0.2">
      <c r="A7" s="2">
        <v>1</v>
      </c>
      <c r="B7" s="3" t="s">
        <v>131</v>
      </c>
      <c r="C7" s="96">
        <f t="shared" ref="C7:C23" si="0">D7+E7</f>
        <v>112</v>
      </c>
      <c r="D7" s="96">
        <v>28</v>
      </c>
      <c r="E7" s="97">
        <v>84</v>
      </c>
      <c r="F7" s="5">
        <f>ROUND(C7*30.2%,0)</f>
        <v>34</v>
      </c>
      <c r="G7" s="5">
        <f t="shared" ref="G7:G23" si="1">C7+F7</f>
        <v>146</v>
      </c>
      <c r="H7" s="96">
        <f t="shared" ref="H7:H23" si="2">I7</f>
        <v>922</v>
      </c>
      <c r="I7" s="96">
        <v>922</v>
      </c>
      <c r="J7" s="5">
        <f>ROUND(H7*30.2%,0)</f>
        <v>278</v>
      </c>
      <c r="K7" s="5">
        <f t="shared" ref="K7:K23" si="3">H7+J7</f>
        <v>1200</v>
      </c>
    </row>
    <row r="8" spans="1:11" x14ac:dyDescent="0.2">
      <c r="A8" s="2">
        <v>2</v>
      </c>
      <c r="B8" s="3" t="s">
        <v>141</v>
      </c>
      <c r="C8" s="96">
        <f t="shared" si="0"/>
        <v>276</v>
      </c>
      <c r="D8" s="96">
        <v>69</v>
      </c>
      <c r="E8" s="97">
        <v>207</v>
      </c>
      <c r="F8" s="5">
        <f>ROUND(C8*30.2%,0)</f>
        <v>83</v>
      </c>
      <c r="G8" s="5">
        <f t="shared" si="1"/>
        <v>359</v>
      </c>
      <c r="H8" s="96">
        <f t="shared" si="2"/>
        <v>2271</v>
      </c>
      <c r="I8" s="96">
        <v>2271</v>
      </c>
      <c r="J8" s="5">
        <f t="shared" ref="J8:J22" si="4">ROUND(H8*30.2%,0)</f>
        <v>686</v>
      </c>
      <c r="K8" s="5">
        <f t="shared" si="3"/>
        <v>2957</v>
      </c>
    </row>
    <row r="9" spans="1:11" x14ac:dyDescent="0.2">
      <c r="A9" s="2">
        <v>3</v>
      </c>
      <c r="B9" s="3" t="s">
        <v>132</v>
      </c>
      <c r="C9" s="96">
        <f>D9+E9</f>
        <v>182</v>
      </c>
      <c r="D9" s="97">
        <v>43</v>
      </c>
      <c r="E9" s="97">
        <v>139</v>
      </c>
      <c r="F9" s="5">
        <f t="shared" ref="F9:F23" si="5">ROUND(C9*30.2%,0)</f>
        <v>55</v>
      </c>
      <c r="G9" s="5">
        <f>C9+F9</f>
        <v>237</v>
      </c>
      <c r="H9" s="96">
        <f>I9</f>
        <v>1398</v>
      </c>
      <c r="I9" s="97">
        <v>1398</v>
      </c>
      <c r="J9" s="5">
        <f t="shared" si="4"/>
        <v>422</v>
      </c>
      <c r="K9" s="5">
        <f>H9+J9</f>
        <v>1820</v>
      </c>
    </row>
    <row r="10" spans="1:11" x14ac:dyDescent="0.2">
      <c r="A10" s="2">
        <v>4</v>
      </c>
      <c r="B10" s="3" t="s">
        <v>133</v>
      </c>
      <c r="C10" s="96">
        <f t="shared" si="0"/>
        <v>318</v>
      </c>
      <c r="D10" s="96">
        <v>75</v>
      </c>
      <c r="E10" s="97">
        <v>243</v>
      </c>
      <c r="F10" s="5">
        <f t="shared" si="5"/>
        <v>96</v>
      </c>
      <c r="G10" s="5">
        <f t="shared" si="1"/>
        <v>414</v>
      </c>
      <c r="H10" s="96">
        <f t="shared" si="2"/>
        <v>2468</v>
      </c>
      <c r="I10" s="96">
        <v>2468</v>
      </c>
      <c r="J10" s="5">
        <f t="shared" si="4"/>
        <v>745</v>
      </c>
      <c r="K10" s="5">
        <f t="shared" si="3"/>
        <v>3213</v>
      </c>
    </row>
    <row r="11" spans="1:11" x14ac:dyDescent="0.2">
      <c r="A11" s="2">
        <v>5</v>
      </c>
      <c r="B11" s="3" t="s">
        <v>140</v>
      </c>
      <c r="C11" s="96">
        <f t="shared" si="0"/>
        <v>222</v>
      </c>
      <c r="D11" s="96">
        <v>51</v>
      </c>
      <c r="E11" s="97">
        <v>171</v>
      </c>
      <c r="F11" s="5">
        <f t="shared" si="5"/>
        <v>67</v>
      </c>
      <c r="G11" s="5">
        <f t="shared" si="1"/>
        <v>289</v>
      </c>
      <c r="H11" s="96">
        <f t="shared" si="2"/>
        <v>1657</v>
      </c>
      <c r="I11" s="96">
        <v>1657</v>
      </c>
      <c r="J11" s="5">
        <f t="shared" si="4"/>
        <v>500</v>
      </c>
      <c r="K11" s="5">
        <f t="shared" si="3"/>
        <v>2157</v>
      </c>
    </row>
    <row r="12" spans="1:11" x14ac:dyDescent="0.2">
      <c r="A12" s="2">
        <v>6</v>
      </c>
      <c r="B12" s="3" t="s">
        <v>134</v>
      </c>
      <c r="C12" s="96">
        <f t="shared" si="0"/>
        <v>87</v>
      </c>
      <c r="D12" s="96">
        <v>18</v>
      </c>
      <c r="E12" s="97">
        <v>69</v>
      </c>
      <c r="F12" s="5">
        <f t="shared" si="5"/>
        <v>26</v>
      </c>
      <c r="G12" s="5">
        <f t="shared" si="1"/>
        <v>113</v>
      </c>
      <c r="H12" s="96">
        <f t="shared" si="2"/>
        <v>606</v>
      </c>
      <c r="I12" s="96">
        <v>606</v>
      </c>
      <c r="J12" s="5">
        <f t="shared" si="4"/>
        <v>183</v>
      </c>
      <c r="K12" s="5">
        <f t="shared" si="3"/>
        <v>789</v>
      </c>
    </row>
    <row r="13" spans="1:11" x14ac:dyDescent="0.2">
      <c r="A13" s="2">
        <v>7</v>
      </c>
      <c r="B13" s="3" t="s">
        <v>139</v>
      </c>
      <c r="C13" s="96">
        <f t="shared" si="0"/>
        <v>115</v>
      </c>
      <c r="D13" s="96">
        <v>20</v>
      </c>
      <c r="E13" s="97">
        <v>95</v>
      </c>
      <c r="F13" s="5">
        <f t="shared" si="5"/>
        <v>35</v>
      </c>
      <c r="G13" s="5">
        <f t="shared" si="1"/>
        <v>150</v>
      </c>
      <c r="H13" s="96">
        <f t="shared" si="2"/>
        <v>663</v>
      </c>
      <c r="I13" s="96">
        <v>663</v>
      </c>
      <c r="J13" s="5">
        <f t="shared" si="4"/>
        <v>200</v>
      </c>
      <c r="K13" s="5">
        <f t="shared" si="3"/>
        <v>863</v>
      </c>
    </row>
    <row r="14" spans="1:11" x14ac:dyDescent="0.2">
      <c r="A14" s="2">
        <v>8</v>
      </c>
      <c r="B14" s="3" t="s">
        <v>61</v>
      </c>
      <c r="C14" s="96">
        <f t="shared" si="0"/>
        <v>178</v>
      </c>
      <c r="D14" s="96">
        <v>43</v>
      </c>
      <c r="E14" s="97">
        <v>135</v>
      </c>
      <c r="F14" s="5">
        <f t="shared" si="5"/>
        <v>54</v>
      </c>
      <c r="G14" s="5">
        <f t="shared" si="1"/>
        <v>232</v>
      </c>
      <c r="H14" s="96">
        <f t="shared" si="2"/>
        <v>795</v>
      </c>
      <c r="I14" s="96">
        <v>795</v>
      </c>
      <c r="J14" s="5">
        <f t="shared" si="4"/>
        <v>240</v>
      </c>
      <c r="K14" s="5">
        <f t="shared" si="3"/>
        <v>1035</v>
      </c>
    </row>
    <row r="15" spans="1:11" x14ac:dyDescent="0.2">
      <c r="A15" s="2">
        <v>9</v>
      </c>
      <c r="B15" s="3" t="s">
        <v>62</v>
      </c>
      <c r="C15" s="96">
        <f t="shared" si="0"/>
        <v>134</v>
      </c>
      <c r="D15" s="96">
        <v>24</v>
      </c>
      <c r="E15" s="97">
        <v>110</v>
      </c>
      <c r="F15" s="5">
        <f>ROUND(C15*30.2%,0)+1</f>
        <v>41</v>
      </c>
      <c r="G15" s="5">
        <f t="shared" si="1"/>
        <v>175</v>
      </c>
      <c r="H15" s="96">
        <f t="shared" si="2"/>
        <v>1421</v>
      </c>
      <c r="I15" s="96">
        <v>1421</v>
      </c>
      <c r="J15" s="5">
        <f t="shared" si="4"/>
        <v>429</v>
      </c>
      <c r="K15" s="5">
        <f t="shared" si="3"/>
        <v>1850</v>
      </c>
    </row>
    <row r="16" spans="1:11" x14ac:dyDescent="0.2">
      <c r="A16" s="2">
        <v>10</v>
      </c>
      <c r="B16" s="3" t="s">
        <v>63</v>
      </c>
      <c r="C16" s="96">
        <f t="shared" si="0"/>
        <v>156</v>
      </c>
      <c r="D16" s="96">
        <v>38</v>
      </c>
      <c r="E16" s="97">
        <v>118</v>
      </c>
      <c r="F16" s="5">
        <f t="shared" si="5"/>
        <v>47</v>
      </c>
      <c r="G16" s="5">
        <f t="shared" si="1"/>
        <v>203</v>
      </c>
      <c r="H16" s="96">
        <f t="shared" si="2"/>
        <v>1246</v>
      </c>
      <c r="I16" s="96">
        <v>1246</v>
      </c>
      <c r="J16" s="5">
        <f t="shared" si="4"/>
        <v>376</v>
      </c>
      <c r="K16" s="5">
        <f t="shared" si="3"/>
        <v>1622</v>
      </c>
    </row>
    <row r="17" spans="1:11" x14ac:dyDescent="0.2">
      <c r="A17" s="2">
        <v>11</v>
      </c>
      <c r="B17" s="3" t="s">
        <v>136</v>
      </c>
      <c r="C17" s="96">
        <f t="shared" si="0"/>
        <v>45</v>
      </c>
      <c r="D17" s="96">
        <v>5</v>
      </c>
      <c r="E17" s="97">
        <v>40</v>
      </c>
      <c r="F17" s="5">
        <f t="shared" si="5"/>
        <v>14</v>
      </c>
      <c r="G17" s="5">
        <f t="shared" si="1"/>
        <v>59</v>
      </c>
      <c r="H17" s="96">
        <f t="shared" si="2"/>
        <v>157</v>
      </c>
      <c r="I17" s="96">
        <v>157</v>
      </c>
      <c r="J17" s="5">
        <f>ROUND(H17*30.2%,0)+1</f>
        <v>48</v>
      </c>
      <c r="K17" s="5">
        <f t="shared" si="3"/>
        <v>205</v>
      </c>
    </row>
    <row r="18" spans="1:11" x14ac:dyDescent="0.2">
      <c r="A18" s="2">
        <v>12</v>
      </c>
      <c r="B18" s="3" t="s">
        <v>137</v>
      </c>
      <c r="C18" s="96">
        <f t="shared" si="0"/>
        <v>77</v>
      </c>
      <c r="D18" s="96">
        <v>7</v>
      </c>
      <c r="E18" s="97">
        <v>70</v>
      </c>
      <c r="F18" s="5">
        <f t="shared" si="5"/>
        <v>23</v>
      </c>
      <c r="G18" s="5">
        <f t="shared" si="1"/>
        <v>100</v>
      </c>
      <c r="H18" s="96">
        <f t="shared" si="2"/>
        <v>227</v>
      </c>
      <c r="I18" s="96">
        <v>227</v>
      </c>
      <c r="J18" s="5">
        <f t="shared" si="4"/>
        <v>69</v>
      </c>
      <c r="K18" s="5">
        <f t="shared" si="3"/>
        <v>296</v>
      </c>
    </row>
    <row r="19" spans="1:11" x14ac:dyDescent="0.2">
      <c r="A19" s="2">
        <v>13</v>
      </c>
      <c r="B19" s="3" t="s">
        <v>64</v>
      </c>
      <c r="C19" s="96">
        <f t="shared" si="0"/>
        <v>61</v>
      </c>
      <c r="D19" s="96">
        <v>6</v>
      </c>
      <c r="E19" s="97">
        <v>55</v>
      </c>
      <c r="F19" s="5">
        <f t="shared" si="5"/>
        <v>18</v>
      </c>
      <c r="G19" s="5">
        <f t="shared" si="1"/>
        <v>79</v>
      </c>
      <c r="H19" s="96">
        <f t="shared" si="2"/>
        <v>203</v>
      </c>
      <c r="I19" s="96">
        <v>203</v>
      </c>
      <c r="J19" s="5">
        <f t="shared" si="4"/>
        <v>61</v>
      </c>
      <c r="K19" s="5">
        <f t="shared" si="3"/>
        <v>264</v>
      </c>
    </row>
    <row r="20" spans="1:11" x14ac:dyDescent="0.2">
      <c r="A20" s="2">
        <v>14</v>
      </c>
      <c r="B20" s="3" t="s">
        <v>65</v>
      </c>
      <c r="C20" s="96">
        <f t="shared" si="0"/>
        <v>76</v>
      </c>
      <c r="D20" s="96">
        <v>9</v>
      </c>
      <c r="E20" s="97">
        <v>67</v>
      </c>
      <c r="F20" s="5">
        <f t="shared" si="5"/>
        <v>23</v>
      </c>
      <c r="G20" s="5">
        <f t="shared" si="1"/>
        <v>99</v>
      </c>
      <c r="H20" s="96">
        <f t="shared" si="2"/>
        <v>303</v>
      </c>
      <c r="I20" s="96">
        <v>303</v>
      </c>
      <c r="J20" s="5">
        <f t="shared" si="4"/>
        <v>92</v>
      </c>
      <c r="K20" s="5">
        <f t="shared" si="3"/>
        <v>395</v>
      </c>
    </row>
    <row r="21" spans="1:11" x14ac:dyDescent="0.2">
      <c r="A21" s="2">
        <v>15</v>
      </c>
      <c r="B21" s="3" t="s">
        <v>138</v>
      </c>
      <c r="C21" s="96">
        <f t="shared" si="0"/>
        <v>109</v>
      </c>
      <c r="D21" s="96">
        <v>22</v>
      </c>
      <c r="E21" s="97">
        <v>87</v>
      </c>
      <c r="F21" s="5">
        <f t="shared" si="5"/>
        <v>33</v>
      </c>
      <c r="G21" s="5">
        <f t="shared" si="1"/>
        <v>142</v>
      </c>
      <c r="H21" s="96">
        <f t="shared" si="2"/>
        <v>697</v>
      </c>
      <c r="I21" s="96">
        <v>697</v>
      </c>
      <c r="J21" s="5">
        <f>ROUND(H21*30.2%,0)+1</f>
        <v>211</v>
      </c>
      <c r="K21" s="5">
        <f t="shared" si="3"/>
        <v>908</v>
      </c>
    </row>
    <row r="22" spans="1:11" x14ac:dyDescent="0.2">
      <c r="A22" s="2">
        <v>16</v>
      </c>
      <c r="B22" s="3" t="s">
        <v>66</v>
      </c>
      <c r="C22" s="96">
        <f t="shared" si="0"/>
        <v>272</v>
      </c>
      <c r="D22" s="96">
        <v>24</v>
      </c>
      <c r="E22" s="97">
        <v>248</v>
      </c>
      <c r="F22" s="5">
        <f t="shared" si="5"/>
        <v>82</v>
      </c>
      <c r="G22" s="5">
        <f t="shared" si="1"/>
        <v>354</v>
      </c>
      <c r="H22" s="96">
        <f t="shared" si="2"/>
        <v>806</v>
      </c>
      <c r="I22" s="96">
        <v>806</v>
      </c>
      <c r="J22" s="5">
        <f t="shared" si="4"/>
        <v>243</v>
      </c>
      <c r="K22" s="5">
        <f t="shared" si="3"/>
        <v>1049</v>
      </c>
    </row>
    <row r="23" spans="1:11" x14ac:dyDescent="0.2">
      <c r="A23" s="2">
        <v>17</v>
      </c>
      <c r="B23" s="3" t="s">
        <v>67</v>
      </c>
      <c r="C23" s="96">
        <f t="shared" si="0"/>
        <v>263</v>
      </c>
      <c r="D23" s="96">
        <v>19</v>
      </c>
      <c r="E23" s="97">
        <v>244</v>
      </c>
      <c r="F23" s="5">
        <f t="shared" si="5"/>
        <v>79</v>
      </c>
      <c r="G23" s="5">
        <f t="shared" si="1"/>
        <v>342</v>
      </c>
      <c r="H23" s="96">
        <f t="shared" si="2"/>
        <v>638</v>
      </c>
      <c r="I23" s="96">
        <v>638</v>
      </c>
      <c r="J23" s="5">
        <f>ROUND(H23*30.2%,0)</f>
        <v>193</v>
      </c>
      <c r="K23" s="5">
        <f t="shared" si="3"/>
        <v>831</v>
      </c>
    </row>
    <row r="24" spans="1:11" s="8" customFormat="1" ht="13.5" x14ac:dyDescent="0.2">
      <c r="A24" s="99"/>
      <c r="B24" s="100" t="s">
        <v>81</v>
      </c>
      <c r="C24" s="101">
        <f t="shared" ref="C24:K24" si="6">SUM(C7:C23)</f>
        <v>2683</v>
      </c>
      <c r="D24" s="101">
        <f t="shared" si="6"/>
        <v>501</v>
      </c>
      <c r="E24" s="101">
        <f t="shared" si="6"/>
        <v>2182</v>
      </c>
      <c r="F24" s="101">
        <f t="shared" si="6"/>
        <v>810</v>
      </c>
      <c r="G24" s="101">
        <f t="shared" si="6"/>
        <v>3493</v>
      </c>
      <c r="H24" s="101">
        <f t="shared" si="6"/>
        <v>16478</v>
      </c>
      <c r="I24" s="101">
        <f t="shared" si="6"/>
        <v>16478</v>
      </c>
      <c r="J24" s="101">
        <f t="shared" si="6"/>
        <v>4976</v>
      </c>
      <c r="K24" s="101">
        <f t="shared" si="6"/>
        <v>21454</v>
      </c>
    </row>
    <row r="25" spans="1:11" x14ac:dyDescent="0.2">
      <c r="A25" s="2">
        <v>18</v>
      </c>
      <c r="B25" s="3" t="s">
        <v>142</v>
      </c>
      <c r="C25" s="5"/>
      <c r="D25" s="5"/>
      <c r="E25" s="5"/>
      <c r="F25" s="5"/>
      <c r="G25" s="5"/>
      <c r="H25" s="4">
        <v>2463</v>
      </c>
      <c r="I25" s="97"/>
      <c r="J25" s="98">
        <f>ROUND(H25*30.2%,0)</f>
        <v>744</v>
      </c>
      <c r="K25" s="5">
        <f t="shared" ref="K25:K34" si="7">H25+J25</f>
        <v>3207</v>
      </c>
    </row>
    <row r="26" spans="1:11" x14ac:dyDescent="0.2">
      <c r="A26" s="2">
        <v>19</v>
      </c>
      <c r="B26" s="3" t="s">
        <v>143</v>
      </c>
      <c r="C26" s="5"/>
      <c r="D26" s="5"/>
      <c r="E26" s="5"/>
      <c r="F26" s="5"/>
      <c r="G26" s="5"/>
      <c r="H26" s="4">
        <v>643</v>
      </c>
      <c r="I26" s="97"/>
      <c r="J26" s="98">
        <f>ROUND(H26*30.2%,0)</f>
        <v>194</v>
      </c>
      <c r="K26" s="5">
        <f t="shared" si="7"/>
        <v>837</v>
      </c>
    </row>
    <row r="27" spans="1:11" x14ac:dyDescent="0.2">
      <c r="A27" s="2">
        <v>20</v>
      </c>
      <c r="B27" s="3" t="s">
        <v>144</v>
      </c>
      <c r="C27" s="5"/>
      <c r="D27" s="5"/>
      <c r="E27" s="5"/>
      <c r="F27" s="5"/>
      <c r="G27" s="5"/>
      <c r="H27" s="4">
        <v>1380</v>
      </c>
      <c r="I27" s="97"/>
      <c r="J27" s="98">
        <f>ROUND(H27*30.2%,0)</f>
        <v>417</v>
      </c>
      <c r="K27" s="5">
        <f t="shared" si="7"/>
        <v>1797</v>
      </c>
    </row>
    <row r="28" spans="1:11" x14ac:dyDescent="0.2">
      <c r="A28" s="2">
        <v>21</v>
      </c>
      <c r="B28" s="6" t="s">
        <v>145</v>
      </c>
      <c r="C28" s="5"/>
      <c r="D28" s="5"/>
      <c r="E28" s="5"/>
      <c r="F28" s="5"/>
      <c r="G28" s="5"/>
      <c r="H28" s="4">
        <v>10366</v>
      </c>
      <c r="I28" s="97"/>
      <c r="J28" s="98">
        <f>ROUND(H28*30.2%,0)-1</f>
        <v>3130</v>
      </c>
      <c r="K28" s="5">
        <f t="shared" si="7"/>
        <v>13496</v>
      </c>
    </row>
    <row r="29" spans="1:11" x14ac:dyDescent="0.2">
      <c r="A29" s="2">
        <v>22</v>
      </c>
      <c r="B29" s="6" t="s">
        <v>1</v>
      </c>
      <c r="C29" s="5"/>
      <c r="D29" s="5"/>
      <c r="E29" s="5"/>
      <c r="F29" s="5"/>
      <c r="G29" s="5"/>
      <c r="H29" s="103">
        <v>4839</v>
      </c>
      <c r="I29" s="97"/>
      <c r="J29" s="98">
        <f>ROUND(H29*30.2%,0)</f>
        <v>1461</v>
      </c>
      <c r="K29" s="5">
        <f t="shared" si="7"/>
        <v>6300</v>
      </c>
    </row>
    <row r="30" spans="1:11" x14ac:dyDescent="0.2">
      <c r="A30" s="2">
        <v>23</v>
      </c>
      <c r="B30" s="3" t="s">
        <v>146</v>
      </c>
      <c r="C30" s="5"/>
      <c r="D30" s="5"/>
      <c r="E30" s="5"/>
      <c r="F30" s="5"/>
      <c r="G30" s="5"/>
      <c r="H30" s="4">
        <v>5590</v>
      </c>
      <c r="I30" s="97"/>
      <c r="J30" s="98">
        <f t="shared" ref="J30:J39" si="8">ROUND(H30*30.2%,0)</f>
        <v>1688</v>
      </c>
      <c r="K30" s="5">
        <f t="shared" si="7"/>
        <v>7278</v>
      </c>
    </row>
    <row r="31" spans="1:11" x14ac:dyDescent="0.2">
      <c r="A31" s="2">
        <f>A30+1</f>
        <v>24</v>
      </c>
      <c r="B31" s="3" t="s">
        <v>147</v>
      </c>
      <c r="C31" s="5"/>
      <c r="D31" s="5"/>
      <c r="E31" s="5"/>
      <c r="F31" s="5"/>
      <c r="G31" s="5"/>
      <c r="H31" s="4">
        <v>2840</v>
      </c>
      <c r="I31" s="97"/>
      <c r="J31" s="98">
        <f t="shared" si="8"/>
        <v>858</v>
      </c>
      <c r="K31" s="5">
        <f t="shared" si="7"/>
        <v>3698</v>
      </c>
    </row>
    <row r="32" spans="1:11" x14ac:dyDescent="0.2">
      <c r="A32" s="2">
        <f>A31+1</f>
        <v>25</v>
      </c>
      <c r="B32" s="3" t="s">
        <v>2</v>
      </c>
      <c r="C32" s="5"/>
      <c r="D32" s="5"/>
      <c r="E32" s="5"/>
      <c r="F32" s="5"/>
      <c r="G32" s="5"/>
      <c r="H32" s="4">
        <v>3711</v>
      </c>
      <c r="I32" s="97"/>
      <c r="J32" s="98">
        <f t="shared" si="8"/>
        <v>1121</v>
      </c>
      <c r="K32" s="5">
        <f t="shared" si="7"/>
        <v>4832</v>
      </c>
    </row>
    <row r="33" spans="1:11" x14ac:dyDescent="0.2">
      <c r="A33" s="2">
        <v>26</v>
      </c>
      <c r="B33" s="7" t="s">
        <v>3</v>
      </c>
      <c r="C33" s="5"/>
      <c r="D33" s="5"/>
      <c r="E33" s="5"/>
      <c r="F33" s="5"/>
      <c r="G33" s="5"/>
      <c r="H33" s="4">
        <v>3020</v>
      </c>
      <c r="I33" s="104"/>
      <c r="J33" s="98">
        <f t="shared" si="8"/>
        <v>912</v>
      </c>
      <c r="K33" s="5">
        <f t="shared" si="7"/>
        <v>3932</v>
      </c>
    </row>
    <row r="34" spans="1:11" s="8" customFormat="1" x14ac:dyDescent="0.2">
      <c r="A34" s="2">
        <v>27</v>
      </c>
      <c r="B34" s="3" t="s">
        <v>4</v>
      </c>
      <c r="D34" s="5"/>
      <c r="E34" s="5"/>
      <c r="F34" s="5"/>
      <c r="G34" s="5"/>
      <c r="H34" s="4">
        <v>2092</v>
      </c>
      <c r="I34" s="97"/>
      <c r="J34" s="98">
        <f t="shared" si="8"/>
        <v>632</v>
      </c>
      <c r="K34" s="5">
        <f t="shared" si="7"/>
        <v>2724</v>
      </c>
    </row>
    <row r="35" spans="1:11" s="8" customFormat="1" outlineLevel="1" x14ac:dyDescent="0.2">
      <c r="A35" s="2">
        <v>28</v>
      </c>
      <c r="B35" s="7" t="s">
        <v>148</v>
      </c>
      <c r="C35" s="4">
        <f t="shared" ref="C35:K35" si="9">C36+C37</f>
        <v>0</v>
      </c>
      <c r="D35" s="4">
        <f t="shared" si="9"/>
        <v>0</v>
      </c>
      <c r="E35" s="4">
        <f t="shared" si="9"/>
        <v>0</v>
      </c>
      <c r="F35" s="4">
        <f t="shared" si="9"/>
        <v>0</v>
      </c>
      <c r="G35" s="4">
        <f t="shared" si="9"/>
        <v>0</v>
      </c>
      <c r="H35" s="4">
        <f t="shared" si="9"/>
        <v>6764</v>
      </c>
      <c r="I35" s="4">
        <f t="shared" si="9"/>
        <v>0</v>
      </c>
      <c r="J35" s="4">
        <f t="shared" si="9"/>
        <v>2043</v>
      </c>
      <c r="K35" s="4">
        <f t="shared" si="9"/>
        <v>8807</v>
      </c>
    </row>
    <row r="36" spans="1:11" s="13" customFormat="1" ht="13.5" outlineLevel="1" x14ac:dyDescent="0.25">
      <c r="A36" s="9"/>
      <c r="B36" s="10" t="s">
        <v>20</v>
      </c>
      <c r="C36" s="12"/>
      <c r="D36" s="12"/>
      <c r="E36" s="12"/>
      <c r="F36" s="12"/>
      <c r="G36" s="12"/>
      <c r="H36" s="11">
        <v>3996</v>
      </c>
      <c r="I36" s="104"/>
      <c r="J36" s="98">
        <f t="shared" si="8"/>
        <v>1207</v>
      </c>
      <c r="K36" s="12">
        <f>H36+J36</f>
        <v>5203</v>
      </c>
    </row>
    <row r="37" spans="1:11" s="13" customFormat="1" ht="13.5" outlineLevel="1" x14ac:dyDescent="0.25">
      <c r="A37" s="9"/>
      <c r="B37" s="10" t="s">
        <v>21</v>
      </c>
      <c r="C37" s="12"/>
      <c r="D37" s="12"/>
      <c r="E37" s="12"/>
      <c r="F37" s="12"/>
      <c r="G37" s="12"/>
      <c r="H37" s="11">
        <v>2768</v>
      </c>
      <c r="I37" s="104"/>
      <c r="J37" s="98">
        <f t="shared" si="8"/>
        <v>836</v>
      </c>
      <c r="K37" s="12">
        <f>H37+J37</f>
        <v>3604</v>
      </c>
    </row>
    <row r="38" spans="1:11" s="8" customFormat="1" outlineLevel="1" x14ac:dyDescent="0.2">
      <c r="A38" s="2">
        <v>29</v>
      </c>
      <c r="B38" s="14" t="s">
        <v>5</v>
      </c>
      <c r="C38" s="5"/>
      <c r="D38" s="5"/>
      <c r="E38" s="5"/>
      <c r="F38" s="5"/>
      <c r="G38" s="5"/>
      <c r="H38" s="4">
        <v>1218</v>
      </c>
      <c r="I38" s="104"/>
      <c r="J38" s="98">
        <f t="shared" si="8"/>
        <v>368</v>
      </c>
      <c r="K38" s="5">
        <f>H38+J38</f>
        <v>1586</v>
      </c>
    </row>
    <row r="39" spans="1:11" s="8" customFormat="1" outlineLevel="1" x14ac:dyDescent="0.2">
      <c r="A39" s="2">
        <v>30</v>
      </c>
      <c r="B39" s="6" t="s">
        <v>149</v>
      </c>
      <c r="C39" s="5"/>
      <c r="D39" s="5"/>
      <c r="E39" s="5"/>
      <c r="F39" s="5"/>
      <c r="G39" s="5"/>
      <c r="H39" s="4">
        <v>1586</v>
      </c>
      <c r="I39" s="104"/>
      <c r="J39" s="98">
        <f t="shared" si="8"/>
        <v>479</v>
      </c>
      <c r="K39" s="5">
        <f>H39+J39</f>
        <v>2065</v>
      </c>
    </row>
    <row r="40" spans="1:11" s="8" customFormat="1" outlineLevel="1" x14ac:dyDescent="0.2">
      <c r="A40" s="15"/>
      <c r="B40" s="107" t="s">
        <v>6</v>
      </c>
      <c r="C40" s="102">
        <f t="shared" ref="C40:K40" si="10">SUM(C25:C35,C38:C39)</f>
        <v>0</v>
      </c>
      <c r="D40" s="102">
        <f t="shared" si="10"/>
        <v>0</v>
      </c>
      <c r="E40" s="102">
        <f t="shared" si="10"/>
        <v>0</v>
      </c>
      <c r="F40" s="102">
        <f t="shared" si="10"/>
        <v>0</v>
      </c>
      <c r="G40" s="102">
        <f t="shared" si="10"/>
        <v>0</v>
      </c>
      <c r="H40" s="102">
        <f t="shared" si="10"/>
        <v>46512</v>
      </c>
      <c r="I40" s="102">
        <f t="shared" si="10"/>
        <v>0</v>
      </c>
      <c r="J40" s="102">
        <f t="shared" si="10"/>
        <v>14047</v>
      </c>
      <c r="K40" s="102">
        <f t="shared" si="10"/>
        <v>60559</v>
      </c>
    </row>
    <row r="41" spans="1:11" s="8" customFormat="1" ht="13.5" outlineLevel="1" x14ac:dyDescent="0.2">
      <c r="A41" s="99"/>
      <c r="B41" s="108" t="s">
        <v>68</v>
      </c>
      <c r="C41" s="102">
        <f>C24+C40</f>
        <v>2683</v>
      </c>
      <c r="D41" s="102">
        <f t="shared" ref="D41:K41" si="11">D24+D40</f>
        <v>501</v>
      </c>
      <c r="E41" s="102">
        <f t="shared" si="11"/>
        <v>2182</v>
      </c>
      <c r="F41" s="102">
        <f t="shared" si="11"/>
        <v>810</v>
      </c>
      <c r="G41" s="102">
        <f t="shared" si="11"/>
        <v>3493</v>
      </c>
      <c r="H41" s="102">
        <f t="shared" si="11"/>
        <v>62990</v>
      </c>
      <c r="I41" s="102">
        <f t="shared" si="11"/>
        <v>16478</v>
      </c>
      <c r="J41" s="102">
        <f t="shared" si="11"/>
        <v>19023</v>
      </c>
      <c r="K41" s="102">
        <f t="shared" si="11"/>
        <v>82013</v>
      </c>
    </row>
    <row r="42" spans="1:11" ht="3" hidden="1" customHeight="1" x14ac:dyDescent="0.2">
      <c r="C42" s="16"/>
      <c r="D42" s="16"/>
      <c r="E42" s="16"/>
      <c r="F42" s="16"/>
      <c r="G42" s="16"/>
      <c r="H42" s="16"/>
      <c r="I42" s="16"/>
      <c r="J42" s="16"/>
    </row>
    <row r="43" spans="1:11" ht="15.6" customHeight="1" x14ac:dyDescent="0.2">
      <c r="A43" s="17"/>
      <c r="G43" s="16"/>
      <c r="H43" s="16"/>
      <c r="I43" s="16"/>
      <c r="J43" s="16"/>
      <c r="K43" s="16"/>
    </row>
    <row r="44" spans="1:11" ht="13.7" customHeight="1" x14ac:dyDescent="0.2">
      <c r="A44" s="17"/>
      <c r="G44" s="16"/>
      <c r="H44" s="16"/>
      <c r="I44" s="16"/>
      <c r="J44" s="16"/>
      <c r="K44" s="16"/>
    </row>
    <row r="45" spans="1:11" ht="23.45" customHeight="1" x14ac:dyDescent="0.2">
      <c r="B45" s="1" t="s">
        <v>19</v>
      </c>
    </row>
    <row r="46" spans="1:11" ht="10.5" customHeight="1" x14ac:dyDescent="0.2"/>
    <row r="47" spans="1:11" ht="10.5" customHeight="1" x14ac:dyDescent="0.2"/>
  </sheetData>
  <mergeCells count="13">
    <mergeCell ref="A1:K1"/>
    <mergeCell ref="G5:G6"/>
    <mergeCell ref="H5:H6"/>
    <mergeCell ref="I5:I6"/>
    <mergeCell ref="J5:J6"/>
    <mergeCell ref="K5:K6"/>
    <mergeCell ref="C5:C6"/>
    <mergeCell ref="D5:E5"/>
    <mergeCell ref="F5:F6"/>
    <mergeCell ref="H4:K4"/>
    <mergeCell ref="A4:A6"/>
    <mergeCell ref="B4:B6"/>
    <mergeCell ref="C4:G4"/>
  </mergeCells>
  <printOptions horizontalCentered="1"/>
  <pageMargins left="0" right="0" top="0" bottom="0" header="0.51181102362204722" footer="0.51181102362204722"/>
  <pageSetup paperSize="9" fitToHeight="0" orientation="portrait" verticalDpi="0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анализ ФОТ культ</vt:lpstr>
      <vt:lpstr>анализ ФОТ педаг</vt:lpstr>
      <vt:lpstr>доп.ассигн</vt:lpstr>
      <vt:lpstr>'анализ ФОТ культ'!Заголовки_для_печати</vt:lpstr>
      <vt:lpstr>доп.ассигн!Заголовки_для_печати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2022-11-25T10:25:25Z</cp:lastPrinted>
  <dcterms:created xsi:type="dcterms:W3CDTF">2018-12-17T05:25:55Z</dcterms:created>
  <dcterms:modified xsi:type="dcterms:W3CDTF">2022-12-16T09:50:40Z</dcterms:modified>
</cp:coreProperties>
</file>