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tabRatio="597"/>
  </bookViews>
  <sheets>
    <sheet name="вариант ДФ" sheetId="8" r:id="rId1"/>
  </sheets>
  <definedNames>
    <definedName name="_xlnm._FilterDatabase" localSheetId="0" hidden="1">'вариант ДФ'!$A$100:$AO$136</definedName>
    <definedName name="_xlnm.Print_Titles" localSheetId="0">'вариант ДФ'!$9:$9</definedName>
    <definedName name="_xlnm.Print_Area" localSheetId="0">'вариант ДФ'!$A$1:$AN$134</definedName>
  </definedNames>
  <calcPr calcId="162913"/>
</workbook>
</file>

<file path=xl/calcChain.xml><?xml version="1.0" encoding="utf-8"?>
<calcChain xmlns="http://schemas.openxmlformats.org/spreadsheetml/2006/main">
  <c r="AJ104" i="8" l="1"/>
  <c r="AJ105" i="8"/>
  <c r="AJ111" i="8" l="1"/>
  <c r="AJ108" i="8"/>
  <c r="AJ28" i="8"/>
  <c r="AI21" i="8"/>
  <c r="AI104" i="8"/>
  <c r="AJ110" i="8"/>
  <c r="AK105" i="8"/>
  <c r="AI114" i="8" l="1"/>
  <c r="AE111" i="8" l="1"/>
  <c r="AE114" i="8"/>
  <c r="AD109" i="8" l="1"/>
  <c r="AN109" i="8" s="1"/>
  <c r="AF118" i="8" l="1"/>
  <c r="AE104" i="8"/>
  <c r="AD65" i="8"/>
  <c r="AE65" i="8"/>
  <c r="AD23" i="8"/>
  <c r="AE23" i="8"/>
  <c r="AD115" i="8" l="1"/>
  <c r="AD127" i="8" l="1"/>
  <c r="AE127" i="8"/>
  <c r="AE108" i="8" l="1"/>
  <c r="AI110" i="8" l="1"/>
  <c r="AI111" i="8"/>
  <c r="AE50" i="8" l="1"/>
  <c r="AD108" i="8" l="1"/>
  <c r="AJ90" i="8" l="1"/>
  <c r="AJ99" i="8" s="1"/>
  <c r="AI91" i="8"/>
  <c r="AN91" i="8" s="1"/>
  <c r="AD128" i="8"/>
  <c r="AE128" i="8"/>
  <c r="AI90" i="8" l="1"/>
  <c r="AD104" i="8"/>
  <c r="AD59" i="8" l="1"/>
  <c r="AD114" i="8" l="1"/>
  <c r="AD111" i="8"/>
  <c r="AN104" i="8"/>
  <c r="AI28" i="8" l="1"/>
  <c r="AE118" i="8" l="1"/>
  <c r="AE90" i="8"/>
  <c r="AJ118" i="8" l="1"/>
  <c r="Z74" i="8" l="1"/>
  <c r="Z21" i="8"/>
  <c r="Z50" i="8" l="1"/>
  <c r="Z114" i="8" l="1"/>
  <c r="Z111" i="8" l="1"/>
  <c r="Z59" i="8" l="1"/>
  <c r="AD105" i="8" l="1"/>
  <c r="AD118" i="8" s="1"/>
  <c r="Z105" i="8"/>
  <c r="AI108" i="8"/>
  <c r="Y115" i="8" l="1"/>
  <c r="AN115" i="8" s="1"/>
  <c r="AA114" i="8" l="1"/>
  <c r="AA118" i="8" s="1"/>
  <c r="Y21" i="8" l="1"/>
  <c r="Y19" i="8" l="1"/>
  <c r="Z19" i="8"/>
  <c r="Z108" i="8" l="1"/>
  <c r="AN108" i="8" l="1"/>
  <c r="Z118" i="8"/>
  <c r="Y26" i="8" l="1"/>
  <c r="Y24" i="8"/>
  <c r="Y23" i="8"/>
  <c r="Y56" i="8" l="1"/>
  <c r="Y111" i="8"/>
  <c r="Y108" i="8" l="1"/>
  <c r="Y105" i="8"/>
  <c r="Y129" i="8"/>
  <c r="P129" i="8"/>
  <c r="O129" i="8" s="1"/>
  <c r="J129" i="8"/>
  <c r="E129" i="8"/>
  <c r="AN129" i="8" l="1"/>
  <c r="AI123" i="8" l="1"/>
  <c r="AI126" i="8"/>
  <c r="AD126" i="8"/>
  <c r="T55" i="8" l="1"/>
  <c r="U55" i="8"/>
  <c r="T58" i="8"/>
  <c r="U58" i="8"/>
  <c r="T65" i="8" l="1"/>
  <c r="T51" i="8"/>
  <c r="T26" i="8"/>
  <c r="T22" i="8"/>
  <c r="U22" i="8" l="1"/>
  <c r="U46" i="8"/>
  <c r="U65" i="8"/>
  <c r="U26" i="8" l="1"/>
  <c r="U51" i="8"/>
  <c r="U49" i="8"/>
  <c r="U74" i="8"/>
  <c r="U114" i="8"/>
  <c r="U105" i="8"/>
  <c r="V112" i="8" l="1"/>
  <c r="W112" i="8"/>
  <c r="U28" i="8"/>
  <c r="G69" i="8" l="1"/>
  <c r="Y123" i="8" l="1"/>
  <c r="U23" i="8" l="1"/>
  <c r="U69" i="8" s="1"/>
  <c r="Z123" i="8" l="1"/>
  <c r="AJ116" i="8" l="1"/>
  <c r="AK118" i="8"/>
  <c r="U112" i="8" l="1"/>
  <c r="U111" i="8" l="1"/>
  <c r="U118" i="8" s="1"/>
  <c r="Y114" i="8"/>
  <c r="Y118" i="8" s="1"/>
  <c r="T74" i="8"/>
  <c r="AI93" i="8" l="1"/>
  <c r="AD93" i="8"/>
  <c r="Y93" i="8"/>
  <c r="T93" i="8"/>
  <c r="O93" i="8"/>
  <c r="J93" i="8"/>
  <c r="E93" i="8"/>
  <c r="T112" i="8" l="1"/>
  <c r="AD124" i="8" l="1"/>
  <c r="AD130" i="8" s="1"/>
  <c r="AE124" i="8"/>
  <c r="AE130" i="8" s="1"/>
  <c r="Y124" i="8"/>
  <c r="Y130" i="8" s="1"/>
  <c r="Z124" i="8"/>
  <c r="Z130" i="8" s="1"/>
  <c r="T124" i="8"/>
  <c r="T130" i="8" s="1"/>
  <c r="U124" i="8"/>
  <c r="U130" i="8" s="1"/>
  <c r="V118" i="8" l="1"/>
  <c r="Q118" i="8"/>
  <c r="T23" i="8" l="1"/>
  <c r="Y59" i="8"/>
  <c r="T59" i="8"/>
  <c r="Y55" i="8"/>
  <c r="Y54" i="8"/>
  <c r="Y53" i="8"/>
  <c r="Y52" i="8"/>
  <c r="Y51" i="8"/>
  <c r="AD50" i="8"/>
  <c r="Y50" i="8"/>
  <c r="T50" i="8"/>
  <c r="AD49" i="8"/>
  <c r="Y49" i="8"/>
  <c r="T49" i="8"/>
  <c r="AD46" i="8"/>
  <c r="T46" i="8"/>
  <c r="Y43" i="8"/>
  <c r="Y42" i="8"/>
  <c r="Y41" i="8"/>
  <c r="Y40" i="8"/>
  <c r="Y39" i="8"/>
  <c r="Y38" i="8"/>
  <c r="Y37" i="8"/>
  <c r="Y36" i="8"/>
  <c r="Y35" i="8"/>
  <c r="Y34" i="8"/>
  <c r="Y33" i="8"/>
  <c r="Y32" i="8"/>
  <c r="T28" i="8"/>
  <c r="T24" i="8"/>
  <c r="Y20" i="8"/>
  <c r="Y16" i="8"/>
  <c r="AI107" i="8" l="1"/>
  <c r="AN107" i="8" s="1"/>
  <c r="AI105" i="8"/>
  <c r="AI118" i="8" l="1"/>
  <c r="AI75" i="8"/>
  <c r="T114" i="8"/>
  <c r="AI98" i="8"/>
  <c r="AD98" i="8"/>
  <c r="Y98" i="8"/>
  <c r="T98" i="8"/>
  <c r="AI97" i="8"/>
  <c r="AD97" i="8"/>
  <c r="Y97" i="8"/>
  <c r="T97" i="8"/>
  <c r="AI96" i="8"/>
  <c r="AD96" i="8"/>
  <c r="Y96" i="8"/>
  <c r="T96" i="8"/>
  <c r="AI95" i="8"/>
  <c r="AD95" i="8"/>
  <c r="Y95" i="8"/>
  <c r="T95" i="8"/>
  <c r="AI94" i="8"/>
  <c r="AD94" i="8"/>
  <c r="Y94" i="8"/>
  <c r="T94" i="8"/>
  <c r="AN93" i="8"/>
  <c r="Y90" i="8"/>
  <c r="T90" i="8"/>
  <c r="AI87" i="8"/>
  <c r="AD87" i="8"/>
  <c r="Y87" i="8"/>
  <c r="T87" i="8"/>
  <c r="AI86" i="8"/>
  <c r="AD86" i="8"/>
  <c r="Y86" i="8"/>
  <c r="T86" i="8"/>
  <c r="AI85" i="8"/>
  <c r="AD85" i="8"/>
  <c r="Y85" i="8"/>
  <c r="T85" i="8"/>
  <c r="AI84" i="8"/>
  <c r="AD84" i="8"/>
  <c r="Y84" i="8"/>
  <c r="T84" i="8"/>
  <c r="AI99" i="8" l="1"/>
  <c r="O111" i="8"/>
  <c r="O112" i="8"/>
  <c r="AN112" i="8" l="1"/>
  <c r="P126" i="8" l="1"/>
  <c r="P74" i="8" l="1"/>
  <c r="P128" i="8"/>
  <c r="O23" i="8"/>
  <c r="P23" i="8"/>
  <c r="P28" i="8"/>
  <c r="P46" i="8"/>
  <c r="P59" i="8"/>
  <c r="P65" i="8"/>
  <c r="P114" i="8" l="1"/>
  <c r="V144" i="8" l="1"/>
  <c r="Q144" i="8"/>
  <c r="S118" i="8"/>
  <c r="S116" i="8" s="1"/>
  <c r="R118" i="8"/>
  <c r="R116" i="8" s="1"/>
  <c r="AN143" i="8"/>
  <c r="AK143" i="8"/>
  <c r="AJ143" i="8"/>
  <c r="AI143" i="8"/>
  <c r="AF143" i="8"/>
  <c r="AE143" i="8"/>
  <c r="AD143" i="8"/>
  <c r="AA143" i="8"/>
  <c r="Z143" i="8"/>
  <c r="Y143" i="8"/>
  <c r="V143" i="8"/>
  <c r="U143" i="8"/>
  <c r="T143" i="8"/>
  <c r="Q143" i="8"/>
  <c r="P143" i="8"/>
  <c r="O143" i="8"/>
  <c r="L143" i="8"/>
  <c r="K143" i="8"/>
  <c r="AN141" i="8"/>
  <c r="AK141" i="8"/>
  <c r="AJ141" i="8"/>
  <c r="AI141" i="8"/>
  <c r="AF141" i="8"/>
  <c r="AE141" i="8"/>
  <c r="AD141" i="8"/>
  <c r="AA141" i="8"/>
  <c r="Z141" i="8"/>
  <c r="Y141" i="8"/>
  <c r="V141" i="8"/>
  <c r="U141" i="8"/>
  <c r="T141" i="8"/>
  <c r="Q141" i="8"/>
  <c r="P141" i="8"/>
  <c r="O141" i="8"/>
  <c r="L141" i="8"/>
  <c r="K141" i="8"/>
  <c r="AN140" i="8"/>
  <c r="AK140" i="8"/>
  <c r="AJ140" i="8"/>
  <c r="AI140" i="8"/>
  <c r="AF140" i="8"/>
  <c r="AE140" i="8"/>
  <c r="AD140" i="8"/>
  <c r="AA140" i="8"/>
  <c r="Z140" i="8"/>
  <c r="Y140" i="8"/>
  <c r="V140" i="8"/>
  <c r="U140" i="8"/>
  <c r="T140" i="8"/>
  <c r="Q140" i="8"/>
  <c r="P140" i="8"/>
  <c r="O140" i="8"/>
  <c r="L140" i="8"/>
  <c r="K140" i="8"/>
  <c r="AN139" i="8"/>
  <c r="AK139" i="8"/>
  <c r="AJ139" i="8"/>
  <c r="AI139" i="8"/>
  <c r="AF139" i="8"/>
  <c r="AE139" i="8"/>
  <c r="AD139" i="8"/>
  <c r="AA139" i="8"/>
  <c r="Z139" i="8"/>
  <c r="Y139" i="8"/>
  <c r="V139" i="8"/>
  <c r="U139" i="8"/>
  <c r="T139" i="8"/>
  <c r="Q139" i="8"/>
  <c r="P139" i="8"/>
  <c r="O139" i="8"/>
  <c r="L139" i="8"/>
  <c r="K139" i="8"/>
  <c r="S132" i="8"/>
  <c r="R132" i="8"/>
  <c r="N132" i="8"/>
  <c r="I132" i="8"/>
  <c r="H132" i="8"/>
  <c r="G132" i="8"/>
  <c r="F132" i="8"/>
  <c r="AM130" i="8"/>
  <c r="AL130" i="8"/>
  <c r="AK130" i="8"/>
  <c r="AJ130" i="8"/>
  <c r="AI130" i="8"/>
  <c r="AH130" i="8"/>
  <c r="AG130" i="8"/>
  <c r="AF130" i="8"/>
  <c r="AC130" i="8"/>
  <c r="AB130" i="8"/>
  <c r="AA130" i="8"/>
  <c r="X130" i="8"/>
  <c r="W130" i="8"/>
  <c r="V130" i="8"/>
  <c r="S130" i="8"/>
  <c r="R130" i="8"/>
  <c r="Q130" i="8"/>
  <c r="N130" i="8"/>
  <c r="M130" i="8"/>
  <c r="L130" i="8"/>
  <c r="I130" i="8"/>
  <c r="H130" i="8"/>
  <c r="G130" i="8"/>
  <c r="O128" i="8"/>
  <c r="J128" i="8"/>
  <c r="E128" i="8"/>
  <c r="O127" i="8"/>
  <c r="J127" i="8"/>
  <c r="F127" i="8"/>
  <c r="E127" i="8" s="1"/>
  <c r="O126" i="8"/>
  <c r="K126" i="8"/>
  <c r="J126" i="8" s="1"/>
  <c r="E126" i="8"/>
  <c r="O124" i="8"/>
  <c r="J124" i="8"/>
  <c r="E124" i="8"/>
  <c r="O123" i="8"/>
  <c r="K123" i="8"/>
  <c r="J123" i="8" s="1"/>
  <c r="E123" i="8"/>
  <c r="AM118" i="8"/>
  <c r="AM136" i="8" s="1"/>
  <c r="AL118" i="8"/>
  <c r="AL136" i="8" s="1"/>
  <c r="AK144" i="8"/>
  <c r="AJ144" i="8"/>
  <c r="AI144" i="8"/>
  <c r="AH118" i="8"/>
  <c r="AH136" i="8" s="1"/>
  <c r="AG118" i="8"/>
  <c r="AG136" i="8" s="1"/>
  <c r="AF144" i="8"/>
  <c r="AE144" i="8"/>
  <c r="AD144" i="8"/>
  <c r="AC118" i="8"/>
  <c r="AC116" i="8" s="1"/>
  <c r="AB118" i="8"/>
  <c r="AB116" i="8" s="1"/>
  <c r="AA144" i="8"/>
  <c r="Z144" i="8"/>
  <c r="Y144" i="8"/>
  <c r="X118" i="8"/>
  <c r="X116" i="8" s="1"/>
  <c r="W118" i="8"/>
  <c r="W116" i="8" s="1"/>
  <c r="N118" i="8"/>
  <c r="N116" i="8" s="1"/>
  <c r="M118" i="8"/>
  <c r="M116" i="8" s="1"/>
  <c r="L118" i="8"/>
  <c r="L144" i="8" s="1"/>
  <c r="K118" i="8"/>
  <c r="K144" i="8" s="1"/>
  <c r="K142" i="8" s="1"/>
  <c r="J118" i="8"/>
  <c r="J136" i="8" s="1"/>
  <c r="I118" i="8"/>
  <c r="I136" i="8" s="1"/>
  <c r="H118" i="8"/>
  <c r="H136" i="8" s="1"/>
  <c r="G118" i="8"/>
  <c r="G136" i="8" s="1"/>
  <c r="F118" i="8"/>
  <c r="F116" i="8" s="1"/>
  <c r="E118" i="8"/>
  <c r="E116" i="8" s="1"/>
  <c r="Q117" i="8"/>
  <c r="Q132" i="8" s="1"/>
  <c r="P117" i="8"/>
  <c r="O114" i="8"/>
  <c r="O113" i="8"/>
  <c r="AN113" i="8" s="1"/>
  <c r="T111" i="8"/>
  <c r="AN111" i="8" s="1"/>
  <c r="AN110" i="8"/>
  <c r="O106" i="8"/>
  <c r="P105" i="8"/>
  <c r="O105" i="8" s="1"/>
  <c r="AN105" i="8" s="1"/>
  <c r="AM99" i="8"/>
  <c r="AL99" i="8"/>
  <c r="AK99" i="8"/>
  <c r="AH99" i="8"/>
  <c r="AG99" i="8"/>
  <c r="AF99" i="8"/>
  <c r="AE99" i="8"/>
  <c r="AC99" i="8"/>
  <c r="AB99" i="8"/>
  <c r="AA99" i="8"/>
  <c r="Z99" i="8"/>
  <c r="X99" i="8"/>
  <c r="W99" i="8"/>
  <c r="V99" i="8"/>
  <c r="U99" i="8"/>
  <c r="S99" i="8"/>
  <c r="R99" i="8"/>
  <c r="Q99" i="8"/>
  <c r="P99" i="8"/>
  <c r="N99" i="8"/>
  <c r="M99" i="8"/>
  <c r="L99" i="8"/>
  <c r="I99" i="8"/>
  <c r="H99" i="8"/>
  <c r="G99" i="8"/>
  <c r="F99" i="8"/>
  <c r="O98" i="8"/>
  <c r="J98" i="8"/>
  <c r="E98" i="8"/>
  <c r="O97" i="8"/>
  <c r="J97" i="8"/>
  <c r="E97" i="8"/>
  <c r="O96" i="8"/>
  <c r="J96" i="8"/>
  <c r="E96" i="8"/>
  <c r="O95" i="8"/>
  <c r="J95" i="8"/>
  <c r="E95" i="8"/>
  <c r="O94" i="8"/>
  <c r="J94" i="8"/>
  <c r="E94" i="8"/>
  <c r="O90" i="8"/>
  <c r="K90" i="8"/>
  <c r="J90" i="8" s="1"/>
  <c r="E88" i="8"/>
  <c r="AN88" i="8" s="1"/>
  <c r="O87" i="8"/>
  <c r="J87" i="8"/>
  <c r="O86" i="8"/>
  <c r="J86" i="8"/>
  <c r="O85" i="8"/>
  <c r="J85" i="8"/>
  <c r="E85" i="8"/>
  <c r="O84" i="8"/>
  <c r="J84" i="8"/>
  <c r="E84" i="8"/>
  <c r="AM79" i="8"/>
  <c r="AL79" i="8"/>
  <c r="AK79" i="8"/>
  <c r="AJ79" i="8"/>
  <c r="AH79" i="8"/>
  <c r="AG79" i="8"/>
  <c r="AF79" i="8"/>
  <c r="AE79" i="8"/>
  <c r="AC79" i="8"/>
  <c r="AB79" i="8"/>
  <c r="AA79" i="8"/>
  <c r="Z79" i="8"/>
  <c r="X79" i="8"/>
  <c r="W79" i="8"/>
  <c r="V79" i="8"/>
  <c r="U79" i="8"/>
  <c r="S79" i="8"/>
  <c r="R79" i="8"/>
  <c r="Q79" i="8"/>
  <c r="N79" i="8"/>
  <c r="M79" i="8"/>
  <c r="L79" i="8"/>
  <c r="K79" i="8"/>
  <c r="I79" i="8"/>
  <c r="H79" i="8"/>
  <c r="G79" i="8"/>
  <c r="F79" i="8"/>
  <c r="AI78" i="8"/>
  <c r="AD78" i="8"/>
  <c r="Y78" i="8"/>
  <c r="J78" i="8"/>
  <c r="E78" i="8"/>
  <c r="AI77" i="8"/>
  <c r="AD77" i="8"/>
  <c r="Y77" i="8"/>
  <c r="J77" i="8"/>
  <c r="E77" i="8"/>
  <c r="AI76" i="8"/>
  <c r="AD76" i="8"/>
  <c r="Y76" i="8"/>
  <c r="J76" i="8"/>
  <c r="E76" i="8"/>
  <c r="AD75" i="8"/>
  <c r="Y75" i="8"/>
  <c r="J75" i="8"/>
  <c r="AI74" i="8"/>
  <c r="AD74" i="8"/>
  <c r="Y74" i="8"/>
  <c r="P79" i="8"/>
  <c r="J74" i="8"/>
  <c r="E74" i="8"/>
  <c r="AM69" i="8"/>
  <c r="AL69" i="8"/>
  <c r="AK69" i="8"/>
  <c r="AK67" i="8" s="1"/>
  <c r="AH69" i="8"/>
  <c r="AG69" i="8"/>
  <c r="AF69" i="8"/>
  <c r="AF67" i="8" s="1"/>
  <c r="AC69" i="8"/>
  <c r="AB69" i="8"/>
  <c r="AA69" i="8"/>
  <c r="X69" i="8"/>
  <c r="W69" i="8"/>
  <c r="V69" i="8"/>
  <c r="S69" i="8"/>
  <c r="R69" i="8"/>
  <c r="Q69" i="8"/>
  <c r="N69" i="8"/>
  <c r="M69" i="8"/>
  <c r="L69" i="8"/>
  <c r="I69" i="8"/>
  <c r="H69" i="8"/>
  <c r="P68" i="8"/>
  <c r="O68" i="8" s="1"/>
  <c r="AM67" i="8"/>
  <c r="AL67" i="8"/>
  <c r="AH67" i="8"/>
  <c r="AG67" i="8"/>
  <c r="AC67" i="8"/>
  <c r="AB67" i="8"/>
  <c r="AA67" i="8"/>
  <c r="X67" i="8"/>
  <c r="W67" i="8"/>
  <c r="V67" i="8"/>
  <c r="S67" i="8"/>
  <c r="R67" i="8"/>
  <c r="Q67" i="8"/>
  <c r="N67" i="8"/>
  <c r="M67" i="8"/>
  <c r="L67" i="8"/>
  <c r="I67" i="8"/>
  <c r="H67" i="8"/>
  <c r="G67" i="8"/>
  <c r="O66" i="8"/>
  <c r="AN66" i="8" s="1"/>
  <c r="O65" i="8"/>
  <c r="J65" i="8"/>
  <c r="E65" i="8"/>
  <c r="E63" i="8"/>
  <c r="AN63" i="8" s="1"/>
  <c r="O61" i="8"/>
  <c r="J61" i="8"/>
  <c r="E61" i="8"/>
  <c r="O60" i="8"/>
  <c r="AN60" i="8" s="1"/>
  <c r="O59" i="8"/>
  <c r="J59" i="8"/>
  <c r="E59" i="8"/>
  <c r="O58" i="8"/>
  <c r="J58" i="8"/>
  <c r="F58" i="8"/>
  <c r="E58" i="8" s="1"/>
  <c r="O57" i="8"/>
  <c r="J57" i="8"/>
  <c r="E57" i="8"/>
  <c r="O56" i="8"/>
  <c r="J56" i="8"/>
  <c r="E56" i="8"/>
  <c r="O55" i="8"/>
  <c r="K55" i="8"/>
  <c r="J55" i="8" s="1"/>
  <c r="F55" i="8"/>
  <c r="E55" i="8" s="1"/>
  <c r="O54" i="8"/>
  <c r="J54" i="8"/>
  <c r="E54" i="8"/>
  <c r="O53" i="8"/>
  <c r="J53" i="8"/>
  <c r="E53" i="8"/>
  <c r="O52" i="8"/>
  <c r="K52" i="8"/>
  <c r="J52" i="8" s="1"/>
  <c r="F52" i="8"/>
  <c r="E52" i="8" s="1"/>
  <c r="O51" i="8"/>
  <c r="J51" i="8"/>
  <c r="E51" i="8"/>
  <c r="AJ69" i="8"/>
  <c r="O50" i="8"/>
  <c r="J50" i="8"/>
  <c r="F50" i="8"/>
  <c r="E50" i="8" s="1"/>
  <c r="O49" i="8"/>
  <c r="K49" i="8"/>
  <c r="J49" i="8" s="1"/>
  <c r="E49" i="8"/>
  <c r="O48" i="8"/>
  <c r="E48" i="8"/>
  <c r="P47" i="8"/>
  <c r="O47" i="8" s="1"/>
  <c r="J47" i="8"/>
  <c r="E47" i="8"/>
  <c r="O46" i="8"/>
  <c r="J46" i="8"/>
  <c r="E46" i="8"/>
  <c r="O45" i="8"/>
  <c r="J45" i="8"/>
  <c r="E45" i="8"/>
  <c r="O43" i="8"/>
  <c r="E43" i="8"/>
  <c r="O42" i="8"/>
  <c r="E42" i="8"/>
  <c r="O41" i="8"/>
  <c r="AN41" i="8" s="1"/>
  <c r="O40" i="8"/>
  <c r="AN40" i="8" s="1"/>
  <c r="O39" i="8"/>
  <c r="AN39" i="8" s="1"/>
  <c r="O38" i="8"/>
  <c r="AN38" i="8" s="1"/>
  <c r="O37" i="8"/>
  <c r="AN37" i="8" s="1"/>
  <c r="O36" i="8"/>
  <c r="AN36" i="8" s="1"/>
  <c r="O35" i="8"/>
  <c r="AN35" i="8" s="1"/>
  <c r="O34" i="8"/>
  <c r="AN34" i="8" s="1"/>
  <c r="O33" i="8"/>
  <c r="AN33" i="8" s="1"/>
  <c r="O32" i="8"/>
  <c r="AN32" i="8" s="1"/>
  <c r="O30" i="8"/>
  <c r="E30" i="8"/>
  <c r="O29" i="8"/>
  <c r="AN29" i="8" s="1"/>
  <c r="O28" i="8"/>
  <c r="J28" i="8"/>
  <c r="F28" i="8"/>
  <c r="E28" i="8" s="1"/>
  <c r="E27" i="8"/>
  <c r="AN27" i="8" s="1"/>
  <c r="F26" i="8"/>
  <c r="E26" i="8" s="1"/>
  <c r="AN26" i="8" s="1"/>
  <c r="E25" i="8"/>
  <c r="AN25" i="8" s="1"/>
  <c r="O24" i="8"/>
  <c r="K24" i="8"/>
  <c r="J24" i="8" s="1"/>
  <c r="E24" i="8"/>
  <c r="K23" i="8"/>
  <c r="J23" i="8" s="1"/>
  <c r="F23" i="8"/>
  <c r="E22" i="8"/>
  <c r="AN22" i="8" s="1"/>
  <c r="P21" i="8"/>
  <c r="O21" i="8"/>
  <c r="J21" i="8"/>
  <c r="E21" i="8"/>
  <c r="E20" i="8"/>
  <c r="AN20" i="8" s="1"/>
  <c r="E19" i="8"/>
  <c r="AN19" i="8" s="1"/>
  <c r="O18" i="8"/>
  <c r="E18" i="8"/>
  <c r="O17" i="8"/>
  <c r="E17" i="8"/>
  <c r="O16" i="8"/>
  <c r="E16" i="8"/>
  <c r="O15" i="8"/>
  <c r="E15" i="8"/>
  <c r="AN90" i="8" l="1"/>
  <c r="AN43" i="8"/>
  <c r="AN86" i="8"/>
  <c r="O117" i="8"/>
  <c r="AN30" i="8"/>
  <c r="AN94" i="8"/>
  <c r="AN42" i="8"/>
  <c r="E79" i="8"/>
  <c r="AN45" i="8"/>
  <c r="AN54" i="8"/>
  <c r="AN58" i="8"/>
  <c r="AN98" i="8"/>
  <c r="J79" i="8"/>
  <c r="AN15" i="8"/>
  <c r="AN17" i="8"/>
  <c r="AN48" i="8"/>
  <c r="AN53" i="8"/>
  <c r="AN57" i="8"/>
  <c r="U133" i="8"/>
  <c r="AN106" i="8"/>
  <c r="AN117" i="8" s="1"/>
  <c r="AN52" i="8"/>
  <c r="AN76" i="8"/>
  <c r="AN114" i="8"/>
  <c r="O118" i="8"/>
  <c r="AN24" i="8"/>
  <c r="AN47" i="8"/>
  <c r="AN50" i="8"/>
  <c r="AN51" i="8"/>
  <c r="AN56" i="8"/>
  <c r="O79" i="8"/>
  <c r="AN77" i="8"/>
  <c r="AN85" i="8"/>
  <c r="AN97" i="8"/>
  <c r="AN16" i="8"/>
  <c r="AN18" i="8"/>
  <c r="AN21" i="8"/>
  <c r="AN46" i="8"/>
  <c r="AN49" i="8"/>
  <c r="AN55" i="8"/>
  <c r="AN59" i="8"/>
  <c r="AN65" i="8"/>
  <c r="Y79" i="8"/>
  <c r="AI79" i="8"/>
  <c r="AN84" i="8"/>
  <c r="AN87" i="8"/>
  <c r="AN95" i="8"/>
  <c r="AN96" i="8"/>
  <c r="R131" i="8"/>
  <c r="P118" i="8"/>
  <c r="P116" i="8" s="1"/>
  <c r="T79" i="8"/>
  <c r="AJ67" i="8"/>
  <c r="AJ131" i="8" s="1"/>
  <c r="AI69" i="8"/>
  <c r="AI67" i="8" s="1"/>
  <c r="AI116" i="8"/>
  <c r="AE116" i="8"/>
  <c r="AD79" i="8"/>
  <c r="AF116" i="8"/>
  <c r="T118" i="8"/>
  <c r="T116" i="8" s="1"/>
  <c r="P132" i="8"/>
  <c r="Z142" i="8"/>
  <c r="O99" i="8"/>
  <c r="U116" i="8"/>
  <c r="H116" i="8"/>
  <c r="AA116" i="8"/>
  <c r="AA131" i="8" s="1"/>
  <c r="F130" i="8"/>
  <c r="L133" i="8"/>
  <c r="I116" i="8"/>
  <c r="I131" i="8" s="1"/>
  <c r="AA133" i="8"/>
  <c r="AN68" i="8"/>
  <c r="J130" i="8"/>
  <c r="R133" i="8"/>
  <c r="K69" i="8"/>
  <c r="AN78" i="8"/>
  <c r="Y116" i="8"/>
  <c r="O132" i="8"/>
  <c r="AN132" i="8" s="1"/>
  <c r="K130" i="8"/>
  <c r="E132" i="8"/>
  <c r="G133" i="8"/>
  <c r="M133" i="8"/>
  <c r="S133" i="8"/>
  <c r="W133" i="8"/>
  <c r="AM133" i="8"/>
  <c r="E99" i="8"/>
  <c r="Y99" i="8"/>
  <c r="T99" i="8"/>
  <c r="J116" i="8"/>
  <c r="AK116" i="8"/>
  <c r="AK131" i="8" s="1"/>
  <c r="AE142" i="8"/>
  <c r="O130" i="8"/>
  <c r="AN126" i="8"/>
  <c r="AN127" i="8"/>
  <c r="Z69" i="8"/>
  <c r="Z133" i="8" s="1"/>
  <c r="P69" i="8"/>
  <c r="P67" i="8" s="1"/>
  <c r="F69" i="8"/>
  <c r="E69" i="8" s="1"/>
  <c r="AE69" i="8"/>
  <c r="AN61" i="8"/>
  <c r="AN75" i="8"/>
  <c r="AD99" i="8"/>
  <c r="G116" i="8"/>
  <c r="L116" i="8"/>
  <c r="L131" i="8" s="1"/>
  <c r="AG116" i="8"/>
  <c r="AG131" i="8" s="1"/>
  <c r="AM116" i="8"/>
  <c r="AM131" i="8" s="1"/>
  <c r="E130" i="8"/>
  <c r="AN124" i="8"/>
  <c r="Q116" i="8"/>
  <c r="Q131" i="8" s="1"/>
  <c r="Z116" i="8"/>
  <c r="AD116" i="8"/>
  <c r="AH116" i="8"/>
  <c r="AH131" i="8" s="1"/>
  <c r="AL116" i="8"/>
  <c r="AL131" i="8" s="1"/>
  <c r="H133" i="8"/>
  <c r="N133" i="8"/>
  <c r="X133" i="8"/>
  <c r="AB133" i="8"/>
  <c r="AF133" i="8"/>
  <c r="Z145" i="8"/>
  <c r="K116" i="8"/>
  <c r="V133" i="8"/>
  <c r="I133" i="8"/>
  <c r="Q133" i="8"/>
  <c r="AC133" i="8"/>
  <c r="AK133" i="8"/>
  <c r="AI145" i="8"/>
  <c r="AK142" i="8"/>
  <c r="V116" i="8"/>
  <c r="V131" i="8" s="1"/>
  <c r="AJ142" i="8"/>
  <c r="J99" i="8"/>
  <c r="AD145" i="8"/>
  <c r="AJ145" i="8"/>
  <c r="AJ133" i="8"/>
  <c r="AN28" i="8"/>
  <c r="K145" i="8"/>
  <c r="Y145" i="8"/>
  <c r="AE145" i="8"/>
  <c r="AK145" i="8"/>
  <c r="N131" i="8"/>
  <c r="AH133" i="8"/>
  <c r="AL133" i="8"/>
  <c r="K99" i="8"/>
  <c r="AO99" i="8" s="1"/>
  <c r="M131" i="8"/>
  <c r="AC131" i="8"/>
  <c r="AG133" i="8"/>
  <c r="AK136" i="8"/>
  <c r="E23" i="8"/>
  <c r="AN23" i="8" s="1"/>
  <c r="F67" i="8"/>
  <c r="AN128" i="8"/>
  <c r="P130" i="8"/>
  <c r="X131" i="8"/>
  <c r="AB131" i="8"/>
  <c r="AF136" i="8"/>
  <c r="AJ136" i="8"/>
  <c r="AO136" i="8" s="1"/>
  <c r="AN123" i="8"/>
  <c r="O74" i="8"/>
  <c r="AN74" i="8" s="1"/>
  <c r="S131" i="8"/>
  <c r="W131" i="8"/>
  <c r="AI136" i="8"/>
  <c r="AO117" i="8" l="1"/>
  <c r="AO118" i="8"/>
  <c r="AN99" i="8"/>
  <c r="F133" i="8"/>
  <c r="E133" i="8" s="1"/>
  <c r="G131" i="8"/>
  <c r="H131" i="8"/>
  <c r="C140" i="8" s="1"/>
  <c r="P131" i="8"/>
  <c r="AO116" i="8"/>
  <c r="AN116" i="8"/>
  <c r="AF131" i="8"/>
  <c r="AN130" i="8"/>
  <c r="K133" i="8"/>
  <c r="J133" i="8" s="1"/>
  <c r="P133" i="8"/>
  <c r="O133" i="8" s="1"/>
  <c r="O69" i="8"/>
  <c r="O67" i="8" s="1"/>
  <c r="K67" i="8"/>
  <c r="K131" i="8" s="1"/>
  <c r="J131" i="8" s="1"/>
  <c r="J69" i="8"/>
  <c r="J67" i="8" s="1"/>
  <c r="U67" i="8"/>
  <c r="U131" i="8" s="1"/>
  <c r="T131" i="8" s="1"/>
  <c r="T69" i="8"/>
  <c r="T67" i="8" s="1"/>
  <c r="AE67" i="8"/>
  <c r="AE131" i="8" s="1"/>
  <c r="AD69" i="8"/>
  <c r="AD67" i="8" s="1"/>
  <c r="Z67" i="8"/>
  <c r="Z131" i="8" s="1"/>
  <c r="Y131" i="8" s="1"/>
  <c r="Y69" i="8"/>
  <c r="AE133" i="8"/>
  <c r="AI131" i="8"/>
  <c r="AI133" i="8"/>
  <c r="Y133" i="8"/>
  <c r="Y149" i="8" s="1"/>
  <c r="Y150" i="8" s="1"/>
  <c r="C139" i="8"/>
  <c r="AN136" i="8"/>
  <c r="U144" i="8"/>
  <c r="F131" i="8"/>
  <c r="AN144" i="8"/>
  <c r="AN142" i="8" s="1"/>
  <c r="T144" i="8"/>
  <c r="T145" i="8" s="1"/>
  <c r="AN67" i="8"/>
  <c r="AN79" i="8"/>
  <c r="E67" i="8"/>
  <c r="T133" i="8"/>
  <c r="T149" i="8" s="1"/>
  <c r="T150" i="8" s="1"/>
  <c r="P144" i="8"/>
  <c r="O144" i="8"/>
  <c r="O145" i="8" s="1"/>
  <c r="O116" i="8"/>
  <c r="AD131" i="8" l="1"/>
  <c r="AD133" i="8"/>
  <c r="AD149" i="8" s="1"/>
  <c r="AD150" i="8" s="1"/>
  <c r="AN131" i="8"/>
  <c r="E131" i="8"/>
  <c r="C138" i="8"/>
  <c r="D139" i="8" s="1"/>
  <c r="C137" i="8"/>
  <c r="O131" i="8"/>
  <c r="U142" i="8"/>
  <c r="U145" i="8"/>
  <c r="AN145" i="8"/>
  <c r="Y67" i="8"/>
  <c r="P142" i="8"/>
  <c r="P145" i="8"/>
  <c r="C141" i="8" l="1"/>
  <c r="U146" i="8"/>
  <c r="C146" i="8" s="1"/>
</calcChain>
</file>

<file path=xl/sharedStrings.xml><?xml version="1.0" encoding="utf-8"?>
<sst xmlns="http://schemas.openxmlformats.org/spreadsheetml/2006/main" count="297" uniqueCount="189">
  <si>
    <t xml:space="preserve">Реконструкция светофорных объектов  </t>
  </si>
  <si>
    <t xml:space="preserve">Создание и установка указателей маршрутного ориентирования участников дорожного движения      </t>
  </si>
  <si>
    <t xml:space="preserve">Паспортизация автомобильных дорог (техническое освидетельствование состояния объектов улично-дорожной сети) </t>
  </si>
  <si>
    <t xml:space="preserve">Замена павильонов ООТ </t>
  </si>
  <si>
    <t>№</t>
  </si>
  <si>
    <t>Итого</t>
  </si>
  <si>
    <t>Всего</t>
  </si>
  <si>
    <t xml:space="preserve">Участие в организации городского конкурса профессионального мастерства водителей </t>
  </si>
  <si>
    <t>Предупреждение и устранение аварийных ситуаций (в т.ч. устранение розлива нефтепродуктов)</t>
  </si>
  <si>
    <t>Проведение конкурса на лучшее образовательное учреждение по организации работы с детьми по профилактике детского дорожно-транспортного травматизма</t>
  </si>
  <si>
    <t>Проведение фестиваля юных инспекторов дорожного движения</t>
  </si>
  <si>
    <t>Выпуск целевой литературы, печатной и сувенирной  продукции по тематике безопасности дорожного движения для распространения её в организациях, на автостоянках, в автогаражных объединениях, на остановках общественного транспорта</t>
  </si>
  <si>
    <t xml:space="preserve">Разработка и издание методических материалов по обучению детей безопасному поведению на дорогах </t>
  </si>
  <si>
    <t>Размещение информации по безопасности дорожного движения  в средствах массовой информации, общественном транспорте, кинотеатрах</t>
  </si>
  <si>
    <t xml:space="preserve">Строительство (реконструкция) надземных и подземных пешеходных переходов                                  
</t>
  </si>
  <si>
    <t>Проведение городских конкурсов, викторин, сборов, фестивалей по профилактике детского дорожного травматизма и обучению детей безопасному поведению на дорогах</t>
  </si>
  <si>
    <t>Оснащение   муниципальных образовательных учреждений современным оборудованием и средствами обучения безопасному поведению на дорогах (тренажеры, компьютерные обучающие игры)</t>
  </si>
  <si>
    <t>Устройство пешеходных дорожек</t>
  </si>
  <si>
    <t xml:space="preserve">Разработка рабочего проекта устройства светофорных объектов  
</t>
  </si>
  <si>
    <t xml:space="preserve">Реконструкция пересечений  автодорог                                 </t>
  </si>
  <si>
    <t>Сроки реализации</t>
  </si>
  <si>
    <t>местный      бюджет</t>
  </si>
  <si>
    <t>областной  бюджет</t>
  </si>
  <si>
    <t>федеральный   бюджет</t>
  </si>
  <si>
    <t>Внебюджетные средства</t>
  </si>
  <si>
    <t xml:space="preserve"> План на 2014 год</t>
  </si>
  <si>
    <t xml:space="preserve"> План на 2015 год</t>
  </si>
  <si>
    <t xml:space="preserve"> План на 2016 год</t>
  </si>
  <si>
    <t xml:space="preserve"> План на 2017 год</t>
  </si>
  <si>
    <t xml:space="preserve"> План на 2018 год</t>
  </si>
  <si>
    <t xml:space="preserve"> План на 2019 год</t>
  </si>
  <si>
    <t xml:space="preserve"> План на 2020 год</t>
  </si>
  <si>
    <t>ИТОГО ПО ПОДПРОГРАММЕ "РАЧC"</t>
  </si>
  <si>
    <t>Приобретение материалов и специальных частей для проведения капитального ремонта контактной сети</t>
  </si>
  <si>
    <t>Модернизация оборудования энергохозяйства</t>
  </si>
  <si>
    <t>ИТОГО ПО ПОДПРОГРАММЕ "РГПТ"</t>
  </si>
  <si>
    <t>местный</t>
  </si>
  <si>
    <t>областной</t>
  </si>
  <si>
    <t>внебюджет</t>
  </si>
  <si>
    <t>2014-2020</t>
  </si>
  <si>
    <t>2015-2020</t>
  </si>
  <si>
    <t>федеральный</t>
  </si>
  <si>
    <t>ИТОГО ПО ПОДПРОГРАММЕ "СУДС"</t>
  </si>
  <si>
    <t>Приобретение средств визуального оповещения для оборудования существующего парка общественного транспорта для перевозки людей с ограниченными возможностями здоровья</t>
  </si>
  <si>
    <t>Содержание МКУ "ЦОДД  ГОТ"</t>
  </si>
  <si>
    <t>Приобретение троллейбусов (низкопольные), средства визуального оповещения</t>
  </si>
  <si>
    <t>2014-2017</t>
  </si>
  <si>
    <r>
      <t>Проектирование  строительства (реконструкции) надземных и подземных пешеходных переходов</t>
    </r>
    <r>
      <rPr>
        <sz val="11"/>
        <color indexed="10"/>
        <rFont val="Times New Roman"/>
        <family val="1"/>
        <charset val="204"/>
      </rPr>
      <t xml:space="preserve"> </t>
    </r>
  </si>
  <si>
    <t>Приобретение ограничивающих пешеходных  ограждений и выполнение работ по их установке для нужд городского округа Тольятти</t>
  </si>
  <si>
    <t>Проведение акций "Внимание дети!", "Внимание пешеход!" "Вежливый водитель", "Зебра"; привлечение информационных и рекламных агенств к проведению профилактических акций, направленных на укрепление дисциплины участников дорожного движения.</t>
  </si>
  <si>
    <t>Создание видео- и телевизионной информационно-пропагандистской продукции по безопасности дорожного движения.</t>
  </si>
  <si>
    <t xml:space="preserve">Закупка заготовок  дорожных знаков                                                          </t>
  </si>
  <si>
    <t>Приобретение спецтехники</t>
  </si>
  <si>
    <t>Приобретение мебели, компьютерной техники, оргтехники, носителей иформации.</t>
  </si>
  <si>
    <t xml:space="preserve">Приобретение материалов для содержания ТСОДД, ремонта остановочных павильонов   </t>
  </si>
  <si>
    <t>Модернизация светофорных объектов</t>
  </si>
  <si>
    <t xml:space="preserve">Устройство парковочных площадок, карманов  и стоянок                                               </t>
  </si>
  <si>
    <t xml:space="preserve">Изготовление и установка табличек на остановочных пунктах                                                     </t>
  </si>
  <si>
    <t xml:space="preserve">Приобретение специальных транспортных средств (автовышек) для обслуживания контактной сети троллейбусов     </t>
  </si>
  <si>
    <t>Нанесение горизонтальной дорожной разметки</t>
  </si>
  <si>
    <t>Проектирование реконструкции пересечений автодорог</t>
  </si>
  <si>
    <t>_____________________________________________________________________________________________________________________________________________________________________________________________________________________</t>
  </si>
  <si>
    <t xml:space="preserve">Выполнение проектно-изыскательских работ для обеспечения дорожной деятельности в отношении автодорог городского округа Тольятти, расположенных в зоне застройки индивидуальными жилыми домами </t>
  </si>
  <si>
    <t>Капитальный ремонт автодорог городского округа Тольятти, расположенных в зоне застройки индивидуальными жилыми домами</t>
  </si>
  <si>
    <t>Строительство автодорог  городского округа Тольятти, расположенных в зоне застройки индивидуальными жилыми домами</t>
  </si>
  <si>
    <t>Ремонт автодорог городского округа Тольятти, расположенных в зоне застройки индивидуальными жилыми домами</t>
  </si>
  <si>
    <t>Приобретение  дорожных знаков и выполнение работ по их установке</t>
  </si>
  <si>
    <t>Осуществление технологического присоединения энергопринимающих устройств объектов</t>
  </si>
  <si>
    <t>Приобретение автобусов, работающих на газомоторном топливе, путём заключения муниципального контракта на оказание услуг финансовой аренды (лизинга)</t>
  </si>
  <si>
    <t xml:space="preserve">Приобретение автобусов "МАЗ" (низкопольные) на компримированном природном газе          </t>
  </si>
  <si>
    <t xml:space="preserve">Мероприятие по приобретению автобусов вместимостью более 18 мест на условиях лизинга, 2012г. - 102 ед.                     </t>
  </si>
  <si>
    <t>Проведение исследования по вопросам эффективности профилактики детского дорожно-транспортного травматизма в образовательных учреждениях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</si>
  <si>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движения.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</si>
  <si>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</si>
  <si>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</si>
  <si>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Задача подпрограммы: совершенствование системы мер по предупреждению дорожно-транспортных  происшествий</t>
  </si>
  <si>
    <t>Задача подпрограммы: повышение эффективности планирования работ по строительству,  реконструкции,  ремонту и содержанию автодорог</t>
  </si>
  <si>
    <t>Задача 2 муниципальной 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</si>
  <si>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Задача подпрограммы: совершенствование технического и технологического обеспечения транспортного обслуживания</t>
  </si>
  <si>
    <t>Задача 3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</si>
  <si>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</si>
  <si>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</si>
  <si>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Задача подпрограммы: выполнение мероприятий по организации  дорожного движения</t>
  </si>
  <si>
    <t>Задача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</si>
  <si>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</si>
  <si>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оптимизация режимов движения на участках улично-дорожной сети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дорожного движения</t>
  </si>
  <si>
    <t>Цель подпрограммы: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</si>
  <si>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</si>
  <si>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подпрограммы: оптимизация структуры парков транспортных средств и ускорение обновления их состава</t>
  </si>
  <si>
    <t>Цель подпрограммы: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</si>
  <si>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проектирование, строительство, реконструкция, капитальный ремонт и ремонт автомобильных дорог общего пользования местного значения городского округа Тольятти</t>
  </si>
  <si>
    <t>Строительство дорог общего пользования местного значения городского округа Тольятти</t>
  </si>
  <si>
    <t>Реконструкция дорог общего пользования местного значения городского округа Тольятти</t>
  </si>
  <si>
    <t>Цель подпрограммы: Содействие экономическому и социальному развитию г.о.Тольятти, повышению уровня жизни горожан за счет совершенствования и развития улично-дорожной сети в соответствии с их нуждами.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</si>
  <si>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</si>
  <si>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</si>
  <si>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</si>
  <si>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2014-2018</t>
  </si>
  <si>
    <t>Капитальный ремонт дорог общего пользования местного значения городского округа Тольятти</t>
  </si>
  <si>
    <t>Задача 5 муниципальной программы: Содействие экономическому и социальному развитию городского округа Тольятти, повышению уровня жизни горожан за счет совершенствования и развития улично-дорожной сети в соответствии с их нуждами</t>
  </si>
  <si>
    <t xml:space="preserve">Приобретение автобусов,  работающих на компримированном природном газе                     </t>
  </si>
  <si>
    <t>оплата принятых в 2015 году обязательств</t>
  </si>
  <si>
    <t>ИТОГО ПО ПОДПРОГРАММЕ "ПБДД"                                                 без учета оплаты принятых в 2015 году обязательств</t>
  </si>
  <si>
    <t>ИТОГО ПО ПОДПРОГРАММЕ "ПБДД"                                                   с учетом оплаты принятых в 2015 году обязательств</t>
  </si>
  <si>
    <t>ИТОГО ПО ПОДПРОГРАММЕ "МРАД"                                                          без учета оплаты принятых в 2015 году обязательств</t>
  </si>
  <si>
    <t>ИТОГО ПО ПОДПРОГРАММЕ "МРАД"                                                     с учетом оплаты принятых в 2015 году обязательств</t>
  </si>
  <si>
    <t>ВСЕГО  ПО МУНИЦИПАЛЬНОЙ ПРОГРАММЕ с учетом оплаты принятых в 2015 году обязательств</t>
  </si>
  <si>
    <t>ВСЕГО  ПО МУНИЦИПАЛЬНОЙ ПРОГРАММЕ без учета оплаты принятых в 2015 году обязательств</t>
  </si>
  <si>
    <t>Х</t>
  </si>
  <si>
    <t>2016        (оплата принятых в 2015 г. обязательств)</t>
  </si>
  <si>
    <t>Мероприятия по решению неотложных задач по приведению в нормативное состояние автомобильных дорог местного значения городского округа Тольятти</t>
  </si>
  <si>
    <r>
      <t>Содержание автодорог,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1"/>
        <color indexed="10"/>
        <rFont val="Times New Roman"/>
        <family val="1"/>
        <charset val="204"/>
      </rPr>
      <t xml:space="preserve"> </t>
    </r>
  </si>
  <si>
    <t>Приложение 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"Развитие трансопртной системы и дорожного хозяйства городского округа Тольятти на 2014-2020 гг."</t>
  </si>
  <si>
    <t xml:space="preserve">Перечень мероприятий муниципальной программы"Развитие транспортной системы и дорожного хозяйства городского округа Тольятти на 2014-2020 гг." </t>
  </si>
  <si>
    <t xml:space="preserve">Подпрограмма "Повышение безопасности дорожного движения на период 2014-2020 гг."                       </t>
  </si>
  <si>
    <t>Подпрограмма "Развитие автомобильных дорог городского округа Тольятти, расположенных в зоне застройки индивидуальными жилыми домами на 2014-2020 гг."</t>
  </si>
  <si>
    <t>Подпрограмма "Развитие  городского пассажирского транспорта в городском округе Тольяттина период 2014-2020 гг."</t>
  </si>
  <si>
    <t xml:space="preserve">Подпрограмма"Модернизация и развитие автомобильных дорог  общего пользования местного значения  городского округа  Тольятти на 2014 -2020 гг." </t>
  </si>
  <si>
    <t>Подпрограмма "Содержание улично-дорожной сети на 2014-2020 гг."</t>
  </si>
  <si>
    <t>Устройство пешеходных дорожек (ликвидация места разворота транспортных средств)</t>
  </si>
  <si>
    <t>2015-2019</t>
  </si>
  <si>
    <t xml:space="preserve">Устройство линий наружного электроосвещения      </t>
  </si>
  <si>
    <t xml:space="preserve">Департамент дорожного хозяйства и транспорта  администрации городского округа Тольятти </t>
  </si>
  <si>
    <t>Департамент дорожного хозяйства и транспорта администрации городского округа Тольятти</t>
  </si>
  <si>
    <t>Департамент дорожного хозяйства и транспорта 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</si>
  <si>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     </t>
  </si>
  <si>
    <t>Департамент дорожного хозяйства и транспорта  администрации городского округа Тольятти                              МКУ "ЦОДД ГОТ"</t>
  </si>
  <si>
    <t>Департамент дорожного хозяйства и транспорта  администрации городского округа Тольятти                         МКУ "ЦОДД ГОТ"</t>
  </si>
  <si>
    <t xml:space="preserve">Департамент дорожного хозяйства и транспорта  администрации городского округа Тольятти                           </t>
  </si>
  <si>
    <t>Департамент образования администрации городского округа Тольятти</t>
  </si>
  <si>
    <t xml:space="preserve">Департамент общественной безопасности администрации городского округа Тольятти </t>
  </si>
  <si>
    <t>Депаратмент образования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</si>
  <si>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</si>
  <si>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</t>
  </si>
  <si>
    <t xml:space="preserve">Департамент дорожного хозяйства и транспорта администрации городского округа Тольятти                            </t>
  </si>
  <si>
    <t>Депаратмент дорожного хозяйства, транспорта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</si>
  <si>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</si>
  <si>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</si>
  <si>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</si>
  <si>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</si>
  <si>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</si>
  <si>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</si>
  <si>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</t>
  </si>
  <si>
    <t xml:space="preserve">Департамент дорожного хозяйства и транспорта администрации городского округа Тольятти </t>
  </si>
  <si>
    <t xml:space="preserve">Департамент по управлению муниципальным имуществом администрации городского округа Тольятти </t>
  </si>
  <si>
    <t xml:space="preserve"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                Департамент по управлению муниципальным имуществом администрации городского округа Тольятти </t>
  </si>
  <si>
    <t>Приобретение низкопольных троллейбусов, путем заключения муниципального контракта на оказание услуг финансовой аренды (лизинга)</t>
  </si>
  <si>
    <t xml:space="preserve">Устройство светофорных объектов для  приведения объектов городского округа Тольятти в соответствие с изменениями в  ГОСТ Р 52289-2004                                                                                                                                                               
                                                                                                                                                           </t>
  </si>
  <si>
    <t xml:space="preserve">Департамент городского хозяйства  администрации городского округа Тольятти, департамент дорожного хозяйства и транспорта администрации городского округа Тольятти </t>
  </si>
  <si>
    <t>2017-2019</t>
  </si>
  <si>
    <t>2017-2018</t>
  </si>
  <si>
    <t xml:space="preserve">Проектирование капремонта (ремонта) надземных и подземных пешеходных переходов
</t>
  </si>
  <si>
    <t xml:space="preserve">Капремонт (ремонт) надземных и подземных пешеходных переходов
</t>
  </si>
  <si>
    <t>МП</t>
  </si>
  <si>
    <t>РД от 06.12</t>
  </si>
  <si>
    <t>откл</t>
  </si>
  <si>
    <t xml:space="preserve">Содержание   надземных и подземных пешеходных переходов </t>
  </si>
  <si>
    <t>2016-2018</t>
  </si>
  <si>
    <t xml:space="preserve">Департамент финансов  администрации городского округа Тольятти </t>
  </si>
  <si>
    <t xml:space="preserve">Исполнение судебного решения, вступившего в законную силу, касающегося уплаты городскими округами основного долга  по муниципальному контракту </t>
  </si>
  <si>
    <t>2018-2019</t>
  </si>
  <si>
    <t>2016-2018, 2020</t>
  </si>
  <si>
    <t>2014-2019</t>
  </si>
  <si>
    <t>2014, 2016</t>
  </si>
  <si>
    <t>2014-2015</t>
  </si>
  <si>
    <t>Проектно-изыскательские работы по устройству линий наружного электроосвещения, в т.ч. инженерные изыскания; экспертиза выполненных работ</t>
  </si>
  <si>
    <t>Устройство  искусственных дорожных неровностей, в т.ч. экспертиза выполненных работ</t>
  </si>
  <si>
    <t>Проектирование устройства пешеходных дорожек, в т.ч. экспертиза выполненных работ</t>
  </si>
  <si>
    <t>Ремонт дорог общего пользования местного значения городского округа Тольятти, в т.ч. экспертиза выполненных работ: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</si>
  <si>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      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</si>
  <si>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</si>
  <si>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2014, 2017-2020</t>
  </si>
  <si>
    <t>2014, 2018-2019</t>
  </si>
  <si>
    <t>2014, 2020</t>
  </si>
  <si>
    <t>2014, 2017,2019</t>
  </si>
  <si>
    <t xml:space="preserve">Выполнение проектно-изыскательских работ для обеспечения дорожной деятельности в отношении дорог местного значения городского округа Тольятти, в т.ч. геодезические работы </t>
  </si>
  <si>
    <t>Проектирование устройства парковочных площадок (карманов  и стоянок)</t>
  </si>
  <si>
    <t xml:space="preserve">Приобретение ограничивающих пешеходных и барьерных ограждений  </t>
  </si>
  <si>
    <t>Ремонт надземных пешеходных переходов, путепроводов (мостов - трасса М5 "Москва-Челябинск",  пешеходный переход Автозаводское шоссе")</t>
  </si>
  <si>
    <t xml:space="preserve">Диагностика надземных пешеходных переходов (мостов, путепроводов): в 2019г. -пешеходный переход Автозаводское шоссе (пешеходный путепровод через Автозаводское шоссе в р-не ООТ «Детская многопрофильная больница», - мост Трасса М-5 москва-Челябинск (пешеходный путепровод через трассу М-5  в районе ООТ «Жигулевское море»)
</t>
  </si>
  <si>
    <t>Приложение № 1                                                                                                                                  к  постановлению администрации городского округа Тольятти                              "_____" _______________2019г. № _______________</t>
  </si>
  <si>
    <t>Выполнение проектно-изыскательских работ по капитальному ремонту путепроводов, подземных пешеходных переходов и мостов: в 2019г. - подземный переход через автодорогу по ул.Свердлова в р-не д.№80</t>
  </si>
  <si>
    <t>Задача подпрограммы: обеспечение перевозки пассажиров на маршрутах, финансируемых за счет средств бюджета городского округа Тольятти, сокращение интервалов движения транспортных средств по маршрутам</t>
  </si>
  <si>
    <t>Задача подпрограммы: приведение в нормативное состояние автомобильных дорог городского округа Тольятти, расположенных в зоне застройки индивидуальными жилыми домами, за счет увеличения их площади и  пропускной способности</t>
  </si>
  <si>
    <t>Отсыпка автомобильных дорог городского округа Тольятти, расположенных в зоне застройки индивидуальными жилыми домами, асфальтогранулятом,  в т.ч. экспертиза выполненных работ</t>
  </si>
  <si>
    <t>Предоставление субсидии исполнителям, оказывающим услуги по перевозке пассажиров и багажа транспортом общего пользования и финансируемым за счёт средств бюджета городского округа Тольятти, и</t>
  </si>
  <si>
    <t xml:space="preserve">осуществление регулярных перевозок пассажиров и багажа по регулируемым тарифам по муниципальным маршрутам городского округа Тольятти автомобильным и городским наземным электрическим транспортом </t>
  </si>
  <si>
    <t>Ремонт дворовых территорий многоквартирных домов, проездов к дворовым территориям многоквартирных домов городского округа Тольятти</t>
  </si>
  <si>
    <t xml:space="preserve">Выполнение проектно-изыскательских работ по капитальному ремонту, ремонту дорог общего пользования местного значения городского округа Тольятти, в т.ч. диагностика автодорог, изготовление технических паспортов автодорог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</si>
</sst>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_р_."/>
    <numFmt numFmtId="167" formatCode="0.0"/>
    <numFmt numFmtId="168" formatCode="#,##0_р_."/>
  </numFmts>
  <fonts count="6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0"/>
      <color theme="1"/>
      <name val="Arial Cyr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indexed="8"/>
      <name val="Arial Cyr"/>
      <charset val="204"/>
    </font>
    <font>
      <b/>
      <sz val="12"/>
      <color theme="1"/>
      <name val="Arial Cyr"/>
      <charset val="204"/>
    </font>
    <font>
      <sz val="10"/>
      <color theme="0"/>
      <name val="Arial Cyr"/>
      <charset val="204"/>
    </font>
    <font>
      <sz val="11"/>
      <color theme="0"/>
      <name val="Arial Cyr"/>
      <charset val="204"/>
    </font>
    <font>
      <b/>
      <sz val="10"/>
      <color theme="0"/>
      <name val="Arial Cyr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4"/>
      <color theme="0"/>
      <name val="Arial Cyr"/>
      <charset val="204"/>
    </font>
    <font>
      <b/>
      <sz val="14"/>
      <color theme="0"/>
      <name val="Arial Cyr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color theme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i/>
      <sz val="14"/>
      <name val="Times New Roman"/>
      <family val="1"/>
      <charset val="204"/>
    </font>
    <font>
      <sz val="9"/>
      <color theme="0"/>
      <name val="Arial Cyr"/>
      <charset val="204"/>
    </font>
    <font>
      <sz val="12"/>
      <color theme="0"/>
      <name val="Arial Cyr"/>
      <charset val="204"/>
    </font>
    <font>
      <b/>
      <sz val="9"/>
      <color theme="0"/>
      <name val="Arial Cyr"/>
      <charset val="204"/>
    </font>
    <font>
      <i/>
      <sz val="10"/>
      <color theme="0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i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b/>
      <sz val="14"/>
      <color theme="0"/>
      <name val="Arial Narrow"/>
      <family val="2"/>
      <charset val="204"/>
    </font>
    <font>
      <b/>
      <sz val="11"/>
      <color theme="0"/>
      <name val="Arial Cyr"/>
      <charset val="204"/>
    </font>
    <font>
      <b/>
      <sz val="10"/>
      <color theme="0"/>
      <name val="Times New Roman"/>
      <family val="1"/>
      <charset val="204"/>
    </font>
    <font>
      <b/>
      <sz val="9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6" fillId="0" borderId="0"/>
    <xf numFmtId="0" fontId="4" fillId="0" borderId="0"/>
    <xf numFmtId="164" fontId="1" fillId="0" borderId="0" applyFont="0" applyFill="0" applyBorder="0" applyAlignment="0" applyProtection="0"/>
  </cellStyleXfs>
  <cellXfs count="218">
    <xf numFmtId="0" fontId="0" fillId="0" borderId="0" xfId="0"/>
    <xf numFmtId="0" fontId="0" fillId="2" borderId="0" xfId="0" applyFont="1" applyFill="1"/>
    <xf numFmtId="0" fontId="32" fillId="2" borderId="0" xfId="0" applyFont="1" applyFill="1" applyAlignment="1">
      <alignment horizontal="center"/>
    </xf>
    <xf numFmtId="0" fontId="32" fillId="2" borderId="0" xfId="0" applyFont="1" applyFill="1"/>
    <xf numFmtId="0" fontId="27" fillId="2" borderId="0" xfId="0" applyFont="1" applyFill="1"/>
    <xf numFmtId="0" fontId="29" fillId="2" borderId="0" xfId="0" applyFont="1" applyFill="1"/>
    <xf numFmtId="0" fontId="8" fillId="2" borderId="0" xfId="0" applyFont="1" applyFill="1"/>
    <xf numFmtId="0" fontId="0" fillId="2" borderId="0" xfId="0" applyFill="1"/>
    <xf numFmtId="0" fontId="11" fillId="2" borderId="0" xfId="0" applyFont="1" applyFill="1"/>
    <xf numFmtId="0" fontId="15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12" fillId="2" borderId="0" xfId="0" applyFont="1" applyFill="1"/>
    <xf numFmtId="0" fontId="14" fillId="2" borderId="0" xfId="0" applyFont="1" applyFill="1"/>
    <xf numFmtId="165" fontId="15" fillId="2" borderId="0" xfId="0" applyNumberFormat="1" applyFont="1" applyFill="1" applyAlignment="1">
      <alignment horizontal="center"/>
    </xf>
    <xf numFmtId="0" fontId="23" fillId="2" borderId="0" xfId="0" applyFont="1" applyFill="1"/>
    <xf numFmtId="165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9" fillId="2" borderId="0" xfId="0" applyFont="1" applyFill="1" applyAlignment="1">
      <alignment horizontal="center"/>
    </xf>
    <xf numFmtId="0" fontId="10" fillId="2" borderId="0" xfId="0" applyFont="1" applyFill="1" applyBorder="1"/>
    <xf numFmtId="0" fontId="10" fillId="2" borderId="0" xfId="0" applyFont="1" applyFill="1"/>
    <xf numFmtId="0" fontId="38" fillId="2" borderId="0" xfId="0" applyFont="1" applyFill="1" applyBorder="1" applyAlignment="1">
      <alignment horizontal="center" vertical="center"/>
    </xf>
    <xf numFmtId="0" fontId="39" fillId="2" borderId="0" xfId="3" applyFont="1" applyFill="1" applyBorder="1" applyAlignment="1">
      <alignment horizontal="center" vertical="center" wrapText="1"/>
    </xf>
    <xf numFmtId="0" fontId="36" fillId="2" borderId="0" xfId="0" applyFont="1" applyFill="1" applyBorder="1" applyAlignment="1">
      <alignment vertical="center" wrapText="1"/>
    </xf>
    <xf numFmtId="168" fontId="40" fillId="2" borderId="0" xfId="0" applyNumberFormat="1" applyFont="1" applyFill="1"/>
    <xf numFmtId="0" fontId="41" fillId="2" borderId="0" xfId="0" applyFont="1" applyFill="1"/>
    <xf numFmtId="168" fontId="35" fillId="2" borderId="0" xfId="0" applyNumberFormat="1" applyFont="1" applyFill="1"/>
    <xf numFmtId="0" fontId="12" fillId="2" borderId="0" xfId="0" applyFont="1" applyFill="1" applyAlignment="1">
      <alignment horizontal="center"/>
    </xf>
    <xf numFmtId="0" fontId="35" fillId="2" borderId="0" xfId="0" applyFont="1" applyFill="1"/>
    <xf numFmtId="0" fontId="37" fillId="2" borderId="0" xfId="0" applyFont="1" applyFill="1"/>
    <xf numFmtId="167" fontId="35" fillId="2" borderId="0" xfId="0" applyNumberFormat="1" applyFont="1" applyFill="1"/>
    <xf numFmtId="167" fontId="37" fillId="2" borderId="0" xfId="0" applyNumberFormat="1" applyFont="1" applyFill="1"/>
    <xf numFmtId="167" fontId="50" fillId="2" borderId="0" xfId="0" applyNumberFormat="1" applyFont="1" applyFill="1"/>
    <xf numFmtId="0" fontId="36" fillId="2" borderId="0" xfId="0" applyFont="1" applyFill="1" applyAlignment="1">
      <alignment horizontal="center"/>
    </xf>
    <xf numFmtId="0" fontId="42" fillId="2" borderId="0" xfId="0" applyFont="1" applyFill="1" applyAlignment="1">
      <alignment vertical="center"/>
    </xf>
    <xf numFmtId="0" fontId="36" fillId="2" borderId="0" xfId="0" applyFont="1" applyFill="1"/>
    <xf numFmtId="0" fontId="44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167" fontId="39" fillId="2" borderId="0" xfId="0" applyNumberFormat="1" applyFont="1" applyFill="1" applyAlignment="1">
      <alignment vertical="center"/>
    </xf>
    <xf numFmtId="0" fontId="45" fillId="2" borderId="0" xfId="0" applyFont="1" applyFill="1" applyAlignment="1">
      <alignment vertical="center"/>
    </xf>
    <xf numFmtId="0" fontId="52" fillId="2" borderId="0" xfId="0" applyFont="1" applyFill="1"/>
    <xf numFmtId="0" fontId="42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vertical="center"/>
    </xf>
    <xf numFmtId="164" fontId="42" fillId="2" borderId="0" xfId="5" applyFont="1" applyFill="1" applyAlignment="1">
      <alignment vertical="center"/>
    </xf>
    <xf numFmtId="3" fontId="37" fillId="2" borderId="0" xfId="0" applyNumberFormat="1" applyFont="1" applyFill="1"/>
    <xf numFmtId="165" fontId="37" fillId="2" borderId="0" xfId="0" applyNumberFormat="1" applyFont="1" applyFill="1"/>
    <xf numFmtId="0" fontId="33" fillId="2" borderId="0" xfId="0" applyFont="1" applyFill="1" applyAlignment="1">
      <alignment horizontal="center"/>
    </xf>
    <xf numFmtId="0" fontId="33" fillId="2" borderId="0" xfId="0" applyFont="1" applyFill="1"/>
    <xf numFmtId="0" fontId="24" fillId="2" borderId="0" xfId="0" applyFont="1" applyFill="1"/>
    <xf numFmtId="166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/>
    <xf numFmtId="0" fontId="27" fillId="0" borderId="0" xfId="0" applyFont="1" applyFill="1"/>
    <xf numFmtId="0" fontId="29" fillId="0" borderId="0" xfId="0" applyFont="1" applyFill="1"/>
    <xf numFmtId="0" fontId="8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34" fillId="0" borderId="0" xfId="0" applyFont="1" applyFill="1"/>
    <xf numFmtId="0" fontId="28" fillId="0" borderId="0" xfId="0" applyFont="1" applyFill="1"/>
    <xf numFmtId="0" fontId="27" fillId="0" borderId="0" xfId="0" applyFont="1" applyFill="1" applyAlignment="1"/>
    <xf numFmtId="0" fontId="0" fillId="0" borderId="0" xfId="0" applyFill="1" applyAlignment="1"/>
    <xf numFmtId="0" fontId="8" fillId="0" borderId="0" xfId="0" applyFont="1" applyFill="1" applyAlignment="1"/>
    <xf numFmtId="0" fontId="0" fillId="0" borderId="0" xfId="0" applyFont="1" applyFill="1" applyAlignment="1"/>
    <xf numFmtId="0" fontId="28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wrapText="1"/>
    </xf>
    <xf numFmtId="167" fontId="27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166" fontId="46" fillId="0" borderId="1" xfId="0" applyNumberFormat="1" applyFont="1" applyFill="1" applyBorder="1" applyAlignment="1">
      <alignment horizontal="center" vertical="center"/>
    </xf>
    <xf numFmtId="166" fontId="25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vertical="center"/>
    </xf>
    <xf numFmtId="166" fontId="21" fillId="0" borderId="1" xfId="0" applyNumberFormat="1" applyFont="1" applyFill="1" applyBorder="1" applyAlignment="1">
      <alignment vertical="center"/>
    </xf>
    <xf numFmtId="168" fontId="21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6" fontId="46" fillId="0" borderId="1" xfId="0" applyNumberFormat="1" applyFont="1" applyFill="1" applyBorder="1" applyAlignment="1">
      <alignment vertical="center"/>
    </xf>
    <xf numFmtId="168" fontId="46" fillId="0" borderId="1" xfId="0" applyNumberFormat="1" applyFont="1" applyFill="1" applyBorder="1" applyAlignment="1">
      <alignment horizontal="center" vertical="center"/>
    </xf>
    <xf numFmtId="166" fontId="17" fillId="0" borderId="1" xfId="5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top" wrapText="1"/>
    </xf>
    <xf numFmtId="165" fontId="21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7" fontId="2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167" fontId="21" fillId="0" borderId="4" xfId="0" applyNumberFormat="1" applyFont="1" applyFill="1" applyBorder="1" applyAlignment="1">
      <alignment horizontal="center" vertical="center" wrapText="1"/>
    </xf>
    <xf numFmtId="167" fontId="21" fillId="0" borderId="4" xfId="0" applyNumberFormat="1" applyFont="1" applyFill="1" applyBorder="1" applyAlignment="1">
      <alignment vertical="center"/>
    </xf>
    <xf numFmtId="165" fontId="17" fillId="0" borderId="1" xfId="5" applyNumberFormat="1" applyFont="1" applyFill="1" applyBorder="1" applyAlignment="1">
      <alignment horizontal="center" vertical="center"/>
    </xf>
    <xf numFmtId="165" fontId="17" fillId="0" borderId="4" xfId="0" applyNumberFormat="1" applyFont="1" applyFill="1" applyBorder="1" applyAlignment="1">
      <alignment horizontal="center" vertical="center"/>
    </xf>
    <xf numFmtId="165" fontId="21" fillId="0" borderId="4" xfId="0" applyNumberFormat="1" applyFont="1" applyFill="1" applyBorder="1" applyAlignment="1">
      <alignment horizontal="center" vertical="center"/>
    </xf>
    <xf numFmtId="167" fontId="21" fillId="0" borderId="5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165" fontId="21" fillId="0" borderId="1" xfId="5" applyNumberFormat="1" applyFont="1" applyFill="1" applyBorder="1" applyAlignment="1">
      <alignment horizontal="center" vertical="center"/>
    </xf>
    <xf numFmtId="165" fontId="21" fillId="0" borderId="1" xfId="5" applyNumberFormat="1" applyFont="1" applyFill="1" applyBorder="1" applyAlignment="1" applyProtection="1">
      <alignment horizontal="center" vertical="center" wrapText="1"/>
    </xf>
    <xf numFmtId="165" fontId="21" fillId="0" borderId="1" xfId="4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167" fontId="17" fillId="0" borderId="1" xfId="0" applyNumberFormat="1" applyFont="1" applyFill="1" applyBorder="1" applyAlignment="1">
      <alignment horizontal="center" vertical="center" wrapText="1"/>
    </xf>
    <xf numFmtId="167" fontId="3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66" fontId="21" fillId="0" borderId="1" xfId="5" applyNumberFormat="1" applyFont="1" applyFill="1" applyBorder="1" applyAlignment="1">
      <alignment horizontal="center" vertical="center" wrapText="1"/>
    </xf>
    <xf numFmtId="0" fontId="21" fillId="0" borderId="1" xfId="5" applyNumberFormat="1" applyFont="1" applyFill="1" applyBorder="1" applyAlignment="1">
      <alignment horizontal="center" vertical="center" wrapText="1"/>
    </xf>
    <xf numFmtId="168" fontId="21" fillId="0" borderId="1" xfId="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165" fontId="4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165" fontId="48" fillId="0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0" fontId="53" fillId="2" borderId="0" xfId="0" applyFont="1" applyFill="1" applyAlignment="1">
      <alignment horizontal="center"/>
    </xf>
    <xf numFmtId="0" fontId="54" fillId="2" borderId="0" xfId="0" applyFont="1" applyFill="1" applyAlignment="1">
      <alignment horizontal="center"/>
    </xf>
    <xf numFmtId="166" fontId="37" fillId="2" borderId="0" xfId="0" applyNumberFormat="1" applyFont="1" applyFill="1"/>
    <xf numFmtId="168" fontId="37" fillId="2" borderId="0" xfId="0" applyNumberFormat="1" applyFont="1" applyFill="1"/>
    <xf numFmtId="165" fontId="53" fillId="2" borderId="0" xfId="0" applyNumberFormat="1" applyFont="1" applyFill="1" applyAlignment="1">
      <alignment horizontal="center"/>
    </xf>
    <xf numFmtId="165" fontId="55" fillId="2" borderId="0" xfId="0" applyNumberFormat="1" applyFont="1" applyFill="1" applyAlignment="1">
      <alignment horizontal="center"/>
    </xf>
    <xf numFmtId="165" fontId="56" fillId="2" borderId="0" xfId="0" applyNumberFormat="1" applyFont="1" applyFill="1" applyAlignment="1">
      <alignment horizontal="center"/>
    </xf>
    <xf numFmtId="0" fontId="56" fillId="2" borderId="0" xfId="0" applyFont="1" applyFill="1" applyAlignment="1">
      <alignment horizontal="center"/>
    </xf>
    <xf numFmtId="0" fontId="57" fillId="2" borderId="0" xfId="0" applyFont="1" applyFill="1" applyAlignment="1">
      <alignment horizontal="center"/>
    </xf>
    <xf numFmtId="168" fontId="51" fillId="2" borderId="0" xfId="0" applyNumberFormat="1" applyFont="1" applyFill="1" applyBorder="1"/>
    <xf numFmtId="166" fontId="51" fillId="2" borderId="0" xfId="0" applyNumberFormat="1" applyFont="1" applyFill="1"/>
    <xf numFmtId="165" fontId="58" fillId="2" borderId="0" xfId="0" applyNumberFormat="1" applyFont="1" applyFill="1" applyBorder="1" applyAlignment="1">
      <alignment horizontal="center" vertical="center"/>
    </xf>
    <xf numFmtId="0" fontId="59" fillId="2" borderId="0" xfId="0" applyFont="1" applyFill="1" applyAlignment="1">
      <alignment horizontal="center"/>
    </xf>
    <xf numFmtId="0" fontId="59" fillId="2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165" fontId="57" fillId="2" borderId="0" xfId="0" applyNumberFormat="1" applyFont="1" applyFill="1" applyAlignment="1">
      <alignment horizontal="center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165" fontId="54" fillId="2" borderId="0" xfId="0" applyNumberFormat="1" applyFont="1" applyFill="1" applyAlignment="1">
      <alignment horizontal="center"/>
    </xf>
    <xf numFmtId="166" fontId="38" fillId="2" borderId="0" xfId="5" applyNumberFormat="1" applyFont="1" applyFill="1" applyBorder="1" applyAlignment="1">
      <alignment horizontal="left" vertical="center" wrapText="1"/>
    </xf>
    <xf numFmtId="0" fontId="40" fillId="2" borderId="0" xfId="0" applyFont="1" applyFill="1" applyBorder="1" applyAlignment="1">
      <alignment horizontal="left" vertical="center"/>
    </xf>
    <xf numFmtId="168" fontId="60" fillId="2" borderId="0" xfId="0" applyNumberFormat="1" applyFont="1" applyFill="1" applyAlignment="1">
      <alignment vertical="center"/>
    </xf>
    <xf numFmtId="168" fontId="61" fillId="2" borderId="0" xfId="0" applyNumberFormat="1" applyFont="1" applyFill="1" applyAlignment="1">
      <alignment vertical="center"/>
    </xf>
    <xf numFmtId="4" fontId="40" fillId="2" borderId="0" xfId="0" applyNumberFormat="1" applyFont="1" applyFill="1"/>
    <xf numFmtId="165" fontId="42" fillId="2" borderId="0" xfId="0" applyNumberFormat="1" applyFont="1" applyFill="1" applyAlignment="1">
      <alignment vertical="center"/>
    </xf>
    <xf numFmtId="4" fontId="37" fillId="2" borderId="0" xfId="0" applyNumberFormat="1" applyFont="1" applyFill="1"/>
    <xf numFmtId="165" fontId="50" fillId="2" borderId="0" xfId="0" applyNumberFormat="1" applyFont="1" applyFill="1"/>
    <xf numFmtId="167" fontId="41" fillId="2" borderId="0" xfId="0" applyNumberFormat="1" applyFont="1" applyFill="1"/>
    <xf numFmtId="0" fontId="50" fillId="2" borderId="0" xfId="0" applyFont="1" applyFill="1"/>
    <xf numFmtId="4" fontId="42" fillId="2" borderId="0" xfId="0" applyNumberFormat="1" applyFont="1" applyFill="1" applyAlignment="1">
      <alignment vertical="center"/>
    </xf>
    <xf numFmtId="4" fontId="51" fillId="2" borderId="0" xfId="0" applyNumberFormat="1" applyFont="1" applyFill="1"/>
    <xf numFmtId="165" fontId="35" fillId="2" borderId="0" xfId="0" applyNumberFormat="1" applyFont="1" applyFill="1"/>
    <xf numFmtId="165" fontId="51" fillId="2" borderId="0" xfId="0" applyNumberFormat="1" applyFont="1" applyFill="1"/>
    <xf numFmtId="167" fontId="36" fillId="2" borderId="0" xfId="0" applyNumberFormat="1" applyFont="1" applyFill="1"/>
    <xf numFmtId="4" fontId="36" fillId="2" borderId="0" xfId="0" applyNumberFormat="1" applyFont="1" applyFill="1"/>
    <xf numFmtId="0" fontId="4" fillId="0" borderId="0" xfId="0" applyFont="1" applyFill="1" applyAlignment="1">
      <alignment horizontal="right" vertical="top" wrapText="1"/>
    </xf>
    <xf numFmtId="0" fontId="28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/>
    </xf>
    <xf numFmtId="0" fontId="25" fillId="0" borderId="1" xfId="0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166" fontId="38" fillId="2" borderId="3" xfId="5" applyNumberFormat="1" applyFont="1" applyFill="1" applyBorder="1" applyAlignment="1">
      <alignment horizontal="left" vertical="center" wrapText="1"/>
    </xf>
    <xf numFmtId="0" fontId="40" fillId="2" borderId="3" xfId="0" applyFont="1" applyFill="1" applyBorder="1" applyAlignment="1">
      <alignment horizontal="left" vertical="center"/>
    </xf>
    <xf numFmtId="168" fontId="60" fillId="2" borderId="0" xfId="0" applyNumberFormat="1" applyFont="1" applyFill="1" applyAlignment="1">
      <alignment wrapText="1"/>
    </xf>
    <xf numFmtId="0" fontId="35" fillId="2" borderId="0" xfId="0" applyFont="1" applyFill="1" applyAlignment="1">
      <alignment wrapText="1"/>
    </xf>
    <xf numFmtId="0" fontId="21" fillId="0" borderId="4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166" fontId="21" fillId="0" borderId="4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wrapText="1"/>
    </xf>
    <xf numFmtId="166" fontId="21" fillId="0" borderId="5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1"/>
    <cellStyle name="Обычный 2 3" xfId="2"/>
    <cellStyle name="Обычный_Лист1" xfId="3"/>
    <cellStyle name="Обычный_Лист1_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42"/>
  <sheetViews>
    <sheetView tabSelected="1" topLeftCell="A129" zoomScale="50" zoomScaleNormal="50" zoomScaleSheetLayoutView="50" workbookViewId="0">
      <selection activeCell="A135" sqref="A135"/>
    </sheetView>
  </sheetViews>
  <sheetFormatPr defaultColWidth="9.140625" defaultRowHeight="42" customHeight="1" x14ac:dyDescent="0.2"/>
  <cols>
    <col min="1" max="1" width="5" style="1" customWidth="1"/>
    <col min="2" max="2" width="30.7109375" style="26" customWidth="1"/>
    <col min="3" max="3" width="21" style="11" customWidth="1"/>
    <col min="4" max="4" width="13.28515625" style="1" customWidth="1"/>
    <col min="5" max="5" width="11.85546875" style="6" customWidth="1"/>
    <col min="6" max="6" width="10.7109375" style="7" customWidth="1"/>
    <col min="7" max="7" width="12.42578125" style="7" customWidth="1"/>
    <col min="8" max="8" width="10.7109375" style="7" customWidth="1"/>
    <col min="9" max="9" width="9.85546875" style="7" customWidth="1"/>
    <col min="10" max="10" width="12" style="6" customWidth="1"/>
    <col min="11" max="11" width="10.28515625" style="7" customWidth="1"/>
    <col min="12" max="12" width="13.140625" style="7" customWidth="1"/>
    <col min="13" max="13" width="10.7109375" style="7" customWidth="1"/>
    <col min="14" max="14" width="9.85546875" style="7" customWidth="1"/>
    <col min="15" max="15" width="12.28515625" style="6" customWidth="1"/>
    <col min="16" max="16" width="10.42578125" style="7" customWidth="1"/>
    <col min="17" max="17" width="12.140625" style="7" customWidth="1"/>
    <col min="18" max="18" width="10.28515625" style="7" customWidth="1"/>
    <col min="19" max="19" width="9.42578125" style="7" customWidth="1"/>
    <col min="20" max="20" width="12.42578125" style="6" customWidth="1"/>
    <col min="21" max="21" width="12.42578125" style="7" customWidth="1"/>
    <col min="22" max="22" width="15.140625" style="7" customWidth="1"/>
    <col min="23" max="23" width="11.28515625" style="7" customWidth="1"/>
    <col min="24" max="24" width="10.7109375" style="1" customWidth="1"/>
    <col min="25" max="25" width="12.140625" style="6" customWidth="1"/>
    <col min="26" max="26" width="12.140625" style="7" customWidth="1"/>
    <col min="27" max="27" width="11.85546875" style="7" customWidth="1"/>
    <col min="28" max="28" width="7.7109375" style="7" customWidth="1"/>
    <col min="29" max="29" width="14" style="7" customWidth="1"/>
    <col min="30" max="30" width="13.28515625" style="6" customWidth="1"/>
    <col min="31" max="31" width="12.7109375" style="1" customWidth="1"/>
    <col min="32" max="32" width="14.140625" style="1" customWidth="1"/>
    <col min="33" max="33" width="13.5703125" style="1" customWidth="1"/>
    <col min="34" max="34" width="7.42578125" style="1" customWidth="1"/>
    <col min="35" max="35" width="13.7109375" style="6" customWidth="1"/>
    <col min="36" max="36" width="12.28515625" style="1" customWidth="1"/>
    <col min="37" max="37" width="14.28515625" style="1" customWidth="1"/>
    <col min="38" max="38" width="10" style="1" customWidth="1"/>
    <col min="39" max="39" width="8.42578125" style="1" customWidth="1"/>
    <col min="40" max="40" width="16.42578125" style="12" customWidth="1"/>
    <col min="41" max="41" width="14.5703125" style="27" bestFit="1" customWidth="1"/>
    <col min="42" max="42" width="11" style="7" bestFit="1" customWidth="1"/>
    <col min="43" max="16384" width="9.140625" style="7"/>
  </cols>
  <sheetData>
    <row r="1" spans="1:41" ht="74.45" customHeight="1" x14ac:dyDescent="0.2">
      <c r="A1" s="50"/>
      <c r="B1" s="51"/>
      <c r="C1" s="52"/>
      <c r="D1" s="53"/>
      <c r="E1" s="54"/>
      <c r="F1" s="53"/>
      <c r="G1" s="53"/>
      <c r="H1" s="53"/>
      <c r="I1" s="53"/>
      <c r="J1" s="54"/>
      <c r="K1" s="53"/>
      <c r="L1" s="53"/>
      <c r="M1" s="53"/>
      <c r="N1" s="53"/>
      <c r="O1" s="54"/>
      <c r="P1" s="53"/>
      <c r="Q1" s="53"/>
      <c r="R1" s="53"/>
      <c r="S1" s="53"/>
      <c r="T1" s="54"/>
      <c r="U1" s="53"/>
      <c r="V1" s="53"/>
      <c r="W1" s="53"/>
      <c r="X1" s="53"/>
      <c r="Y1" s="55"/>
      <c r="Z1" s="56"/>
      <c r="AA1" s="56"/>
      <c r="AB1" s="56"/>
      <c r="AC1" s="56"/>
      <c r="AD1" s="55"/>
      <c r="AE1" s="50"/>
      <c r="AF1" s="50"/>
      <c r="AG1" s="50"/>
      <c r="AH1" s="50"/>
      <c r="AI1" s="166" t="s">
        <v>180</v>
      </c>
      <c r="AJ1" s="166"/>
      <c r="AK1" s="166"/>
      <c r="AL1" s="166"/>
      <c r="AM1" s="166"/>
      <c r="AN1" s="166"/>
    </row>
    <row r="2" spans="1:41" ht="42" customHeight="1" x14ac:dyDescent="0.2">
      <c r="A2" s="50"/>
      <c r="B2" s="51"/>
      <c r="C2" s="52"/>
      <c r="D2" s="53"/>
      <c r="E2" s="54"/>
      <c r="F2" s="53"/>
      <c r="G2" s="53"/>
      <c r="H2" s="53"/>
      <c r="I2" s="53"/>
      <c r="J2" s="54"/>
      <c r="K2" s="53"/>
      <c r="L2" s="53"/>
      <c r="M2" s="53"/>
      <c r="N2" s="53"/>
      <c r="O2" s="54"/>
      <c r="P2" s="53"/>
      <c r="Q2" s="53"/>
      <c r="R2" s="53"/>
      <c r="S2" s="53"/>
      <c r="T2" s="54"/>
      <c r="U2" s="53"/>
      <c r="V2" s="53"/>
      <c r="W2" s="53"/>
      <c r="X2" s="53"/>
      <c r="Y2" s="55"/>
      <c r="Z2" s="56"/>
      <c r="AA2" s="56"/>
      <c r="AB2" s="56"/>
      <c r="AC2" s="56"/>
      <c r="AD2" s="55"/>
      <c r="AE2" s="50"/>
      <c r="AF2" s="50"/>
      <c r="AG2" s="50"/>
      <c r="AH2" s="50"/>
      <c r="AI2" s="57"/>
      <c r="AJ2" s="58"/>
      <c r="AK2" s="58"/>
      <c r="AL2" s="58"/>
      <c r="AM2" s="58"/>
      <c r="AN2" s="58"/>
    </row>
    <row r="3" spans="1:41" s="8" customFormat="1" ht="70.900000000000006" customHeight="1" x14ac:dyDescent="0.25">
      <c r="A3" s="59"/>
      <c r="B3" s="60"/>
      <c r="C3" s="61"/>
      <c r="D3" s="62"/>
      <c r="E3" s="63"/>
      <c r="F3" s="64"/>
      <c r="G3" s="64"/>
      <c r="H3" s="64"/>
      <c r="I3" s="64"/>
      <c r="J3" s="167"/>
      <c r="K3" s="168"/>
      <c r="L3" s="168"/>
      <c r="M3" s="168"/>
      <c r="N3" s="168"/>
      <c r="O3" s="65"/>
      <c r="P3" s="65"/>
      <c r="Q3" s="65"/>
      <c r="R3" s="65"/>
      <c r="S3" s="65"/>
      <c r="T3" s="65"/>
      <c r="U3" s="65"/>
      <c r="V3" s="65"/>
      <c r="W3" s="65"/>
      <c r="X3" s="65"/>
      <c r="Y3" s="66"/>
      <c r="Z3" s="66"/>
      <c r="AA3" s="66"/>
      <c r="AB3" s="66"/>
      <c r="AC3" s="66"/>
      <c r="AD3" s="67"/>
      <c r="AE3" s="68"/>
      <c r="AF3" s="68"/>
      <c r="AG3" s="68"/>
      <c r="AH3" s="166" t="s">
        <v>112</v>
      </c>
      <c r="AI3" s="166"/>
      <c r="AJ3" s="166"/>
      <c r="AK3" s="166"/>
      <c r="AL3" s="166"/>
      <c r="AM3" s="166"/>
      <c r="AN3" s="166"/>
      <c r="AO3" s="128"/>
    </row>
    <row r="4" spans="1:41" s="8" customFormat="1" ht="42" customHeight="1" x14ac:dyDescent="0.25">
      <c r="A4" s="59"/>
      <c r="B4" s="60"/>
      <c r="C4" s="61"/>
      <c r="D4" s="62"/>
      <c r="E4" s="63"/>
      <c r="F4" s="64"/>
      <c r="G4" s="64"/>
      <c r="H4" s="64"/>
      <c r="I4" s="64"/>
      <c r="J4" s="69"/>
      <c r="K4" s="70"/>
      <c r="L4" s="70"/>
      <c r="M4" s="70"/>
      <c r="N4" s="70"/>
      <c r="O4" s="65"/>
      <c r="P4" s="65"/>
      <c r="Q4" s="71"/>
      <c r="R4" s="65"/>
      <c r="S4" s="65"/>
      <c r="T4" s="65"/>
      <c r="U4" s="65"/>
      <c r="V4" s="65"/>
      <c r="W4" s="65"/>
      <c r="X4" s="65"/>
      <c r="Y4" s="66"/>
      <c r="Z4" s="66"/>
      <c r="AA4" s="66"/>
      <c r="AB4" s="66"/>
      <c r="AC4" s="66"/>
      <c r="AD4" s="67"/>
      <c r="AE4" s="68"/>
      <c r="AF4" s="68"/>
      <c r="AG4" s="68"/>
      <c r="AH4" s="68"/>
      <c r="AI4" s="57"/>
      <c r="AJ4" s="72"/>
      <c r="AK4" s="72"/>
      <c r="AL4" s="72"/>
      <c r="AM4" s="72"/>
      <c r="AN4" s="72"/>
      <c r="AO4" s="128"/>
    </row>
    <row r="5" spans="1:41" ht="42" customHeight="1" x14ac:dyDescent="0.25">
      <c r="A5" s="73"/>
      <c r="B5" s="169" t="s">
        <v>113</v>
      </c>
      <c r="C5" s="169"/>
      <c r="D5" s="169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</row>
    <row r="6" spans="1:41" ht="42" customHeight="1" x14ac:dyDescent="0.2">
      <c r="A6" s="171" t="s">
        <v>4</v>
      </c>
      <c r="B6" s="172" t="s">
        <v>96</v>
      </c>
      <c r="C6" s="172" t="s">
        <v>95</v>
      </c>
      <c r="D6" s="174" t="s">
        <v>20</v>
      </c>
      <c r="E6" s="174" t="s">
        <v>94</v>
      </c>
      <c r="F6" s="174"/>
      <c r="G6" s="174"/>
      <c r="H6" s="174"/>
      <c r="I6" s="174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7" t="s">
        <v>5</v>
      </c>
    </row>
    <row r="7" spans="1:41" ht="42" customHeight="1" x14ac:dyDescent="0.2">
      <c r="A7" s="171"/>
      <c r="B7" s="173"/>
      <c r="C7" s="172"/>
      <c r="D7" s="175"/>
      <c r="E7" s="171" t="s">
        <v>25</v>
      </c>
      <c r="F7" s="171"/>
      <c r="G7" s="171"/>
      <c r="H7" s="171"/>
      <c r="I7" s="171"/>
      <c r="J7" s="171" t="s">
        <v>26</v>
      </c>
      <c r="K7" s="171"/>
      <c r="L7" s="171"/>
      <c r="M7" s="171"/>
      <c r="N7" s="171"/>
      <c r="O7" s="171" t="s">
        <v>27</v>
      </c>
      <c r="P7" s="171"/>
      <c r="Q7" s="171"/>
      <c r="R7" s="171"/>
      <c r="S7" s="171"/>
      <c r="T7" s="171" t="s">
        <v>28</v>
      </c>
      <c r="U7" s="171"/>
      <c r="V7" s="171"/>
      <c r="W7" s="171"/>
      <c r="X7" s="171"/>
      <c r="Y7" s="171" t="s">
        <v>29</v>
      </c>
      <c r="Z7" s="171"/>
      <c r="AA7" s="171"/>
      <c r="AB7" s="171"/>
      <c r="AC7" s="171"/>
      <c r="AD7" s="171" t="s">
        <v>30</v>
      </c>
      <c r="AE7" s="171"/>
      <c r="AF7" s="171"/>
      <c r="AG7" s="171"/>
      <c r="AH7" s="171"/>
      <c r="AI7" s="171" t="s">
        <v>31</v>
      </c>
      <c r="AJ7" s="171"/>
      <c r="AK7" s="171"/>
      <c r="AL7" s="171"/>
      <c r="AM7" s="171"/>
      <c r="AN7" s="177"/>
    </row>
    <row r="8" spans="1:41" ht="42" customHeight="1" x14ac:dyDescent="0.2">
      <c r="A8" s="171"/>
      <c r="B8" s="173"/>
      <c r="C8" s="172"/>
      <c r="D8" s="175"/>
      <c r="E8" s="74" t="s">
        <v>6</v>
      </c>
      <c r="F8" s="75" t="s">
        <v>21</v>
      </c>
      <c r="G8" s="75" t="s">
        <v>22</v>
      </c>
      <c r="H8" s="75" t="s">
        <v>23</v>
      </c>
      <c r="I8" s="75" t="s">
        <v>24</v>
      </c>
      <c r="J8" s="74" t="s">
        <v>6</v>
      </c>
      <c r="K8" s="75" t="s">
        <v>21</v>
      </c>
      <c r="L8" s="75" t="s">
        <v>22</v>
      </c>
      <c r="M8" s="75" t="s">
        <v>23</v>
      </c>
      <c r="N8" s="75" t="s">
        <v>24</v>
      </c>
      <c r="O8" s="74" t="s">
        <v>6</v>
      </c>
      <c r="P8" s="75" t="s">
        <v>21</v>
      </c>
      <c r="Q8" s="75" t="s">
        <v>22</v>
      </c>
      <c r="R8" s="75" t="s">
        <v>23</v>
      </c>
      <c r="S8" s="75" t="s">
        <v>24</v>
      </c>
      <c r="T8" s="74" t="s">
        <v>6</v>
      </c>
      <c r="U8" s="75" t="s">
        <v>21</v>
      </c>
      <c r="V8" s="75" t="s">
        <v>22</v>
      </c>
      <c r="W8" s="75" t="s">
        <v>23</v>
      </c>
      <c r="X8" s="75" t="s">
        <v>24</v>
      </c>
      <c r="Y8" s="74" t="s">
        <v>6</v>
      </c>
      <c r="Z8" s="75" t="s">
        <v>21</v>
      </c>
      <c r="AA8" s="75" t="s">
        <v>22</v>
      </c>
      <c r="AB8" s="75" t="s">
        <v>23</v>
      </c>
      <c r="AC8" s="75" t="s">
        <v>24</v>
      </c>
      <c r="AD8" s="74" t="s">
        <v>6</v>
      </c>
      <c r="AE8" s="75" t="s">
        <v>21</v>
      </c>
      <c r="AF8" s="75" t="s">
        <v>22</v>
      </c>
      <c r="AG8" s="75" t="s">
        <v>23</v>
      </c>
      <c r="AH8" s="75" t="s">
        <v>24</v>
      </c>
      <c r="AI8" s="74" t="s">
        <v>6</v>
      </c>
      <c r="AJ8" s="75" t="s">
        <v>21</v>
      </c>
      <c r="AK8" s="75" t="s">
        <v>22</v>
      </c>
      <c r="AL8" s="75" t="s">
        <v>23</v>
      </c>
      <c r="AM8" s="75" t="s">
        <v>24</v>
      </c>
      <c r="AN8" s="177"/>
    </row>
    <row r="9" spans="1:41" s="9" customFormat="1" ht="42" customHeight="1" x14ac:dyDescent="0.2">
      <c r="A9" s="76">
        <v>1</v>
      </c>
      <c r="B9" s="77">
        <v>2</v>
      </c>
      <c r="C9" s="77">
        <v>3</v>
      </c>
      <c r="D9" s="78">
        <v>4</v>
      </c>
      <c r="E9" s="79">
        <v>5</v>
      </c>
      <c r="F9" s="78">
        <v>6</v>
      </c>
      <c r="G9" s="78">
        <v>7</v>
      </c>
      <c r="H9" s="78">
        <v>8</v>
      </c>
      <c r="I9" s="78">
        <v>9</v>
      </c>
      <c r="J9" s="79">
        <v>10</v>
      </c>
      <c r="K9" s="78">
        <v>11</v>
      </c>
      <c r="L9" s="78">
        <v>12</v>
      </c>
      <c r="M9" s="78">
        <v>13</v>
      </c>
      <c r="N9" s="78">
        <v>14</v>
      </c>
      <c r="O9" s="78">
        <v>15</v>
      </c>
      <c r="P9" s="78">
        <v>16</v>
      </c>
      <c r="Q9" s="78">
        <v>17</v>
      </c>
      <c r="R9" s="78">
        <v>18</v>
      </c>
      <c r="S9" s="78">
        <v>19</v>
      </c>
      <c r="T9" s="78">
        <v>20</v>
      </c>
      <c r="U9" s="78">
        <v>21</v>
      </c>
      <c r="V9" s="78">
        <v>22</v>
      </c>
      <c r="W9" s="78">
        <v>23</v>
      </c>
      <c r="X9" s="78">
        <v>24</v>
      </c>
      <c r="Y9" s="78">
        <v>25</v>
      </c>
      <c r="Z9" s="78">
        <v>26</v>
      </c>
      <c r="AA9" s="78">
        <v>27</v>
      </c>
      <c r="AB9" s="78">
        <v>28</v>
      </c>
      <c r="AC9" s="78">
        <v>29</v>
      </c>
      <c r="AD9" s="79">
        <v>30</v>
      </c>
      <c r="AE9" s="78">
        <v>31</v>
      </c>
      <c r="AF9" s="78">
        <v>32</v>
      </c>
      <c r="AG9" s="78">
        <v>33</v>
      </c>
      <c r="AH9" s="78">
        <v>34</v>
      </c>
      <c r="AI9" s="78">
        <v>35</v>
      </c>
      <c r="AJ9" s="78">
        <v>36</v>
      </c>
      <c r="AK9" s="78">
        <v>37</v>
      </c>
      <c r="AL9" s="78">
        <v>38</v>
      </c>
      <c r="AM9" s="78">
        <v>39</v>
      </c>
      <c r="AN9" s="80">
        <v>40</v>
      </c>
      <c r="AO9" s="129"/>
    </row>
    <row r="10" spans="1:41" s="10" customFormat="1" ht="42" customHeight="1" x14ac:dyDescent="0.25">
      <c r="A10" s="180" t="s">
        <v>72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30"/>
    </row>
    <row r="11" spans="1:41" s="10" customFormat="1" ht="42" customHeight="1" x14ac:dyDescent="0.25">
      <c r="A11" s="180" t="s">
        <v>73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30"/>
    </row>
    <row r="12" spans="1:41" s="8" customFormat="1" ht="42" customHeight="1" x14ac:dyDescent="0.25">
      <c r="A12" s="181" t="s">
        <v>114</v>
      </c>
      <c r="B12" s="181"/>
      <c r="C12" s="181"/>
      <c r="D12" s="181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28"/>
    </row>
    <row r="13" spans="1:41" s="8" customFormat="1" ht="42" customHeight="1" x14ac:dyDescent="0.2">
      <c r="A13" s="178" t="s">
        <v>84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28"/>
    </row>
    <row r="14" spans="1:41" s="8" customFormat="1" ht="42" customHeight="1" x14ac:dyDescent="0.2">
      <c r="A14" s="178" t="s">
        <v>74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28"/>
    </row>
    <row r="15" spans="1:41" ht="100.9" customHeight="1" x14ac:dyDescent="0.2">
      <c r="A15" s="144">
        <v>1</v>
      </c>
      <c r="B15" s="143" t="s">
        <v>47</v>
      </c>
      <c r="C15" s="143" t="s">
        <v>122</v>
      </c>
      <c r="D15" s="83">
        <v>2020</v>
      </c>
      <c r="E15" s="84">
        <f t="shared" ref="E15:E20" si="0">SUM(F15:G15)</f>
        <v>0</v>
      </c>
      <c r="F15" s="85">
        <v>0</v>
      </c>
      <c r="G15" s="85">
        <v>0</v>
      </c>
      <c r="H15" s="85">
        <v>0</v>
      </c>
      <c r="I15" s="85">
        <v>0</v>
      </c>
      <c r="J15" s="84">
        <v>0</v>
      </c>
      <c r="K15" s="86">
        <v>0</v>
      </c>
      <c r="L15" s="86">
        <v>0</v>
      </c>
      <c r="M15" s="86">
        <v>0</v>
      </c>
      <c r="N15" s="86">
        <v>0</v>
      </c>
      <c r="O15" s="84">
        <f>SUM(P15:Q15)</f>
        <v>0</v>
      </c>
      <c r="P15" s="86">
        <v>0</v>
      </c>
      <c r="Q15" s="86">
        <v>0</v>
      </c>
      <c r="R15" s="86">
        <v>0</v>
      </c>
      <c r="S15" s="86">
        <v>0</v>
      </c>
      <c r="T15" s="84">
        <v>0</v>
      </c>
      <c r="U15" s="86">
        <v>0</v>
      </c>
      <c r="V15" s="86">
        <v>0</v>
      </c>
      <c r="W15" s="86">
        <v>0</v>
      </c>
      <c r="X15" s="86">
        <v>0</v>
      </c>
      <c r="Y15" s="84">
        <v>0</v>
      </c>
      <c r="Z15" s="86">
        <v>0</v>
      </c>
      <c r="AA15" s="86">
        <v>0</v>
      </c>
      <c r="AB15" s="86">
        <v>0</v>
      </c>
      <c r="AC15" s="86">
        <v>0</v>
      </c>
      <c r="AD15" s="87">
        <v>0</v>
      </c>
      <c r="AE15" s="49">
        <v>0</v>
      </c>
      <c r="AF15" s="49">
        <v>0</v>
      </c>
      <c r="AG15" s="49">
        <v>0</v>
      </c>
      <c r="AH15" s="49">
        <v>0</v>
      </c>
      <c r="AI15" s="87">
        <v>0</v>
      </c>
      <c r="AJ15" s="49">
        <v>0</v>
      </c>
      <c r="AK15" s="49">
        <v>0</v>
      </c>
      <c r="AL15" s="49">
        <v>0</v>
      </c>
      <c r="AM15" s="49">
        <v>0</v>
      </c>
      <c r="AN15" s="87">
        <f>SUM(E15,J15,O15,T15,Y15,AD15,AI15)</f>
        <v>0</v>
      </c>
    </row>
    <row r="16" spans="1:41" ht="110.45" customHeight="1" x14ac:dyDescent="0.2">
      <c r="A16" s="144">
        <v>2</v>
      </c>
      <c r="B16" s="143" t="s">
        <v>14</v>
      </c>
      <c r="C16" s="143" t="s">
        <v>123</v>
      </c>
      <c r="D16" s="83">
        <v>2020</v>
      </c>
      <c r="E16" s="84">
        <f t="shared" si="0"/>
        <v>0</v>
      </c>
      <c r="F16" s="85">
        <v>0</v>
      </c>
      <c r="G16" s="85">
        <v>0</v>
      </c>
      <c r="H16" s="85">
        <v>0</v>
      </c>
      <c r="I16" s="85">
        <v>0</v>
      </c>
      <c r="J16" s="84">
        <v>0</v>
      </c>
      <c r="K16" s="86">
        <v>0</v>
      </c>
      <c r="L16" s="86">
        <v>0</v>
      </c>
      <c r="M16" s="86">
        <v>0</v>
      </c>
      <c r="N16" s="86">
        <v>0</v>
      </c>
      <c r="O16" s="84">
        <f>SUM(P16:Q16)</f>
        <v>0</v>
      </c>
      <c r="P16" s="86">
        <v>0</v>
      </c>
      <c r="Q16" s="86">
        <v>0</v>
      </c>
      <c r="R16" s="86">
        <v>0</v>
      </c>
      <c r="S16" s="86">
        <v>0</v>
      </c>
      <c r="T16" s="84">
        <v>0</v>
      </c>
      <c r="U16" s="86">
        <v>0</v>
      </c>
      <c r="V16" s="86">
        <v>0</v>
      </c>
      <c r="W16" s="86">
        <v>0</v>
      </c>
      <c r="X16" s="86">
        <v>0</v>
      </c>
      <c r="Y16" s="84">
        <f>SUM(Z16:AC16)</f>
        <v>0</v>
      </c>
      <c r="Z16" s="86">
        <v>0</v>
      </c>
      <c r="AA16" s="86">
        <v>0</v>
      </c>
      <c r="AB16" s="86">
        <v>0</v>
      </c>
      <c r="AC16" s="86">
        <v>0</v>
      </c>
      <c r="AD16" s="87">
        <v>0</v>
      </c>
      <c r="AE16" s="49">
        <v>0</v>
      </c>
      <c r="AF16" s="49">
        <v>0</v>
      </c>
      <c r="AG16" s="49">
        <v>0</v>
      </c>
      <c r="AH16" s="49">
        <v>0</v>
      </c>
      <c r="AI16" s="87">
        <v>0</v>
      </c>
      <c r="AJ16" s="49">
        <v>0</v>
      </c>
      <c r="AK16" s="49">
        <v>0</v>
      </c>
      <c r="AL16" s="49">
        <v>0</v>
      </c>
      <c r="AM16" s="49">
        <v>0</v>
      </c>
      <c r="AN16" s="87">
        <f t="shared" ref="AN16:AN25" si="1">SUM(E16,J16,O16,T16,Y16,AD16,AI16)</f>
        <v>0</v>
      </c>
    </row>
    <row r="17" spans="1:41" ht="102" customHeight="1" x14ac:dyDescent="0.2">
      <c r="A17" s="144">
        <v>3</v>
      </c>
      <c r="B17" s="143" t="s">
        <v>151</v>
      </c>
      <c r="C17" s="143" t="s">
        <v>123</v>
      </c>
      <c r="D17" s="83">
        <v>2020</v>
      </c>
      <c r="E17" s="84">
        <f t="shared" si="0"/>
        <v>0</v>
      </c>
      <c r="F17" s="85">
        <v>0</v>
      </c>
      <c r="G17" s="85">
        <v>0</v>
      </c>
      <c r="H17" s="85">
        <v>0</v>
      </c>
      <c r="I17" s="85">
        <v>0</v>
      </c>
      <c r="J17" s="84">
        <v>0</v>
      </c>
      <c r="K17" s="86">
        <v>0</v>
      </c>
      <c r="L17" s="86">
        <v>0</v>
      </c>
      <c r="M17" s="86">
        <v>0</v>
      </c>
      <c r="N17" s="86">
        <v>0</v>
      </c>
      <c r="O17" s="84">
        <f>SUM(P17:Q17)</f>
        <v>0</v>
      </c>
      <c r="P17" s="86">
        <v>0</v>
      </c>
      <c r="Q17" s="86">
        <v>0</v>
      </c>
      <c r="R17" s="86">
        <v>0</v>
      </c>
      <c r="S17" s="86">
        <v>0</v>
      </c>
      <c r="T17" s="84">
        <v>0</v>
      </c>
      <c r="U17" s="86">
        <v>0</v>
      </c>
      <c r="V17" s="86">
        <v>0</v>
      </c>
      <c r="W17" s="86">
        <v>0</v>
      </c>
      <c r="X17" s="86">
        <v>0</v>
      </c>
      <c r="Y17" s="84">
        <v>0</v>
      </c>
      <c r="Z17" s="86">
        <v>0</v>
      </c>
      <c r="AA17" s="86">
        <v>0</v>
      </c>
      <c r="AB17" s="86">
        <v>0</v>
      </c>
      <c r="AC17" s="86">
        <v>0</v>
      </c>
      <c r="AD17" s="87">
        <v>0</v>
      </c>
      <c r="AE17" s="49">
        <v>0</v>
      </c>
      <c r="AF17" s="49">
        <v>0</v>
      </c>
      <c r="AG17" s="49">
        <v>0</v>
      </c>
      <c r="AH17" s="49">
        <v>0</v>
      </c>
      <c r="AI17" s="87">
        <v>0</v>
      </c>
      <c r="AJ17" s="49">
        <v>0</v>
      </c>
      <c r="AK17" s="49">
        <v>0</v>
      </c>
      <c r="AL17" s="49">
        <v>0</v>
      </c>
      <c r="AM17" s="49">
        <v>0</v>
      </c>
      <c r="AN17" s="87">
        <f t="shared" si="1"/>
        <v>0</v>
      </c>
    </row>
    <row r="18" spans="1:41" ht="92.45" customHeight="1" x14ac:dyDescent="0.2">
      <c r="A18" s="144">
        <v>4</v>
      </c>
      <c r="B18" s="143" t="s">
        <v>152</v>
      </c>
      <c r="C18" s="143" t="s">
        <v>123</v>
      </c>
      <c r="D18" s="83">
        <v>2020</v>
      </c>
      <c r="E18" s="84">
        <f t="shared" si="0"/>
        <v>0</v>
      </c>
      <c r="F18" s="85">
        <v>0</v>
      </c>
      <c r="G18" s="85">
        <v>0</v>
      </c>
      <c r="H18" s="85">
        <v>0</v>
      </c>
      <c r="I18" s="85">
        <v>0</v>
      </c>
      <c r="J18" s="84">
        <v>0</v>
      </c>
      <c r="K18" s="86">
        <v>0</v>
      </c>
      <c r="L18" s="86">
        <v>0</v>
      </c>
      <c r="M18" s="86">
        <v>0</v>
      </c>
      <c r="N18" s="86">
        <v>0</v>
      </c>
      <c r="O18" s="84">
        <f>SUM(P18:Q18)</f>
        <v>0</v>
      </c>
      <c r="P18" s="86">
        <v>0</v>
      </c>
      <c r="Q18" s="86">
        <v>0</v>
      </c>
      <c r="R18" s="86">
        <v>0</v>
      </c>
      <c r="S18" s="86">
        <v>0</v>
      </c>
      <c r="T18" s="84">
        <v>0</v>
      </c>
      <c r="U18" s="86">
        <v>0</v>
      </c>
      <c r="V18" s="86">
        <v>0</v>
      </c>
      <c r="W18" s="86">
        <v>0</v>
      </c>
      <c r="X18" s="86">
        <v>0</v>
      </c>
      <c r="Y18" s="84">
        <v>0</v>
      </c>
      <c r="Z18" s="86">
        <v>0</v>
      </c>
      <c r="AA18" s="86">
        <v>0</v>
      </c>
      <c r="AB18" s="86">
        <v>0</v>
      </c>
      <c r="AC18" s="86">
        <v>0</v>
      </c>
      <c r="AD18" s="87">
        <v>0</v>
      </c>
      <c r="AE18" s="49">
        <v>0</v>
      </c>
      <c r="AF18" s="49">
        <v>0</v>
      </c>
      <c r="AG18" s="49">
        <v>0</v>
      </c>
      <c r="AH18" s="49">
        <v>0</v>
      </c>
      <c r="AI18" s="87">
        <v>0</v>
      </c>
      <c r="AJ18" s="49">
        <v>0</v>
      </c>
      <c r="AK18" s="49">
        <v>0</v>
      </c>
      <c r="AL18" s="49">
        <v>0</v>
      </c>
      <c r="AM18" s="49">
        <v>0</v>
      </c>
      <c r="AN18" s="87">
        <f t="shared" si="1"/>
        <v>0</v>
      </c>
    </row>
    <row r="19" spans="1:41" ht="98.45" customHeight="1" x14ac:dyDescent="0.2">
      <c r="A19" s="144">
        <v>5</v>
      </c>
      <c r="B19" s="145" t="s">
        <v>67</v>
      </c>
      <c r="C19" s="143" t="s">
        <v>124</v>
      </c>
      <c r="D19" s="83" t="s">
        <v>157</v>
      </c>
      <c r="E19" s="84">
        <f t="shared" si="0"/>
        <v>0</v>
      </c>
      <c r="F19" s="85">
        <v>0</v>
      </c>
      <c r="G19" s="85">
        <v>0</v>
      </c>
      <c r="H19" s="85">
        <v>0</v>
      </c>
      <c r="I19" s="85">
        <v>0</v>
      </c>
      <c r="J19" s="84">
        <v>0</v>
      </c>
      <c r="K19" s="86">
        <v>0</v>
      </c>
      <c r="L19" s="86">
        <v>0</v>
      </c>
      <c r="M19" s="86">
        <v>0</v>
      </c>
      <c r="N19" s="86">
        <v>0</v>
      </c>
      <c r="O19" s="84">
        <v>68</v>
      </c>
      <c r="P19" s="86">
        <v>68</v>
      </c>
      <c r="Q19" s="86">
        <v>0</v>
      </c>
      <c r="R19" s="86">
        <v>0</v>
      </c>
      <c r="S19" s="86">
        <v>0</v>
      </c>
      <c r="T19" s="84">
        <v>0.55000000000000004</v>
      </c>
      <c r="U19" s="86">
        <v>0.55000000000000004</v>
      </c>
      <c r="V19" s="86">
        <v>0</v>
      </c>
      <c r="W19" s="86">
        <v>0</v>
      </c>
      <c r="X19" s="86">
        <v>0</v>
      </c>
      <c r="Y19" s="84">
        <f>3</f>
        <v>3</v>
      </c>
      <c r="Z19" s="86">
        <f>3</f>
        <v>3</v>
      </c>
      <c r="AA19" s="86">
        <v>0</v>
      </c>
      <c r="AB19" s="86">
        <v>0</v>
      </c>
      <c r="AC19" s="86">
        <v>0</v>
      </c>
      <c r="AD19" s="49">
        <v>0</v>
      </c>
      <c r="AE19" s="49">
        <v>0</v>
      </c>
      <c r="AF19" s="49">
        <v>0</v>
      </c>
      <c r="AG19" s="49">
        <v>0</v>
      </c>
      <c r="AH19" s="49">
        <v>0</v>
      </c>
      <c r="AI19" s="87">
        <v>0</v>
      </c>
      <c r="AJ19" s="49">
        <v>0</v>
      </c>
      <c r="AK19" s="49">
        <v>0</v>
      </c>
      <c r="AL19" s="49">
        <v>0</v>
      </c>
      <c r="AM19" s="49">
        <v>0</v>
      </c>
      <c r="AN19" s="87">
        <f t="shared" si="1"/>
        <v>71.55</v>
      </c>
    </row>
    <row r="20" spans="1:41" s="1" customFormat="1" ht="94.9" customHeight="1" x14ac:dyDescent="0.2">
      <c r="A20" s="144">
        <v>6</v>
      </c>
      <c r="B20" s="145" t="s">
        <v>165</v>
      </c>
      <c r="C20" s="143" t="s">
        <v>125</v>
      </c>
      <c r="D20" s="88" t="s">
        <v>160</v>
      </c>
      <c r="E20" s="84">
        <f t="shared" si="0"/>
        <v>0</v>
      </c>
      <c r="F20" s="85">
        <v>0</v>
      </c>
      <c r="G20" s="85">
        <v>0</v>
      </c>
      <c r="H20" s="85">
        <v>0</v>
      </c>
      <c r="I20" s="85">
        <v>0</v>
      </c>
      <c r="J20" s="84">
        <v>0</v>
      </c>
      <c r="K20" s="86">
        <v>0</v>
      </c>
      <c r="L20" s="89">
        <v>0</v>
      </c>
      <c r="M20" s="89">
        <v>0</v>
      </c>
      <c r="N20" s="89">
        <v>0</v>
      </c>
      <c r="O20" s="86">
        <v>0</v>
      </c>
      <c r="P20" s="86">
        <v>0</v>
      </c>
      <c r="Q20" s="86">
        <v>0</v>
      </c>
      <c r="R20" s="86">
        <v>0</v>
      </c>
      <c r="S20" s="86">
        <v>0</v>
      </c>
      <c r="T20" s="84">
        <v>0</v>
      </c>
      <c r="U20" s="86">
        <v>0</v>
      </c>
      <c r="V20" s="86">
        <v>0</v>
      </c>
      <c r="W20" s="89">
        <v>0</v>
      </c>
      <c r="X20" s="89">
        <v>0</v>
      </c>
      <c r="Y20" s="84">
        <f>Z20+AA20+AB20+AC20</f>
        <v>6464</v>
      </c>
      <c r="Z20" s="86">
        <v>6464</v>
      </c>
      <c r="AA20" s="86">
        <v>0</v>
      </c>
      <c r="AB20" s="89">
        <v>0</v>
      </c>
      <c r="AC20" s="86">
        <v>0</v>
      </c>
      <c r="AD20" s="87">
        <v>5633</v>
      </c>
      <c r="AE20" s="49">
        <v>5633</v>
      </c>
      <c r="AF20" s="49">
        <v>0</v>
      </c>
      <c r="AG20" s="49">
        <v>0</v>
      </c>
      <c r="AH20" s="49">
        <v>0</v>
      </c>
      <c r="AI20" s="87">
        <v>183</v>
      </c>
      <c r="AJ20" s="49">
        <v>183</v>
      </c>
      <c r="AK20" s="49">
        <v>0</v>
      </c>
      <c r="AL20" s="90">
        <v>0</v>
      </c>
      <c r="AM20" s="90">
        <v>0</v>
      </c>
      <c r="AN20" s="87">
        <f t="shared" si="1"/>
        <v>12280</v>
      </c>
      <c r="AO20" s="27"/>
    </row>
    <row r="21" spans="1:41" s="11" customFormat="1" ht="91.15" customHeight="1" x14ac:dyDescent="0.2">
      <c r="A21" s="144">
        <v>7</v>
      </c>
      <c r="B21" s="145" t="s">
        <v>121</v>
      </c>
      <c r="C21" s="143" t="s">
        <v>124</v>
      </c>
      <c r="D21" s="91" t="s">
        <v>161</v>
      </c>
      <c r="E21" s="84">
        <f t="shared" ref="E21:E30" si="2">SUM(F21:G21)</f>
        <v>0</v>
      </c>
      <c r="F21" s="85">
        <v>0</v>
      </c>
      <c r="G21" s="85">
        <v>0</v>
      </c>
      <c r="H21" s="85">
        <v>0</v>
      </c>
      <c r="I21" s="85">
        <v>0</v>
      </c>
      <c r="J21" s="84">
        <f>K21+L21+M21+N21</f>
        <v>0</v>
      </c>
      <c r="K21" s="86">
        <v>0</v>
      </c>
      <c r="L21" s="86">
        <v>0</v>
      </c>
      <c r="M21" s="86">
        <v>0</v>
      </c>
      <c r="N21" s="86">
        <v>0</v>
      </c>
      <c r="O21" s="84">
        <f>16519+35-82</f>
        <v>16472</v>
      </c>
      <c r="P21" s="86">
        <f>16519+35-82</f>
        <v>16472</v>
      </c>
      <c r="Q21" s="86">
        <v>0</v>
      </c>
      <c r="R21" s="86">
        <v>0</v>
      </c>
      <c r="S21" s="86">
        <v>0</v>
      </c>
      <c r="T21" s="84">
        <v>22318.400000000001</v>
      </c>
      <c r="U21" s="86">
        <v>22318.400000000001</v>
      </c>
      <c r="V21" s="86">
        <v>0</v>
      </c>
      <c r="W21" s="86">
        <v>0</v>
      </c>
      <c r="X21" s="86">
        <v>0</v>
      </c>
      <c r="Y21" s="84">
        <f>Z21+AA21+AB21+AC21</f>
        <v>7023</v>
      </c>
      <c r="Z21" s="86">
        <f>7299-276</f>
        <v>7023</v>
      </c>
      <c r="AA21" s="86">
        <v>0</v>
      </c>
      <c r="AB21" s="86">
        <v>0</v>
      </c>
      <c r="AC21" s="86">
        <v>0</v>
      </c>
      <c r="AD21" s="87">
        <v>0</v>
      </c>
      <c r="AE21" s="49">
        <v>0</v>
      </c>
      <c r="AF21" s="49">
        <v>0</v>
      </c>
      <c r="AG21" s="49">
        <v>0</v>
      </c>
      <c r="AH21" s="49">
        <v>0</v>
      </c>
      <c r="AI21" s="87">
        <f>AJ21+AK21+AL21+AM21</f>
        <v>29458</v>
      </c>
      <c r="AJ21" s="49">
        <v>29458</v>
      </c>
      <c r="AK21" s="49">
        <v>0</v>
      </c>
      <c r="AL21" s="49">
        <v>0</v>
      </c>
      <c r="AM21" s="49">
        <v>0</v>
      </c>
      <c r="AN21" s="87">
        <f t="shared" si="1"/>
        <v>75271.399999999994</v>
      </c>
      <c r="AO21" s="34"/>
    </row>
    <row r="22" spans="1:41" ht="115.15" customHeight="1" x14ac:dyDescent="0.2">
      <c r="A22" s="144">
        <v>8</v>
      </c>
      <c r="B22" s="143" t="s">
        <v>177</v>
      </c>
      <c r="C22" s="143" t="s">
        <v>126</v>
      </c>
      <c r="D22" s="91" t="s">
        <v>150</v>
      </c>
      <c r="E22" s="84">
        <f t="shared" si="2"/>
        <v>0</v>
      </c>
      <c r="F22" s="85">
        <v>0</v>
      </c>
      <c r="G22" s="85">
        <v>0</v>
      </c>
      <c r="H22" s="85">
        <v>0</v>
      </c>
      <c r="I22" s="85">
        <v>0</v>
      </c>
      <c r="J22" s="84">
        <v>0</v>
      </c>
      <c r="K22" s="86">
        <v>0</v>
      </c>
      <c r="L22" s="86">
        <v>0</v>
      </c>
      <c r="M22" s="86">
        <v>0</v>
      </c>
      <c r="N22" s="86">
        <v>0</v>
      </c>
      <c r="O22" s="84">
        <v>0</v>
      </c>
      <c r="P22" s="86">
        <v>0</v>
      </c>
      <c r="Q22" s="86">
        <v>0</v>
      </c>
      <c r="R22" s="86">
        <v>0</v>
      </c>
      <c r="S22" s="86">
        <v>0</v>
      </c>
      <c r="T22" s="84">
        <f>550-33</f>
        <v>517</v>
      </c>
      <c r="U22" s="86">
        <f>550-33</f>
        <v>517</v>
      </c>
      <c r="V22" s="86">
        <v>0</v>
      </c>
      <c r="W22" s="86">
        <v>0</v>
      </c>
      <c r="X22" s="86">
        <v>0</v>
      </c>
      <c r="Y22" s="84">
        <v>484</v>
      </c>
      <c r="Z22" s="86">
        <v>484</v>
      </c>
      <c r="AA22" s="86">
        <v>0</v>
      </c>
      <c r="AB22" s="86">
        <v>0</v>
      </c>
      <c r="AC22" s="86">
        <v>0</v>
      </c>
      <c r="AD22" s="87">
        <v>0</v>
      </c>
      <c r="AE22" s="49">
        <v>0</v>
      </c>
      <c r="AF22" s="49">
        <v>0</v>
      </c>
      <c r="AG22" s="49">
        <v>0</v>
      </c>
      <c r="AH22" s="49">
        <v>0</v>
      </c>
      <c r="AI22" s="87">
        <v>0</v>
      </c>
      <c r="AJ22" s="49">
        <v>0</v>
      </c>
      <c r="AK22" s="49">
        <v>0</v>
      </c>
      <c r="AL22" s="49">
        <v>0</v>
      </c>
      <c r="AM22" s="49">
        <v>0</v>
      </c>
      <c r="AN22" s="87">
        <f t="shared" si="1"/>
        <v>1001</v>
      </c>
    </row>
    <row r="23" spans="1:41" ht="110.45" customHeight="1" x14ac:dyDescent="0.2">
      <c r="A23" s="144">
        <v>9</v>
      </c>
      <c r="B23" s="143" t="s">
        <v>48</v>
      </c>
      <c r="C23" s="143" t="s">
        <v>127</v>
      </c>
      <c r="D23" s="88" t="s">
        <v>162</v>
      </c>
      <c r="E23" s="84">
        <f t="shared" si="2"/>
        <v>6385</v>
      </c>
      <c r="F23" s="85">
        <f>6099+2414-1064-1064</f>
        <v>6385</v>
      </c>
      <c r="G23" s="85">
        <v>0</v>
      </c>
      <c r="H23" s="85">
        <v>0</v>
      </c>
      <c r="I23" s="85">
        <v>0</v>
      </c>
      <c r="J23" s="84">
        <f>K23+L23+M23+N23</f>
        <v>10144</v>
      </c>
      <c r="K23" s="86">
        <f>1800-200+8544</f>
        <v>10144</v>
      </c>
      <c r="L23" s="86">
        <v>0</v>
      </c>
      <c r="M23" s="86">
        <v>0</v>
      </c>
      <c r="N23" s="86">
        <v>0</v>
      </c>
      <c r="O23" s="84">
        <f>339+2213-2-1</f>
        <v>2549</v>
      </c>
      <c r="P23" s="86">
        <f>339+2213-2-1</f>
        <v>2549</v>
      </c>
      <c r="Q23" s="86">
        <v>0</v>
      </c>
      <c r="R23" s="86">
        <v>0</v>
      </c>
      <c r="S23" s="86">
        <v>0</v>
      </c>
      <c r="T23" s="84">
        <f>U23+V23+W23+X23</f>
        <v>8758</v>
      </c>
      <c r="U23" s="86">
        <f>8462+99+197</f>
        <v>8758</v>
      </c>
      <c r="V23" s="86">
        <v>0</v>
      </c>
      <c r="W23" s="86">
        <v>0</v>
      </c>
      <c r="X23" s="86">
        <v>0</v>
      </c>
      <c r="Y23" s="84">
        <f>Z23+AA23+AB23+AC23</f>
        <v>377</v>
      </c>
      <c r="Z23" s="86">
        <v>377</v>
      </c>
      <c r="AA23" s="86">
        <v>0</v>
      </c>
      <c r="AB23" s="86">
        <v>0</v>
      </c>
      <c r="AC23" s="86">
        <v>0</v>
      </c>
      <c r="AD23" s="87">
        <f>8019-25</f>
        <v>7994</v>
      </c>
      <c r="AE23" s="49">
        <f>8019-25</f>
        <v>7994</v>
      </c>
      <c r="AF23" s="49">
        <v>0</v>
      </c>
      <c r="AG23" s="49">
        <v>0</v>
      </c>
      <c r="AH23" s="49">
        <v>0</v>
      </c>
      <c r="AI23" s="87">
        <v>2913</v>
      </c>
      <c r="AJ23" s="49">
        <v>2913</v>
      </c>
      <c r="AK23" s="49">
        <v>0</v>
      </c>
      <c r="AL23" s="49">
        <v>0</v>
      </c>
      <c r="AM23" s="49">
        <v>0</v>
      </c>
      <c r="AN23" s="87">
        <f t="shared" si="1"/>
        <v>39120</v>
      </c>
    </row>
    <row r="24" spans="1:41" ht="96" customHeight="1" x14ac:dyDescent="0.2">
      <c r="A24" s="144">
        <v>10</v>
      </c>
      <c r="B24" s="143" t="s">
        <v>166</v>
      </c>
      <c r="C24" s="143" t="s">
        <v>124</v>
      </c>
      <c r="D24" s="88" t="s">
        <v>162</v>
      </c>
      <c r="E24" s="84">
        <f t="shared" si="2"/>
        <v>275</v>
      </c>
      <c r="F24" s="85">
        <v>275</v>
      </c>
      <c r="G24" s="85">
        <v>0</v>
      </c>
      <c r="H24" s="85">
        <v>0</v>
      </c>
      <c r="I24" s="85">
        <v>0</v>
      </c>
      <c r="J24" s="84">
        <f>K24+L24+M24+N24</f>
        <v>649</v>
      </c>
      <c r="K24" s="86">
        <f>556+206-113</f>
        <v>649</v>
      </c>
      <c r="L24" s="86">
        <v>0</v>
      </c>
      <c r="M24" s="86">
        <v>0</v>
      </c>
      <c r="N24" s="86">
        <v>0</v>
      </c>
      <c r="O24" s="87">
        <f>P24+Q24+R24+S24</f>
        <v>260</v>
      </c>
      <c r="P24" s="86">
        <v>260</v>
      </c>
      <c r="Q24" s="86">
        <v>0</v>
      </c>
      <c r="R24" s="86">
        <v>0</v>
      </c>
      <c r="S24" s="86">
        <v>0</v>
      </c>
      <c r="T24" s="84">
        <f>U24+V24+W24+X24</f>
        <v>3384</v>
      </c>
      <c r="U24" s="86">
        <v>3384</v>
      </c>
      <c r="V24" s="86">
        <v>0</v>
      </c>
      <c r="W24" s="86">
        <v>0</v>
      </c>
      <c r="X24" s="86">
        <v>0</v>
      </c>
      <c r="Y24" s="84">
        <f>Z24+AA24+AB24+AC24</f>
        <v>5336</v>
      </c>
      <c r="Z24" s="86">
        <v>5336</v>
      </c>
      <c r="AA24" s="86">
        <v>0</v>
      </c>
      <c r="AB24" s="86">
        <v>0</v>
      </c>
      <c r="AC24" s="86">
        <v>0</v>
      </c>
      <c r="AD24" s="87">
        <v>1367</v>
      </c>
      <c r="AE24" s="49">
        <v>1367</v>
      </c>
      <c r="AF24" s="49">
        <v>0</v>
      </c>
      <c r="AG24" s="49">
        <v>0</v>
      </c>
      <c r="AH24" s="49">
        <v>0</v>
      </c>
      <c r="AI24" s="87">
        <v>3197</v>
      </c>
      <c r="AJ24" s="49">
        <v>3197</v>
      </c>
      <c r="AK24" s="49">
        <v>0</v>
      </c>
      <c r="AL24" s="49">
        <v>0</v>
      </c>
      <c r="AM24" s="49">
        <v>0</v>
      </c>
      <c r="AN24" s="87">
        <f t="shared" si="1"/>
        <v>14468</v>
      </c>
    </row>
    <row r="25" spans="1:41" ht="109.15" customHeight="1" x14ac:dyDescent="0.2">
      <c r="A25" s="144">
        <v>11</v>
      </c>
      <c r="B25" s="143" t="s">
        <v>3</v>
      </c>
      <c r="C25" s="143" t="s">
        <v>128</v>
      </c>
      <c r="D25" s="83">
        <v>2020</v>
      </c>
      <c r="E25" s="84">
        <f t="shared" si="2"/>
        <v>0</v>
      </c>
      <c r="F25" s="85">
        <v>0</v>
      </c>
      <c r="G25" s="85">
        <v>0</v>
      </c>
      <c r="H25" s="85">
        <v>0</v>
      </c>
      <c r="I25" s="85">
        <v>0</v>
      </c>
      <c r="J25" s="84">
        <v>0</v>
      </c>
      <c r="K25" s="86">
        <v>0</v>
      </c>
      <c r="L25" s="86">
        <v>0</v>
      </c>
      <c r="M25" s="86">
        <v>0</v>
      </c>
      <c r="N25" s="86">
        <v>0</v>
      </c>
      <c r="O25" s="84">
        <v>0</v>
      </c>
      <c r="P25" s="86">
        <v>0</v>
      </c>
      <c r="Q25" s="86">
        <v>0</v>
      </c>
      <c r="R25" s="86">
        <v>0</v>
      </c>
      <c r="S25" s="86">
        <v>0</v>
      </c>
      <c r="T25" s="84">
        <v>0</v>
      </c>
      <c r="U25" s="86">
        <v>0</v>
      </c>
      <c r="V25" s="86">
        <v>0</v>
      </c>
      <c r="W25" s="86">
        <v>0</v>
      </c>
      <c r="X25" s="86">
        <v>0</v>
      </c>
      <c r="Y25" s="84">
        <v>0</v>
      </c>
      <c r="Z25" s="86">
        <v>0</v>
      </c>
      <c r="AA25" s="86">
        <v>0</v>
      </c>
      <c r="AB25" s="86">
        <v>0</v>
      </c>
      <c r="AC25" s="86">
        <v>0</v>
      </c>
      <c r="AD25" s="87">
        <v>0</v>
      </c>
      <c r="AE25" s="49">
        <v>0</v>
      </c>
      <c r="AF25" s="49">
        <v>0</v>
      </c>
      <c r="AG25" s="49">
        <v>0</v>
      </c>
      <c r="AH25" s="49">
        <v>0</v>
      </c>
      <c r="AI25" s="87">
        <v>0</v>
      </c>
      <c r="AJ25" s="49">
        <v>0</v>
      </c>
      <c r="AK25" s="49">
        <v>0</v>
      </c>
      <c r="AL25" s="49">
        <v>0</v>
      </c>
      <c r="AM25" s="49">
        <v>0</v>
      </c>
      <c r="AN25" s="87">
        <f t="shared" si="1"/>
        <v>0</v>
      </c>
    </row>
    <row r="26" spans="1:41" ht="42" customHeight="1" x14ac:dyDescent="0.2">
      <c r="A26" s="173">
        <v>12</v>
      </c>
      <c r="B26" s="183" t="s">
        <v>167</v>
      </c>
      <c r="C26" s="183" t="s">
        <v>128</v>
      </c>
      <c r="D26" s="91" t="s">
        <v>97</v>
      </c>
      <c r="E26" s="84">
        <f t="shared" si="2"/>
        <v>1456</v>
      </c>
      <c r="F26" s="85">
        <f>1456</f>
        <v>1456</v>
      </c>
      <c r="G26" s="85">
        <v>0</v>
      </c>
      <c r="H26" s="85">
        <v>0</v>
      </c>
      <c r="I26" s="85">
        <v>0</v>
      </c>
      <c r="J26" s="84">
        <v>48</v>
      </c>
      <c r="K26" s="86">
        <v>48</v>
      </c>
      <c r="L26" s="86">
        <v>0</v>
      </c>
      <c r="M26" s="86">
        <v>0</v>
      </c>
      <c r="N26" s="86">
        <v>0</v>
      </c>
      <c r="O26" s="84">
        <v>0</v>
      </c>
      <c r="P26" s="86">
        <v>0</v>
      </c>
      <c r="Q26" s="86">
        <v>0</v>
      </c>
      <c r="R26" s="86">
        <v>0</v>
      </c>
      <c r="S26" s="86">
        <v>0</v>
      </c>
      <c r="T26" s="84">
        <f>724-48-49</f>
        <v>627</v>
      </c>
      <c r="U26" s="86">
        <f>724-48-49</f>
        <v>627</v>
      </c>
      <c r="V26" s="86">
        <v>0</v>
      </c>
      <c r="W26" s="86">
        <v>0</v>
      </c>
      <c r="X26" s="86">
        <v>0</v>
      </c>
      <c r="Y26" s="84">
        <f>Z26+AA26+AB26+AC26</f>
        <v>665</v>
      </c>
      <c r="Z26" s="86">
        <v>665</v>
      </c>
      <c r="AA26" s="86">
        <v>0</v>
      </c>
      <c r="AB26" s="86">
        <v>0</v>
      </c>
      <c r="AC26" s="86">
        <v>0</v>
      </c>
      <c r="AD26" s="87">
        <v>0</v>
      </c>
      <c r="AE26" s="49">
        <v>0</v>
      </c>
      <c r="AF26" s="49">
        <v>0</v>
      </c>
      <c r="AG26" s="49">
        <v>0</v>
      </c>
      <c r="AH26" s="49">
        <v>0</v>
      </c>
      <c r="AI26" s="87">
        <v>0</v>
      </c>
      <c r="AJ26" s="49">
        <v>0</v>
      </c>
      <c r="AK26" s="49">
        <v>0</v>
      </c>
      <c r="AL26" s="49">
        <v>0</v>
      </c>
      <c r="AM26" s="49">
        <v>0</v>
      </c>
      <c r="AN26" s="87">
        <f t="shared" ref="AN26:AN27" si="3">SUM(E26,J26,O26,T26,Y26,AD26,AI26)</f>
        <v>2796</v>
      </c>
    </row>
    <row r="27" spans="1:41" ht="97.15" customHeight="1" x14ac:dyDescent="0.2">
      <c r="A27" s="173"/>
      <c r="B27" s="183"/>
      <c r="C27" s="183"/>
      <c r="D27" s="88" t="s">
        <v>109</v>
      </c>
      <c r="E27" s="84">
        <f t="shared" ref="E27" si="4">SUM(F27:G27)</f>
        <v>0</v>
      </c>
      <c r="F27" s="85">
        <v>0</v>
      </c>
      <c r="G27" s="85">
        <v>0</v>
      </c>
      <c r="H27" s="85">
        <v>0</v>
      </c>
      <c r="I27" s="85">
        <v>0</v>
      </c>
      <c r="J27" s="84">
        <v>0</v>
      </c>
      <c r="K27" s="86">
        <v>0</v>
      </c>
      <c r="L27" s="86">
        <v>0</v>
      </c>
      <c r="M27" s="86">
        <v>0</v>
      </c>
      <c r="N27" s="86">
        <v>0</v>
      </c>
      <c r="O27" s="84">
        <v>48</v>
      </c>
      <c r="P27" s="86">
        <v>48</v>
      </c>
      <c r="Q27" s="86">
        <v>0</v>
      </c>
      <c r="R27" s="86">
        <v>0</v>
      </c>
      <c r="S27" s="86">
        <v>0</v>
      </c>
      <c r="T27" s="84">
        <v>0</v>
      </c>
      <c r="U27" s="86">
        <v>0</v>
      </c>
      <c r="V27" s="86">
        <v>0</v>
      </c>
      <c r="W27" s="86">
        <v>0</v>
      </c>
      <c r="X27" s="86">
        <v>0</v>
      </c>
      <c r="Y27" s="84">
        <v>0</v>
      </c>
      <c r="Z27" s="86">
        <v>0</v>
      </c>
      <c r="AA27" s="86">
        <v>0</v>
      </c>
      <c r="AB27" s="86">
        <v>0</v>
      </c>
      <c r="AC27" s="86">
        <v>0</v>
      </c>
      <c r="AD27" s="87">
        <v>0</v>
      </c>
      <c r="AE27" s="49">
        <v>0</v>
      </c>
      <c r="AF27" s="49">
        <v>0</v>
      </c>
      <c r="AG27" s="49">
        <v>0</v>
      </c>
      <c r="AH27" s="49">
        <v>0</v>
      </c>
      <c r="AI27" s="87">
        <v>0</v>
      </c>
      <c r="AJ27" s="49">
        <v>0</v>
      </c>
      <c r="AK27" s="49">
        <v>0</v>
      </c>
      <c r="AL27" s="49">
        <v>0</v>
      </c>
      <c r="AM27" s="49">
        <v>0</v>
      </c>
      <c r="AN27" s="87">
        <f t="shared" si="3"/>
        <v>48</v>
      </c>
    </row>
    <row r="28" spans="1:41" ht="42" customHeight="1" x14ac:dyDescent="0.2">
      <c r="A28" s="173">
        <v>13</v>
      </c>
      <c r="B28" s="183" t="s">
        <v>17</v>
      </c>
      <c r="C28" s="183" t="s">
        <v>124</v>
      </c>
      <c r="D28" s="88" t="s">
        <v>39</v>
      </c>
      <c r="E28" s="87">
        <f t="shared" si="2"/>
        <v>4000</v>
      </c>
      <c r="F28" s="88">
        <f>4544-272-117-155</f>
        <v>4000</v>
      </c>
      <c r="G28" s="88">
        <v>0</v>
      </c>
      <c r="H28" s="88">
        <v>0</v>
      </c>
      <c r="I28" s="88">
        <v>0</v>
      </c>
      <c r="J28" s="87">
        <f>K28+L28+M28+N28</f>
        <v>5156</v>
      </c>
      <c r="K28" s="49">
        <v>5156</v>
      </c>
      <c r="L28" s="49">
        <v>0</v>
      </c>
      <c r="M28" s="49">
        <v>0</v>
      </c>
      <c r="N28" s="49">
        <v>0</v>
      </c>
      <c r="O28" s="87">
        <f>P28+Q28+R28+S28</f>
        <v>19477</v>
      </c>
      <c r="P28" s="49">
        <f>19776-68-98-125-8</f>
        <v>19477</v>
      </c>
      <c r="Q28" s="49">
        <v>0</v>
      </c>
      <c r="R28" s="49">
        <v>0</v>
      </c>
      <c r="S28" s="87">
        <v>0</v>
      </c>
      <c r="T28" s="87">
        <f>U28+V28+W28+X28</f>
        <v>40423</v>
      </c>
      <c r="U28" s="49">
        <f>19652+21720-949</f>
        <v>40423</v>
      </c>
      <c r="V28" s="49">
        <v>0</v>
      </c>
      <c r="W28" s="49">
        <v>0</v>
      </c>
      <c r="X28" s="49">
        <v>0</v>
      </c>
      <c r="Y28" s="87">
        <v>656</v>
      </c>
      <c r="Z28" s="49">
        <v>656</v>
      </c>
      <c r="AA28" s="49">
        <v>0</v>
      </c>
      <c r="AB28" s="49">
        <v>0</v>
      </c>
      <c r="AC28" s="49">
        <v>0</v>
      </c>
      <c r="AD28" s="87">
        <v>1590</v>
      </c>
      <c r="AE28" s="49">
        <v>1590</v>
      </c>
      <c r="AF28" s="49">
        <v>0</v>
      </c>
      <c r="AG28" s="49">
        <v>0</v>
      </c>
      <c r="AH28" s="49">
        <v>0</v>
      </c>
      <c r="AI28" s="87">
        <f>AJ28+AK28+AL28+AM28</f>
        <v>18988</v>
      </c>
      <c r="AJ28" s="49">
        <f>18988</f>
        <v>18988</v>
      </c>
      <c r="AK28" s="49">
        <v>0</v>
      </c>
      <c r="AL28" s="49">
        <v>0</v>
      </c>
      <c r="AM28" s="49">
        <v>0</v>
      </c>
      <c r="AN28" s="92">
        <f>E28+J28+O28+T28+Y28+AD28+AI28</f>
        <v>90290</v>
      </c>
    </row>
    <row r="29" spans="1:41" ht="106.9" customHeight="1" x14ac:dyDescent="0.2">
      <c r="A29" s="173"/>
      <c r="B29" s="183"/>
      <c r="C29" s="183"/>
      <c r="D29" s="88" t="s">
        <v>109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7">
        <f>P29+Q29+R29+S29</f>
        <v>5061</v>
      </c>
      <c r="P29" s="49">
        <v>5061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87">
        <v>0</v>
      </c>
      <c r="AJ29" s="49">
        <v>0</v>
      </c>
      <c r="AK29" s="49">
        <v>0</v>
      </c>
      <c r="AL29" s="49">
        <v>0</v>
      </c>
      <c r="AM29" s="49">
        <v>0</v>
      </c>
      <c r="AN29" s="92">
        <f>E29+J29+O29+T29+Y29+AD29+AI29</f>
        <v>5061</v>
      </c>
    </row>
    <row r="30" spans="1:41" ht="102" customHeight="1" x14ac:dyDescent="0.2">
      <c r="A30" s="144">
        <v>14</v>
      </c>
      <c r="B30" s="143" t="s">
        <v>119</v>
      </c>
      <c r="C30" s="143" t="s">
        <v>124</v>
      </c>
      <c r="D30" s="83" t="s">
        <v>160</v>
      </c>
      <c r="E30" s="84">
        <f t="shared" si="2"/>
        <v>0</v>
      </c>
      <c r="F30" s="85">
        <v>0</v>
      </c>
      <c r="G30" s="85">
        <v>0</v>
      </c>
      <c r="H30" s="85">
        <v>0</v>
      </c>
      <c r="I30" s="85">
        <v>0</v>
      </c>
      <c r="J30" s="84">
        <v>0</v>
      </c>
      <c r="K30" s="86">
        <v>0</v>
      </c>
      <c r="L30" s="86">
        <v>0</v>
      </c>
      <c r="M30" s="86">
        <v>0</v>
      </c>
      <c r="N30" s="86">
        <v>0</v>
      </c>
      <c r="O30" s="84">
        <f>P30+Q30+R30+S30</f>
        <v>0</v>
      </c>
      <c r="P30" s="86">
        <v>0</v>
      </c>
      <c r="Q30" s="86">
        <v>0</v>
      </c>
      <c r="R30" s="86">
        <v>0</v>
      </c>
      <c r="S30" s="84">
        <v>0</v>
      </c>
      <c r="T30" s="84">
        <v>0</v>
      </c>
      <c r="U30" s="86">
        <v>0</v>
      </c>
      <c r="V30" s="86">
        <v>0</v>
      </c>
      <c r="W30" s="86">
        <v>0</v>
      </c>
      <c r="X30" s="86">
        <v>0</v>
      </c>
      <c r="Y30" s="84">
        <v>573</v>
      </c>
      <c r="Z30" s="86">
        <v>573</v>
      </c>
      <c r="AA30" s="86">
        <v>0</v>
      </c>
      <c r="AB30" s="86">
        <v>0</v>
      </c>
      <c r="AC30" s="86">
        <v>0</v>
      </c>
      <c r="AD30" s="87">
        <v>346</v>
      </c>
      <c r="AE30" s="49">
        <v>346</v>
      </c>
      <c r="AF30" s="49">
        <v>0</v>
      </c>
      <c r="AG30" s="49">
        <v>0</v>
      </c>
      <c r="AH30" s="49">
        <v>0</v>
      </c>
      <c r="AI30" s="87">
        <v>0</v>
      </c>
      <c r="AJ30" s="49">
        <v>0</v>
      </c>
      <c r="AK30" s="49">
        <v>0</v>
      </c>
      <c r="AL30" s="49">
        <v>0</v>
      </c>
      <c r="AM30" s="49">
        <v>0</v>
      </c>
      <c r="AN30" s="87">
        <f>SUM(E30,J30,O30,T30,Y30,AD30,AI30)</f>
        <v>919</v>
      </c>
    </row>
    <row r="31" spans="1:41" ht="42" customHeight="1" x14ac:dyDescent="0.2">
      <c r="A31" s="187" t="s">
        <v>75</v>
      </c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</row>
    <row r="32" spans="1:41" ht="86.45" customHeight="1" x14ac:dyDescent="0.2">
      <c r="A32" s="144">
        <v>15</v>
      </c>
      <c r="B32" s="143" t="s">
        <v>12</v>
      </c>
      <c r="C32" s="143" t="s">
        <v>129</v>
      </c>
      <c r="D32" s="83">
        <v>2020</v>
      </c>
      <c r="E32" s="87">
        <v>0</v>
      </c>
      <c r="F32" s="49">
        <v>0</v>
      </c>
      <c r="G32" s="49">
        <v>0</v>
      </c>
      <c r="H32" s="49">
        <v>0</v>
      </c>
      <c r="I32" s="49">
        <v>0</v>
      </c>
      <c r="J32" s="87">
        <v>0</v>
      </c>
      <c r="K32" s="49">
        <v>0</v>
      </c>
      <c r="L32" s="49">
        <v>0</v>
      </c>
      <c r="M32" s="49">
        <v>0</v>
      </c>
      <c r="N32" s="49">
        <v>0</v>
      </c>
      <c r="O32" s="87">
        <f>P32+Q32+R32+S32</f>
        <v>0</v>
      </c>
      <c r="P32" s="49">
        <v>0</v>
      </c>
      <c r="Q32" s="49">
        <v>0</v>
      </c>
      <c r="R32" s="49">
        <v>0</v>
      </c>
      <c r="S32" s="49">
        <v>0</v>
      </c>
      <c r="T32" s="87">
        <v>0</v>
      </c>
      <c r="U32" s="49">
        <v>0</v>
      </c>
      <c r="V32" s="49">
        <v>0</v>
      </c>
      <c r="W32" s="49">
        <v>0</v>
      </c>
      <c r="X32" s="49">
        <v>0</v>
      </c>
      <c r="Y32" s="87">
        <f>Z32+AA32+AB32+AC32</f>
        <v>0</v>
      </c>
      <c r="Z32" s="49">
        <v>0</v>
      </c>
      <c r="AA32" s="49">
        <v>0</v>
      </c>
      <c r="AB32" s="49">
        <v>0</v>
      </c>
      <c r="AC32" s="49">
        <v>0</v>
      </c>
      <c r="AD32" s="87">
        <v>0</v>
      </c>
      <c r="AE32" s="49">
        <v>0</v>
      </c>
      <c r="AF32" s="49">
        <v>0</v>
      </c>
      <c r="AG32" s="49">
        <v>0</v>
      </c>
      <c r="AH32" s="49">
        <v>0</v>
      </c>
      <c r="AI32" s="87">
        <v>0</v>
      </c>
      <c r="AJ32" s="49">
        <v>0</v>
      </c>
      <c r="AK32" s="49">
        <v>0</v>
      </c>
      <c r="AL32" s="49">
        <v>0</v>
      </c>
      <c r="AM32" s="49">
        <v>0</v>
      </c>
      <c r="AN32" s="87">
        <f t="shared" ref="AN32:AN43" si="5">SUM(E32,J32,O32,T32,Y32,AD32,AI32)</f>
        <v>0</v>
      </c>
    </row>
    <row r="33" spans="1:40" ht="156" customHeight="1" x14ac:dyDescent="0.2">
      <c r="A33" s="144">
        <v>16</v>
      </c>
      <c r="B33" s="143" t="s">
        <v>11</v>
      </c>
      <c r="C33" s="143" t="s">
        <v>130</v>
      </c>
      <c r="D33" s="83">
        <v>2020</v>
      </c>
      <c r="E33" s="87">
        <v>0</v>
      </c>
      <c r="F33" s="49">
        <v>0</v>
      </c>
      <c r="G33" s="49">
        <v>0</v>
      </c>
      <c r="H33" s="49">
        <v>0</v>
      </c>
      <c r="I33" s="49">
        <v>0</v>
      </c>
      <c r="J33" s="87">
        <v>0</v>
      </c>
      <c r="K33" s="49">
        <v>0</v>
      </c>
      <c r="L33" s="49">
        <v>0</v>
      </c>
      <c r="M33" s="49">
        <v>0</v>
      </c>
      <c r="N33" s="49">
        <v>0</v>
      </c>
      <c r="O33" s="87">
        <f t="shared" ref="O33:O43" si="6">P33+Q33+R33+S33</f>
        <v>0</v>
      </c>
      <c r="P33" s="49">
        <v>0</v>
      </c>
      <c r="Q33" s="49">
        <v>0</v>
      </c>
      <c r="R33" s="49">
        <v>0</v>
      </c>
      <c r="S33" s="49">
        <v>0</v>
      </c>
      <c r="T33" s="87">
        <v>0</v>
      </c>
      <c r="U33" s="49">
        <v>0</v>
      </c>
      <c r="V33" s="49">
        <v>0</v>
      </c>
      <c r="W33" s="49">
        <v>0</v>
      </c>
      <c r="X33" s="49">
        <v>0</v>
      </c>
      <c r="Y33" s="87">
        <f t="shared" ref="Y33:Y43" si="7">Z33+AA33+AB33+AC33</f>
        <v>0</v>
      </c>
      <c r="Z33" s="49">
        <v>0</v>
      </c>
      <c r="AA33" s="49">
        <v>0</v>
      </c>
      <c r="AB33" s="49">
        <v>0</v>
      </c>
      <c r="AC33" s="49">
        <v>0</v>
      </c>
      <c r="AD33" s="87">
        <v>0</v>
      </c>
      <c r="AE33" s="49">
        <v>0</v>
      </c>
      <c r="AF33" s="49">
        <v>0</v>
      </c>
      <c r="AG33" s="49">
        <v>0</v>
      </c>
      <c r="AH33" s="49">
        <v>0</v>
      </c>
      <c r="AI33" s="87">
        <v>0</v>
      </c>
      <c r="AJ33" s="49">
        <v>0</v>
      </c>
      <c r="AK33" s="49">
        <v>0</v>
      </c>
      <c r="AL33" s="49">
        <v>0</v>
      </c>
      <c r="AM33" s="49">
        <v>0</v>
      </c>
      <c r="AN33" s="87">
        <f t="shared" si="5"/>
        <v>0</v>
      </c>
    </row>
    <row r="34" spans="1:40" ht="96" customHeight="1" x14ac:dyDescent="0.2">
      <c r="A34" s="144">
        <v>17</v>
      </c>
      <c r="B34" s="143" t="s">
        <v>71</v>
      </c>
      <c r="C34" s="143" t="s">
        <v>129</v>
      </c>
      <c r="D34" s="83">
        <v>2020</v>
      </c>
      <c r="E34" s="87">
        <v>0</v>
      </c>
      <c r="F34" s="49">
        <v>0</v>
      </c>
      <c r="G34" s="49">
        <v>0</v>
      </c>
      <c r="H34" s="49">
        <v>0</v>
      </c>
      <c r="I34" s="49">
        <v>0</v>
      </c>
      <c r="J34" s="87">
        <v>0</v>
      </c>
      <c r="K34" s="49">
        <v>0</v>
      </c>
      <c r="L34" s="49">
        <v>0</v>
      </c>
      <c r="M34" s="49">
        <v>0</v>
      </c>
      <c r="N34" s="49">
        <v>0</v>
      </c>
      <c r="O34" s="87">
        <f t="shared" si="6"/>
        <v>0</v>
      </c>
      <c r="P34" s="49">
        <v>0</v>
      </c>
      <c r="Q34" s="49">
        <v>0</v>
      </c>
      <c r="R34" s="49">
        <v>0</v>
      </c>
      <c r="S34" s="49">
        <v>0</v>
      </c>
      <c r="T34" s="87">
        <v>0</v>
      </c>
      <c r="U34" s="49">
        <v>0</v>
      </c>
      <c r="V34" s="49">
        <v>0</v>
      </c>
      <c r="W34" s="49">
        <v>0</v>
      </c>
      <c r="X34" s="49">
        <v>0</v>
      </c>
      <c r="Y34" s="87">
        <f t="shared" si="7"/>
        <v>0</v>
      </c>
      <c r="Z34" s="49">
        <v>0</v>
      </c>
      <c r="AA34" s="49">
        <v>0</v>
      </c>
      <c r="AB34" s="49">
        <v>0</v>
      </c>
      <c r="AC34" s="49">
        <v>0</v>
      </c>
      <c r="AD34" s="87">
        <v>0</v>
      </c>
      <c r="AE34" s="49">
        <v>0</v>
      </c>
      <c r="AF34" s="49">
        <v>0</v>
      </c>
      <c r="AG34" s="49">
        <v>0</v>
      </c>
      <c r="AH34" s="49">
        <v>0</v>
      </c>
      <c r="AI34" s="87">
        <v>0</v>
      </c>
      <c r="AJ34" s="49">
        <v>0</v>
      </c>
      <c r="AK34" s="49">
        <v>0</v>
      </c>
      <c r="AL34" s="49">
        <v>0</v>
      </c>
      <c r="AM34" s="49">
        <v>0</v>
      </c>
      <c r="AN34" s="87">
        <f t="shared" si="5"/>
        <v>0</v>
      </c>
    </row>
    <row r="35" spans="1:40" ht="118.9" customHeight="1" x14ac:dyDescent="0.2">
      <c r="A35" s="144">
        <v>18</v>
      </c>
      <c r="B35" s="143" t="s">
        <v>16</v>
      </c>
      <c r="C35" s="143" t="s">
        <v>129</v>
      </c>
      <c r="D35" s="83">
        <v>2020</v>
      </c>
      <c r="E35" s="87">
        <v>0</v>
      </c>
      <c r="F35" s="49">
        <v>0</v>
      </c>
      <c r="G35" s="49">
        <v>0</v>
      </c>
      <c r="H35" s="49">
        <v>0</v>
      </c>
      <c r="I35" s="49">
        <v>0</v>
      </c>
      <c r="J35" s="87">
        <v>0</v>
      </c>
      <c r="K35" s="49">
        <v>0</v>
      </c>
      <c r="L35" s="49">
        <v>0</v>
      </c>
      <c r="M35" s="49">
        <v>0</v>
      </c>
      <c r="N35" s="49">
        <v>0</v>
      </c>
      <c r="O35" s="87">
        <f t="shared" si="6"/>
        <v>0</v>
      </c>
      <c r="P35" s="49">
        <v>0</v>
      </c>
      <c r="Q35" s="49">
        <v>0</v>
      </c>
      <c r="R35" s="49">
        <v>0</v>
      </c>
      <c r="S35" s="49">
        <v>0</v>
      </c>
      <c r="T35" s="87">
        <v>0</v>
      </c>
      <c r="U35" s="49">
        <v>0</v>
      </c>
      <c r="V35" s="49">
        <v>0</v>
      </c>
      <c r="W35" s="49">
        <v>0</v>
      </c>
      <c r="X35" s="49">
        <v>0</v>
      </c>
      <c r="Y35" s="87">
        <f t="shared" si="7"/>
        <v>0</v>
      </c>
      <c r="Z35" s="49">
        <v>0</v>
      </c>
      <c r="AA35" s="49">
        <v>0</v>
      </c>
      <c r="AB35" s="49">
        <v>0</v>
      </c>
      <c r="AC35" s="49">
        <v>0</v>
      </c>
      <c r="AD35" s="87">
        <v>0</v>
      </c>
      <c r="AE35" s="49">
        <v>0</v>
      </c>
      <c r="AF35" s="49">
        <v>0</v>
      </c>
      <c r="AG35" s="49">
        <v>0</v>
      </c>
      <c r="AH35" s="49">
        <v>0</v>
      </c>
      <c r="AI35" s="87">
        <v>0</v>
      </c>
      <c r="AJ35" s="49">
        <v>0</v>
      </c>
      <c r="AK35" s="49">
        <v>0</v>
      </c>
      <c r="AL35" s="49">
        <v>0</v>
      </c>
      <c r="AM35" s="49">
        <v>0</v>
      </c>
      <c r="AN35" s="87">
        <f t="shared" si="5"/>
        <v>0</v>
      </c>
    </row>
    <row r="36" spans="1:40" ht="87.6" customHeight="1" x14ac:dyDescent="0.2">
      <c r="A36" s="144">
        <v>19</v>
      </c>
      <c r="B36" s="143" t="s">
        <v>10</v>
      </c>
      <c r="C36" s="143" t="s">
        <v>131</v>
      </c>
      <c r="D36" s="83">
        <v>2020</v>
      </c>
      <c r="E36" s="87">
        <v>0</v>
      </c>
      <c r="F36" s="49">
        <v>0</v>
      </c>
      <c r="G36" s="49">
        <v>0</v>
      </c>
      <c r="H36" s="49">
        <v>0</v>
      </c>
      <c r="I36" s="49">
        <v>0</v>
      </c>
      <c r="J36" s="87">
        <v>0</v>
      </c>
      <c r="K36" s="49">
        <v>0</v>
      </c>
      <c r="L36" s="49">
        <v>0</v>
      </c>
      <c r="M36" s="49">
        <v>0</v>
      </c>
      <c r="N36" s="49">
        <v>0</v>
      </c>
      <c r="O36" s="87">
        <f t="shared" si="6"/>
        <v>0</v>
      </c>
      <c r="P36" s="49">
        <v>0</v>
      </c>
      <c r="Q36" s="49">
        <v>0</v>
      </c>
      <c r="R36" s="49">
        <v>0</v>
      </c>
      <c r="S36" s="49">
        <v>0</v>
      </c>
      <c r="T36" s="87">
        <v>0</v>
      </c>
      <c r="U36" s="49">
        <v>0</v>
      </c>
      <c r="V36" s="49">
        <v>0</v>
      </c>
      <c r="W36" s="49">
        <v>0</v>
      </c>
      <c r="X36" s="49">
        <v>0</v>
      </c>
      <c r="Y36" s="87">
        <f t="shared" si="7"/>
        <v>0</v>
      </c>
      <c r="Z36" s="49">
        <v>0</v>
      </c>
      <c r="AA36" s="49">
        <v>0</v>
      </c>
      <c r="AB36" s="49">
        <v>0</v>
      </c>
      <c r="AC36" s="49">
        <v>0</v>
      </c>
      <c r="AD36" s="87">
        <v>0</v>
      </c>
      <c r="AE36" s="49">
        <v>0</v>
      </c>
      <c r="AF36" s="49">
        <v>0</v>
      </c>
      <c r="AG36" s="49">
        <v>0</v>
      </c>
      <c r="AH36" s="49">
        <v>0</v>
      </c>
      <c r="AI36" s="87">
        <v>0</v>
      </c>
      <c r="AJ36" s="49">
        <v>0</v>
      </c>
      <c r="AK36" s="49">
        <v>0</v>
      </c>
      <c r="AL36" s="49">
        <v>0</v>
      </c>
      <c r="AM36" s="49">
        <v>0</v>
      </c>
      <c r="AN36" s="87">
        <f t="shared" si="5"/>
        <v>0</v>
      </c>
    </row>
    <row r="37" spans="1:40" ht="84" customHeight="1" x14ac:dyDescent="0.2">
      <c r="A37" s="144">
        <v>20</v>
      </c>
      <c r="B37" s="143" t="s">
        <v>9</v>
      </c>
      <c r="C37" s="143" t="s">
        <v>129</v>
      </c>
      <c r="D37" s="83">
        <v>2020</v>
      </c>
      <c r="E37" s="87">
        <v>0</v>
      </c>
      <c r="F37" s="49">
        <v>0</v>
      </c>
      <c r="G37" s="49">
        <v>0</v>
      </c>
      <c r="H37" s="49">
        <v>0</v>
      </c>
      <c r="I37" s="49">
        <v>0</v>
      </c>
      <c r="J37" s="87">
        <v>0</v>
      </c>
      <c r="K37" s="49">
        <v>0</v>
      </c>
      <c r="L37" s="49">
        <v>0</v>
      </c>
      <c r="M37" s="49">
        <v>0</v>
      </c>
      <c r="N37" s="49">
        <v>0</v>
      </c>
      <c r="O37" s="87">
        <f t="shared" si="6"/>
        <v>0</v>
      </c>
      <c r="P37" s="49">
        <v>0</v>
      </c>
      <c r="Q37" s="49">
        <v>0</v>
      </c>
      <c r="R37" s="49">
        <v>0</v>
      </c>
      <c r="S37" s="49">
        <v>0</v>
      </c>
      <c r="T37" s="87">
        <v>0</v>
      </c>
      <c r="U37" s="49">
        <v>0</v>
      </c>
      <c r="V37" s="49">
        <v>0</v>
      </c>
      <c r="W37" s="49">
        <v>0</v>
      </c>
      <c r="X37" s="49">
        <v>0</v>
      </c>
      <c r="Y37" s="87">
        <f t="shared" si="7"/>
        <v>0</v>
      </c>
      <c r="Z37" s="49">
        <v>0</v>
      </c>
      <c r="AA37" s="49">
        <v>0</v>
      </c>
      <c r="AB37" s="49">
        <v>0</v>
      </c>
      <c r="AC37" s="49">
        <v>0</v>
      </c>
      <c r="AD37" s="87">
        <v>0</v>
      </c>
      <c r="AE37" s="49">
        <v>0</v>
      </c>
      <c r="AF37" s="49">
        <v>0</v>
      </c>
      <c r="AG37" s="49">
        <v>0</v>
      </c>
      <c r="AH37" s="49">
        <v>0</v>
      </c>
      <c r="AI37" s="87">
        <v>0</v>
      </c>
      <c r="AJ37" s="49">
        <v>0</v>
      </c>
      <c r="AK37" s="49">
        <v>0</v>
      </c>
      <c r="AL37" s="49">
        <v>0</v>
      </c>
      <c r="AM37" s="49">
        <v>0</v>
      </c>
      <c r="AN37" s="87">
        <f t="shared" si="5"/>
        <v>0</v>
      </c>
    </row>
    <row r="38" spans="1:40" ht="109.15" customHeight="1" x14ac:dyDescent="0.2">
      <c r="A38" s="144">
        <v>21</v>
      </c>
      <c r="B38" s="143" t="s">
        <v>15</v>
      </c>
      <c r="C38" s="143" t="s">
        <v>131</v>
      </c>
      <c r="D38" s="83">
        <v>2020</v>
      </c>
      <c r="E38" s="87">
        <v>0</v>
      </c>
      <c r="F38" s="49">
        <v>0</v>
      </c>
      <c r="G38" s="49">
        <v>0</v>
      </c>
      <c r="H38" s="49">
        <v>0</v>
      </c>
      <c r="I38" s="49">
        <v>0</v>
      </c>
      <c r="J38" s="87">
        <v>0</v>
      </c>
      <c r="K38" s="49">
        <v>0</v>
      </c>
      <c r="L38" s="49">
        <v>0</v>
      </c>
      <c r="M38" s="49">
        <v>0</v>
      </c>
      <c r="N38" s="49">
        <v>0</v>
      </c>
      <c r="O38" s="87">
        <f t="shared" si="6"/>
        <v>0</v>
      </c>
      <c r="P38" s="49">
        <v>0</v>
      </c>
      <c r="Q38" s="49">
        <v>0</v>
      </c>
      <c r="R38" s="49">
        <v>0</v>
      </c>
      <c r="S38" s="49">
        <v>0</v>
      </c>
      <c r="T38" s="87">
        <v>0</v>
      </c>
      <c r="U38" s="49">
        <v>0</v>
      </c>
      <c r="V38" s="49">
        <v>0</v>
      </c>
      <c r="W38" s="49">
        <v>0</v>
      </c>
      <c r="X38" s="49">
        <v>0</v>
      </c>
      <c r="Y38" s="87">
        <f t="shared" si="7"/>
        <v>0</v>
      </c>
      <c r="Z38" s="49">
        <v>0</v>
      </c>
      <c r="AA38" s="49">
        <v>0</v>
      </c>
      <c r="AB38" s="49">
        <v>0</v>
      </c>
      <c r="AC38" s="49">
        <v>0</v>
      </c>
      <c r="AD38" s="87">
        <v>0</v>
      </c>
      <c r="AE38" s="49">
        <v>0</v>
      </c>
      <c r="AF38" s="49">
        <v>0</v>
      </c>
      <c r="AG38" s="49">
        <v>0</v>
      </c>
      <c r="AH38" s="49">
        <v>0</v>
      </c>
      <c r="AI38" s="87">
        <v>0</v>
      </c>
      <c r="AJ38" s="49">
        <v>0</v>
      </c>
      <c r="AK38" s="49">
        <v>0</v>
      </c>
      <c r="AL38" s="49">
        <v>0</v>
      </c>
      <c r="AM38" s="49">
        <v>0</v>
      </c>
      <c r="AN38" s="87">
        <f t="shared" si="5"/>
        <v>0</v>
      </c>
    </row>
    <row r="39" spans="1:40" ht="139.15" customHeight="1" x14ac:dyDescent="0.2">
      <c r="A39" s="144">
        <v>22</v>
      </c>
      <c r="B39" s="143" t="s">
        <v>49</v>
      </c>
      <c r="C39" s="143" t="s">
        <v>132</v>
      </c>
      <c r="D39" s="83">
        <v>2020</v>
      </c>
      <c r="E39" s="87">
        <v>0</v>
      </c>
      <c r="F39" s="49">
        <v>0</v>
      </c>
      <c r="G39" s="49">
        <v>0</v>
      </c>
      <c r="H39" s="49">
        <v>0</v>
      </c>
      <c r="I39" s="49">
        <v>0</v>
      </c>
      <c r="J39" s="87">
        <v>0</v>
      </c>
      <c r="K39" s="49">
        <v>0</v>
      </c>
      <c r="L39" s="49">
        <v>0</v>
      </c>
      <c r="M39" s="49">
        <v>0</v>
      </c>
      <c r="N39" s="49">
        <v>0</v>
      </c>
      <c r="O39" s="87">
        <f t="shared" si="6"/>
        <v>0</v>
      </c>
      <c r="P39" s="49">
        <v>0</v>
      </c>
      <c r="Q39" s="49">
        <v>0</v>
      </c>
      <c r="R39" s="49">
        <v>0</v>
      </c>
      <c r="S39" s="49">
        <v>0</v>
      </c>
      <c r="T39" s="87">
        <v>0</v>
      </c>
      <c r="U39" s="49">
        <v>0</v>
      </c>
      <c r="V39" s="49">
        <v>0</v>
      </c>
      <c r="W39" s="49">
        <v>0</v>
      </c>
      <c r="X39" s="49">
        <v>0</v>
      </c>
      <c r="Y39" s="87">
        <f t="shared" si="7"/>
        <v>0</v>
      </c>
      <c r="Z39" s="49">
        <v>0</v>
      </c>
      <c r="AA39" s="49">
        <v>0</v>
      </c>
      <c r="AB39" s="49">
        <v>0</v>
      </c>
      <c r="AC39" s="49">
        <v>0</v>
      </c>
      <c r="AD39" s="87">
        <v>0</v>
      </c>
      <c r="AE39" s="49">
        <v>0</v>
      </c>
      <c r="AF39" s="49">
        <v>0</v>
      </c>
      <c r="AG39" s="49">
        <v>0</v>
      </c>
      <c r="AH39" s="49">
        <v>0</v>
      </c>
      <c r="AI39" s="87">
        <v>0</v>
      </c>
      <c r="AJ39" s="49">
        <v>0</v>
      </c>
      <c r="AK39" s="49">
        <v>0</v>
      </c>
      <c r="AL39" s="49">
        <v>0</v>
      </c>
      <c r="AM39" s="49">
        <v>0</v>
      </c>
      <c r="AN39" s="87">
        <f t="shared" si="5"/>
        <v>0</v>
      </c>
    </row>
    <row r="40" spans="1:40" ht="98.45" customHeight="1" x14ac:dyDescent="0.2">
      <c r="A40" s="144">
        <v>23</v>
      </c>
      <c r="B40" s="143" t="s">
        <v>13</v>
      </c>
      <c r="C40" s="143" t="s">
        <v>133</v>
      </c>
      <c r="D40" s="83">
        <v>2020</v>
      </c>
      <c r="E40" s="87">
        <v>0</v>
      </c>
      <c r="F40" s="49">
        <v>0</v>
      </c>
      <c r="G40" s="49">
        <v>0</v>
      </c>
      <c r="H40" s="49">
        <v>0</v>
      </c>
      <c r="I40" s="49">
        <v>0</v>
      </c>
      <c r="J40" s="87">
        <v>0</v>
      </c>
      <c r="K40" s="49">
        <v>0</v>
      </c>
      <c r="L40" s="49">
        <v>0</v>
      </c>
      <c r="M40" s="49">
        <v>0</v>
      </c>
      <c r="N40" s="49">
        <v>0</v>
      </c>
      <c r="O40" s="87">
        <f t="shared" si="6"/>
        <v>0</v>
      </c>
      <c r="P40" s="49">
        <v>0</v>
      </c>
      <c r="Q40" s="49">
        <v>0</v>
      </c>
      <c r="R40" s="49">
        <v>0</v>
      </c>
      <c r="S40" s="49">
        <v>0</v>
      </c>
      <c r="T40" s="87">
        <v>0</v>
      </c>
      <c r="U40" s="49">
        <v>0</v>
      </c>
      <c r="V40" s="49">
        <v>0</v>
      </c>
      <c r="W40" s="49">
        <v>0</v>
      </c>
      <c r="X40" s="49">
        <v>0</v>
      </c>
      <c r="Y40" s="87">
        <f t="shared" si="7"/>
        <v>0</v>
      </c>
      <c r="Z40" s="49">
        <v>0</v>
      </c>
      <c r="AA40" s="49">
        <v>0</v>
      </c>
      <c r="AB40" s="49">
        <v>0</v>
      </c>
      <c r="AC40" s="49">
        <v>0</v>
      </c>
      <c r="AD40" s="87">
        <v>0</v>
      </c>
      <c r="AE40" s="49">
        <v>0</v>
      </c>
      <c r="AF40" s="49">
        <v>0</v>
      </c>
      <c r="AG40" s="49">
        <v>0</v>
      </c>
      <c r="AH40" s="49">
        <v>0</v>
      </c>
      <c r="AI40" s="87">
        <v>0</v>
      </c>
      <c r="AJ40" s="49">
        <v>0</v>
      </c>
      <c r="AK40" s="49">
        <v>0</v>
      </c>
      <c r="AL40" s="49">
        <v>0</v>
      </c>
      <c r="AM40" s="49">
        <v>0</v>
      </c>
      <c r="AN40" s="87">
        <f t="shared" si="5"/>
        <v>0</v>
      </c>
    </row>
    <row r="41" spans="1:40" ht="91.15" customHeight="1" x14ac:dyDescent="0.2">
      <c r="A41" s="144">
        <v>24</v>
      </c>
      <c r="B41" s="143" t="s">
        <v>50</v>
      </c>
      <c r="C41" s="143" t="s">
        <v>134</v>
      </c>
      <c r="D41" s="83">
        <v>2020</v>
      </c>
      <c r="E41" s="87">
        <v>0</v>
      </c>
      <c r="F41" s="49">
        <v>0</v>
      </c>
      <c r="G41" s="49">
        <v>0</v>
      </c>
      <c r="H41" s="49">
        <v>0</v>
      </c>
      <c r="I41" s="49">
        <v>0</v>
      </c>
      <c r="J41" s="87">
        <v>0</v>
      </c>
      <c r="K41" s="49">
        <v>0</v>
      </c>
      <c r="L41" s="49">
        <v>0</v>
      </c>
      <c r="M41" s="49">
        <v>0</v>
      </c>
      <c r="N41" s="49">
        <v>0</v>
      </c>
      <c r="O41" s="87">
        <f t="shared" si="6"/>
        <v>0</v>
      </c>
      <c r="P41" s="49">
        <v>0</v>
      </c>
      <c r="Q41" s="49">
        <v>0</v>
      </c>
      <c r="R41" s="49">
        <v>0</v>
      </c>
      <c r="S41" s="49">
        <v>0</v>
      </c>
      <c r="T41" s="87">
        <v>0</v>
      </c>
      <c r="U41" s="49">
        <v>0</v>
      </c>
      <c r="V41" s="49">
        <v>0</v>
      </c>
      <c r="W41" s="49">
        <v>0</v>
      </c>
      <c r="X41" s="49">
        <v>0</v>
      </c>
      <c r="Y41" s="87">
        <f t="shared" si="7"/>
        <v>0</v>
      </c>
      <c r="Z41" s="49">
        <v>0</v>
      </c>
      <c r="AA41" s="49">
        <v>0</v>
      </c>
      <c r="AB41" s="49">
        <v>0</v>
      </c>
      <c r="AC41" s="49">
        <v>0</v>
      </c>
      <c r="AD41" s="87">
        <v>0</v>
      </c>
      <c r="AE41" s="49">
        <v>0</v>
      </c>
      <c r="AF41" s="49">
        <v>0</v>
      </c>
      <c r="AG41" s="49">
        <v>0</v>
      </c>
      <c r="AH41" s="49">
        <v>0</v>
      </c>
      <c r="AI41" s="87">
        <v>0</v>
      </c>
      <c r="AJ41" s="49">
        <v>0</v>
      </c>
      <c r="AK41" s="49">
        <v>0</v>
      </c>
      <c r="AL41" s="49">
        <v>0</v>
      </c>
      <c r="AM41" s="49">
        <v>0</v>
      </c>
      <c r="AN41" s="87">
        <f t="shared" si="5"/>
        <v>0</v>
      </c>
    </row>
    <row r="42" spans="1:40" ht="91.15" customHeight="1" x14ac:dyDescent="0.2">
      <c r="A42" s="144">
        <v>25</v>
      </c>
      <c r="B42" s="143" t="s">
        <v>1</v>
      </c>
      <c r="C42" s="143" t="s">
        <v>135</v>
      </c>
      <c r="D42" s="83">
        <v>2020</v>
      </c>
      <c r="E42" s="87">
        <f>SUM(F42:G42)</f>
        <v>0</v>
      </c>
      <c r="F42" s="49">
        <v>0</v>
      </c>
      <c r="G42" s="49">
        <v>0</v>
      </c>
      <c r="H42" s="49">
        <v>0</v>
      </c>
      <c r="I42" s="49">
        <v>0</v>
      </c>
      <c r="J42" s="87">
        <v>0</v>
      </c>
      <c r="K42" s="49">
        <v>0</v>
      </c>
      <c r="L42" s="49">
        <v>0</v>
      </c>
      <c r="M42" s="49">
        <v>0</v>
      </c>
      <c r="N42" s="49">
        <v>0</v>
      </c>
      <c r="O42" s="87">
        <f t="shared" si="6"/>
        <v>0</v>
      </c>
      <c r="P42" s="49">
        <v>0</v>
      </c>
      <c r="Q42" s="49">
        <v>0</v>
      </c>
      <c r="R42" s="49">
        <v>0</v>
      </c>
      <c r="S42" s="49">
        <v>0</v>
      </c>
      <c r="T42" s="87">
        <v>0</v>
      </c>
      <c r="U42" s="49">
        <v>0</v>
      </c>
      <c r="V42" s="49">
        <v>0</v>
      </c>
      <c r="W42" s="49">
        <v>0</v>
      </c>
      <c r="X42" s="49">
        <v>0</v>
      </c>
      <c r="Y42" s="87">
        <f t="shared" si="7"/>
        <v>0</v>
      </c>
      <c r="Z42" s="49">
        <v>0</v>
      </c>
      <c r="AA42" s="49">
        <v>0</v>
      </c>
      <c r="AB42" s="49">
        <v>0</v>
      </c>
      <c r="AC42" s="49">
        <v>0</v>
      </c>
      <c r="AD42" s="87">
        <v>0</v>
      </c>
      <c r="AE42" s="49">
        <v>0</v>
      </c>
      <c r="AF42" s="49">
        <v>0</v>
      </c>
      <c r="AG42" s="49">
        <v>0</v>
      </c>
      <c r="AH42" s="49">
        <v>0</v>
      </c>
      <c r="AI42" s="87">
        <v>0</v>
      </c>
      <c r="AJ42" s="49">
        <v>0</v>
      </c>
      <c r="AK42" s="49">
        <v>0</v>
      </c>
      <c r="AL42" s="49">
        <v>0</v>
      </c>
      <c r="AM42" s="49">
        <v>0</v>
      </c>
      <c r="AN42" s="87">
        <f t="shared" si="5"/>
        <v>0</v>
      </c>
    </row>
    <row r="43" spans="1:40" ht="94.9" customHeight="1" x14ac:dyDescent="0.2">
      <c r="A43" s="144">
        <v>26</v>
      </c>
      <c r="B43" s="143" t="s">
        <v>7</v>
      </c>
      <c r="C43" s="143" t="s">
        <v>124</v>
      </c>
      <c r="D43" s="83">
        <v>2020</v>
      </c>
      <c r="E43" s="87">
        <f>SUM(F43:G43)</f>
        <v>0</v>
      </c>
      <c r="F43" s="49">
        <v>0</v>
      </c>
      <c r="G43" s="49">
        <v>0</v>
      </c>
      <c r="H43" s="49">
        <v>0</v>
      </c>
      <c r="I43" s="49">
        <v>0</v>
      </c>
      <c r="J43" s="87">
        <v>0</v>
      </c>
      <c r="K43" s="49">
        <v>0</v>
      </c>
      <c r="L43" s="49">
        <v>0</v>
      </c>
      <c r="M43" s="49">
        <v>0</v>
      </c>
      <c r="N43" s="49">
        <v>0</v>
      </c>
      <c r="O43" s="87">
        <f t="shared" si="6"/>
        <v>0</v>
      </c>
      <c r="P43" s="49">
        <v>0</v>
      </c>
      <c r="Q43" s="49">
        <v>0</v>
      </c>
      <c r="R43" s="49">
        <v>0</v>
      </c>
      <c r="S43" s="49">
        <v>0</v>
      </c>
      <c r="T43" s="87">
        <v>0</v>
      </c>
      <c r="U43" s="49">
        <v>0</v>
      </c>
      <c r="V43" s="49">
        <v>0</v>
      </c>
      <c r="W43" s="49">
        <v>0</v>
      </c>
      <c r="X43" s="49">
        <v>0</v>
      </c>
      <c r="Y43" s="87">
        <f t="shared" si="7"/>
        <v>0</v>
      </c>
      <c r="Z43" s="49">
        <v>0</v>
      </c>
      <c r="AA43" s="49">
        <v>0</v>
      </c>
      <c r="AB43" s="49">
        <v>0</v>
      </c>
      <c r="AC43" s="49">
        <v>0</v>
      </c>
      <c r="AD43" s="87">
        <v>0</v>
      </c>
      <c r="AE43" s="49">
        <v>0</v>
      </c>
      <c r="AF43" s="49">
        <v>0</v>
      </c>
      <c r="AG43" s="49">
        <v>0</v>
      </c>
      <c r="AH43" s="49">
        <v>0</v>
      </c>
      <c r="AI43" s="87">
        <v>0</v>
      </c>
      <c r="AJ43" s="49">
        <v>0</v>
      </c>
      <c r="AK43" s="49">
        <v>0</v>
      </c>
      <c r="AL43" s="49">
        <v>0</v>
      </c>
      <c r="AM43" s="49">
        <v>0</v>
      </c>
      <c r="AN43" s="87">
        <f t="shared" si="5"/>
        <v>0</v>
      </c>
    </row>
    <row r="44" spans="1:40" ht="42" customHeight="1" x14ac:dyDescent="0.2">
      <c r="A44" s="187" t="s">
        <v>85</v>
      </c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</row>
    <row r="45" spans="1:40" ht="97.15" customHeight="1" x14ac:dyDescent="0.2">
      <c r="A45" s="144">
        <v>27</v>
      </c>
      <c r="B45" s="143" t="s">
        <v>18</v>
      </c>
      <c r="C45" s="143" t="s">
        <v>124</v>
      </c>
      <c r="D45" s="83">
        <v>2020</v>
      </c>
      <c r="E45" s="84">
        <f>SUM(F45:G45)</f>
        <v>0</v>
      </c>
      <c r="F45" s="86">
        <v>0</v>
      </c>
      <c r="G45" s="86">
        <v>0</v>
      </c>
      <c r="H45" s="86">
        <v>0</v>
      </c>
      <c r="I45" s="86">
        <v>0</v>
      </c>
      <c r="J45" s="84">
        <f>K45+L45+M45+N45</f>
        <v>0</v>
      </c>
      <c r="K45" s="86">
        <v>0</v>
      </c>
      <c r="L45" s="86">
        <v>0</v>
      </c>
      <c r="M45" s="86">
        <v>0</v>
      </c>
      <c r="N45" s="86">
        <v>0</v>
      </c>
      <c r="O45" s="84">
        <f>P45+Q45+R45+S45</f>
        <v>0</v>
      </c>
      <c r="P45" s="86">
        <v>0</v>
      </c>
      <c r="Q45" s="86">
        <v>0</v>
      </c>
      <c r="R45" s="86">
        <v>0</v>
      </c>
      <c r="S45" s="86">
        <v>0</v>
      </c>
      <c r="T45" s="84">
        <v>0</v>
      </c>
      <c r="U45" s="86">
        <v>0</v>
      </c>
      <c r="V45" s="86">
        <v>0</v>
      </c>
      <c r="W45" s="86">
        <v>0</v>
      </c>
      <c r="X45" s="86">
        <v>0</v>
      </c>
      <c r="Y45" s="84">
        <v>0</v>
      </c>
      <c r="Z45" s="86">
        <v>0</v>
      </c>
      <c r="AA45" s="86">
        <v>0</v>
      </c>
      <c r="AB45" s="86">
        <v>0</v>
      </c>
      <c r="AC45" s="86">
        <v>0</v>
      </c>
      <c r="AD45" s="87">
        <v>0</v>
      </c>
      <c r="AE45" s="49">
        <v>0</v>
      </c>
      <c r="AF45" s="49">
        <v>0</v>
      </c>
      <c r="AG45" s="49">
        <v>0</v>
      </c>
      <c r="AH45" s="49">
        <v>0</v>
      </c>
      <c r="AI45" s="87">
        <v>0</v>
      </c>
      <c r="AJ45" s="49">
        <v>0</v>
      </c>
      <c r="AK45" s="49">
        <v>0</v>
      </c>
      <c r="AL45" s="49">
        <v>0</v>
      </c>
      <c r="AM45" s="49">
        <v>0</v>
      </c>
      <c r="AN45" s="87">
        <f t="shared" ref="AN45:AN59" si="8">SUM(E45,J45,O45,T45,Y45,AD45,AI45)</f>
        <v>0</v>
      </c>
    </row>
    <row r="46" spans="1:40" ht="105.6" customHeight="1" x14ac:dyDescent="0.2">
      <c r="A46" s="144">
        <v>28</v>
      </c>
      <c r="B46" s="143" t="s">
        <v>147</v>
      </c>
      <c r="C46" s="143" t="s">
        <v>124</v>
      </c>
      <c r="D46" s="88" t="s">
        <v>120</v>
      </c>
      <c r="E46" s="84">
        <f t="shared" ref="E46:E59" si="9">SUM(F46:G46)</f>
        <v>0</v>
      </c>
      <c r="F46" s="86">
        <v>0</v>
      </c>
      <c r="G46" s="86">
        <v>0</v>
      </c>
      <c r="H46" s="86">
        <v>0</v>
      </c>
      <c r="I46" s="86">
        <v>0</v>
      </c>
      <c r="J46" s="84">
        <f>K46+L46+M46+N46</f>
        <v>8026</v>
      </c>
      <c r="K46" s="86">
        <v>8026</v>
      </c>
      <c r="L46" s="86">
        <v>0</v>
      </c>
      <c r="M46" s="86">
        <v>0</v>
      </c>
      <c r="N46" s="86">
        <v>0</v>
      </c>
      <c r="O46" s="84">
        <f>P46+Q46+R46+S46</f>
        <v>9950</v>
      </c>
      <c r="P46" s="86">
        <f>10000-25-25</f>
        <v>9950</v>
      </c>
      <c r="Q46" s="86">
        <v>0</v>
      </c>
      <c r="R46" s="86">
        <v>0</v>
      </c>
      <c r="S46" s="86">
        <v>0</v>
      </c>
      <c r="T46" s="84">
        <f>U46+V46+W46+X46</f>
        <v>19173.3</v>
      </c>
      <c r="U46" s="86">
        <f>19399.3-226</f>
        <v>19173.3</v>
      </c>
      <c r="V46" s="86">
        <v>0</v>
      </c>
      <c r="W46" s="86">
        <v>0</v>
      </c>
      <c r="X46" s="86">
        <v>0</v>
      </c>
      <c r="Y46" s="84">
        <v>26614</v>
      </c>
      <c r="Z46" s="86">
        <v>26614</v>
      </c>
      <c r="AA46" s="86">
        <v>0</v>
      </c>
      <c r="AB46" s="86">
        <v>0</v>
      </c>
      <c r="AC46" s="86">
        <v>0</v>
      </c>
      <c r="AD46" s="87">
        <f>AE46+AF46+AG46+AH46</f>
        <v>29148</v>
      </c>
      <c r="AE46" s="49">
        <v>29148</v>
      </c>
      <c r="AF46" s="49">
        <v>0</v>
      </c>
      <c r="AG46" s="49">
        <v>0</v>
      </c>
      <c r="AH46" s="49">
        <v>0</v>
      </c>
      <c r="AI46" s="87">
        <v>16207</v>
      </c>
      <c r="AJ46" s="49">
        <v>16207</v>
      </c>
      <c r="AK46" s="49">
        <v>0</v>
      </c>
      <c r="AL46" s="49">
        <v>0</v>
      </c>
      <c r="AM46" s="49">
        <v>0</v>
      </c>
      <c r="AN46" s="87">
        <f t="shared" si="8"/>
        <v>109118.3</v>
      </c>
    </row>
    <row r="47" spans="1:40" ht="109.15" customHeight="1" x14ac:dyDescent="0.2">
      <c r="A47" s="144">
        <v>29</v>
      </c>
      <c r="B47" s="143" t="s">
        <v>55</v>
      </c>
      <c r="C47" s="143" t="s">
        <v>136</v>
      </c>
      <c r="D47" s="88" t="s">
        <v>163</v>
      </c>
      <c r="E47" s="84">
        <f>SUM(F47:G47)</f>
        <v>4700</v>
      </c>
      <c r="F47" s="86">
        <v>4700</v>
      </c>
      <c r="G47" s="86">
        <v>0</v>
      </c>
      <c r="H47" s="86">
        <v>0</v>
      </c>
      <c r="I47" s="86">
        <v>0</v>
      </c>
      <c r="J47" s="84">
        <f>SUM(K47:L47)</f>
        <v>0</v>
      </c>
      <c r="K47" s="86">
        <v>0</v>
      </c>
      <c r="L47" s="86">
        <v>0</v>
      </c>
      <c r="M47" s="86">
        <v>0</v>
      </c>
      <c r="N47" s="86">
        <v>0</v>
      </c>
      <c r="O47" s="84">
        <f>SUM(P47:Q47)</f>
        <v>1215</v>
      </c>
      <c r="P47" s="86">
        <f>1455-120-120</f>
        <v>1215</v>
      </c>
      <c r="Q47" s="86">
        <v>0</v>
      </c>
      <c r="R47" s="86">
        <v>0</v>
      </c>
      <c r="S47" s="86">
        <v>0</v>
      </c>
      <c r="T47" s="84">
        <v>0</v>
      </c>
      <c r="U47" s="86">
        <v>0</v>
      </c>
      <c r="V47" s="86">
        <v>0</v>
      </c>
      <c r="W47" s="86">
        <v>0</v>
      </c>
      <c r="X47" s="86">
        <v>0</v>
      </c>
      <c r="Y47" s="84">
        <v>0</v>
      </c>
      <c r="Z47" s="86">
        <v>0</v>
      </c>
      <c r="AA47" s="86">
        <v>0</v>
      </c>
      <c r="AB47" s="86">
        <v>0</v>
      </c>
      <c r="AC47" s="86">
        <v>0</v>
      </c>
      <c r="AD47" s="87">
        <v>0</v>
      </c>
      <c r="AE47" s="49">
        <v>0</v>
      </c>
      <c r="AF47" s="49">
        <v>0</v>
      </c>
      <c r="AG47" s="49">
        <v>0</v>
      </c>
      <c r="AH47" s="49">
        <v>0</v>
      </c>
      <c r="AI47" s="87">
        <v>0</v>
      </c>
      <c r="AJ47" s="49">
        <v>0</v>
      </c>
      <c r="AK47" s="49">
        <v>0</v>
      </c>
      <c r="AL47" s="49">
        <v>0</v>
      </c>
      <c r="AM47" s="49">
        <v>0</v>
      </c>
      <c r="AN47" s="87">
        <f>SUM(E47,J47,O47,T47,Y47,AD47,AI47)</f>
        <v>5915</v>
      </c>
    </row>
    <row r="48" spans="1:40" ht="98.45" customHeight="1" x14ac:dyDescent="0.2">
      <c r="A48" s="144">
        <v>30</v>
      </c>
      <c r="B48" s="143" t="s">
        <v>0</v>
      </c>
      <c r="C48" s="143" t="s">
        <v>124</v>
      </c>
      <c r="D48" s="83">
        <v>2020</v>
      </c>
      <c r="E48" s="84">
        <f t="shared" si="9"/>
        <v>0</v>
      </c>
      <c r="F48" s="86">
        <v>0</v>
      </c>
      <c r="G48" s="86">
        <v>0</v>
      </c>
      <c r="H48" s="86">
        <v>0</v>
      </c>
      <c r="I48" s="86">
        <v>0</v>
      </c>
      <c r="J48" s="84">
        <v>0</v>
      </c>
      <c r="K48" s="86">
        <v>0</v>
      </c>
      <c r="L48" s="86">
        <v>0</v>
      </c>
      <c r="M48" s="86">
        <v>0</v>
      </c>
      <c r="N48" s="86">
        <v>0</v>
      </c>
      <c r="O48" s="84">
        <f t="shared" ref="O48:O59" si="10">SUM(P48:Q48)</f>
        <v>0</v>
      </c>
      <c r="P48" s="86">
        <v>0</v>
      </c>
      <c r="Q48" s="86">
        <v>0</v>
      </c>
      <c r="R48" s="86">
        <v>0</v>
      </c>
      <c r="S48" s="86">
        <v>0</v>
      </c>
      <c r="T48" s="84">
        <v>0</v>
      </c>
      <c r="U48" s="86">
        <v>0</v>
      </c>
      <c r="V48" s="86">
        <v>0</v>
      </c>
      <c r="W48" s="86">
        <v>0</v>
      </c>
      <c r="X48" s="86">
        <v>0</v>
      </c>
      <c r="Y48" s="84">
        <v>0</v>
      </c>
      <c r="Z48" s="86">
        <v>0</v>
      </c>
      <c r="AA48" s="86">
        <v>0</v>
      </c>
      <c r="AB48" s="86">
        <v>0</v>
      </c>
      <c r="AC48" s="86">
        <v>0</v>
      </c>
      <c r="AD48" s="87">
        <v>0</v>
      </c>
      <c r="AE48" s="49">
        <v>0</v>
      </c>
      <c r="AF48" s="49">
        <v>0</v>
      </c>
      <c r="AG48" s="49">
        <v>0</v>
      </c>
      <c r="AH48" s="49">
        <v>0</v>
      </c>
      <c r="AI48" s="87">
        <v>0</v>
      </c>
      <c r="AJ48" s="49">
        <v>0</v>
      </c>
      <c r="AK48" s="49">
        <v>0</v>
      </c>
      <c r="AL48" s="49">
        <v>0</v>
      </c>
      <c r="AM48" s="49">
        <v>0</v>
      </c>
      <c r="AN48" s="87">
        <f t="shared" si="8"/>
        <v>0</v>
      </c>
    </row>
    <row r="49" spans="1:41" s="1" customFormat="1" ht="110.45" customHeight="1" x14ac:dyDescent="0.2">
      <c r="A49" s="143">
        <v>31</v>
      </c>
      <c r="B49" s="143" t="s">
        <v>170</v>
      </c>
      <c r="C49" s="143" t="s">
        <v>124</v>
      </c>
      <c r="D49" s="88" t="s">
        <v>46</v>
      </c>
      <c r="E49" s="84">
        <f t="shared" si="9"/>
        <v>297</v>
      </c>
      <c r="F49" s="85">
        <v>297</v>
      </c>
      <c r="G49" s="86">
        <v>0</v>
      </c>
      <c r="H49" s="86">
        <v>0</v>
      </c>
      <c r="I49" s="86">
        <v>0</v>
      </c>
      <c r="J49" s="84">
        <f t="shared" ref="J49:J59" si="11">SUM(K49:L49)</f>
        <v>1888</v>
      </c>
      <c r="K49" s="85">
        <f>2300-206-206</f>
        <v>1888</v>
      </c>
      <c r="L49" s="86">
        <v>0</v>
      </c>
      <c r="M49" s="86">
        <v>0</v>
      </c>
      <c r="N49" s="86">
        <v>0</v>
      </c>
      <c r="O49" s="84">
        <f t="shared" si="10"/>
        <v>0</v>
      </c>
      <c r="P49" s="86">
        <v>0</v>
      </c>
      <c r="Q49" s="86">
        <v>0</v>
      </c>
      <c r="R49" s="86">
        <v>0</v>
      </c>
      <c r="S49" s="86">
        <v>0</v>
      </c>
      <c r="T49" s="93">
        <f>U49+V49</f>
        <v>2202</v>
      </c>
      <c r="U49" s="86">
        <f>2203-1</f>
        <v>2202</v>
      </c>
      <c r="V49" s="86">
        <v>0</v>
      </c>
      <c r="W49" s="86">
        <v>0</v>
      </c>
      <c r="X49" s="86">
        <v>0</v>
      </c>
      <c r="Y49" s="84">
        <f>Z49+AA49</f>
        <v>22</v>
      </c>
      <c r="Z49" s="86">
        <v>22</v>
      </c>
      <c r="AA49" s="86">
        <v>0</v>
      </c>
      <c r="AB49" s="86">
        <v>0</v>
      </c>
      <c r="AC49" s="86">
        <v>0</v>
      </c>
      <c r="AD49" s="87">
        <f>AE49+AF49</f>
        <v>0</v>
      </c>
      <c r="AE49" s="49">
        <v>0</v>
      </c>
      <c r="AF49" s="49">
        <v>0</v>
      </c>
      <c r="AG49" s="49">
        <v>0</v>
      </c>
      <c r="AH49" s="49">
        <v>0</v>
      </c>
      <c r="AI49" s="87">
        <v>843</v>
      </c>
      <c r="AJ49" s="49">
        <v>843</v>
      </c>
      <c r="AK49" s="49">
        <v>0</v>
      </c>
      <c r="AL49" s="49">
        <v>0</v>
      </c>
      <c r="AM49" s="49">
        <v>0</v>
      </c>
      <c r="AN49" s="87">
        <f t="shared" si="8"/>
        <v>5252</v>
      </c>
      <c r="AO49" s="27"/>
    </row>
    <row r="50" spans="1:41" ht="109.15" customHeight="1" x14ac:dyDescent="0.2">
      <c r="A50" s="144">
        <v>32</v>
      </c>
      <c r="B50" s="143" t="s">
        <v>169</v>
      </c>
      <c r="C50" s="143" t="s">
        <v>124</v>
      </c>
      <c r="D50" s="88" t="s">
        <v>171</v>
      </c>
      <c r="E50" s="84">
        <f t="shared" si="9"/>
        <v>1458</v>
      </c>
      <c r="F50" s="85">
        <f>5267-3802-4-3</f>
        <v>1458</v>
      </c>
      <c r="G50" s="86">
        <v>0</v>
      </c>
      <c r="H50" s="86">
        <v>0</v>
      </c>
      <c r="I50" s="86">
        <v>0</v>
      </c>
      <c r="J50" s="84">
        <f t="shared" si="11"/>
        <v>0</v>
      </c>
      <c r="K50" s="85">
        <v>0</v>
      </c>
      <c r="L50" s="86">
        <v>0</v>
      </c>
      <c r="M50" s="86">
        <v>0</v>
      </c>
      <c r="N50" s="86">
        <v>0</v>
      </c>
      <c r="O50" s="84">
        <f t="shared" si="10"/>
        <v>0</v>
      </c>
      <c r="P50" s="86">
        <v>0</v>
      </c>
      <c r="Q50" s="86">
        <v>0</v>
      </c>
      <c r="R50" s="86">
        <v>0</v>
      </c>
      <c r="S50" s="86">
        <v>0</v>
      </c>
      <c r="T50" s="93">
        <f>U50+V50</f>
        <v>22073</v>
      </c>
      <c r="U50" s="86">
        <v>22073</v>
      </c>
      <c r="V50" s="86">
        <v>0</v>
      </c>
      <c r="W50" s="86">
        <v>0</v>
      </c>
      <c r="X50" s="86">
        <v>0</v>
      </c>
      <c r="Y50" s="84">
        <f>Z50+AA50</f>
        <v>20299</v>
      </c>
      <c r="Z50" s="86">
        <f>20321-22</f>
        <v>20299</v>
      </c>
      <c r="AA50" s="86">
        <v>0</v>
      </c>
      <c r="AB50" s="86">
        <v>0</v>
      </c>
      <c r="AC50" s="86">
        <v>0</v>
      </c>
      <c r="AD50" s="87">
        <f>AE50+AF50</f>
        <v>12265</v>
      </c>
      <c r="AE50" s="49">
        <f>7813+4452</f>
        <v>12265</v>
      </c>
      <c r="AF50" s="49">
        <v>0</v>
      </c>
      <c r="AG50" s="49">
        <v>0</v>
      </c>
      <c r="AH50" s="49">
        <v>0</v>
      </c>
      <c r="AI50" s="87">
        <v>20349</v>
      </c>
      <c r="AJ50" s="49">
        <v>20349</v>
      </c>
      <c r="AK50" s="49">
        <v>0</v>
      </c>
      <c r="AL50" s="49">
        <v>0</v>
      </c>
      <c r="AM50" s="49">
        <v>0</v>
      </c>
      <c r="AN50" s="87">
        <f t="shared" si="8"/>
        <v>76444</v>
      </c>
    </row>
    <row r="51" spans="1:41" ht="103.15" customHeight="1" x14ac:dyDescent="0.2">
      <c r="A51" s="144">
        <v>33</v>
      </c>
      <c r="B51" s="143" t="s">
        <v>176</v>
      </c>
      <c r="C51" s="143" t="s">
        <v>124</v>
      </c>
      <c r="D51" s="88" t="s">
        <v>174</v>
      </c>
      <c r="E51" s="84">
        <f t="shared" si="9"/>
        <v>170</v>
      </c>
      <c r="F51" s="86">
        <v>170</v>
      </c>
      <c r="G51" s="86">
        <v>0</v>
      </c>
      <c r="H51" s="86">
        <v>0</v>
      </c>
      <c r="I51" s="86">
        <v>0</v>
      </c>
      <c r="J51" s="84">
        <f t="shared" si="11"/>
        <v>0</v>
      </c>
      <c r="K51" s="86">
        <v>0</v>
      </c>
      <c r="L51" s="86">
        <v>0</v>
      </c>
      <c r="M51" s="86">
        <v>0</v>
      </c>
      <c r="N51" s="86">
        <v>0</v>
      </c>
      <c r="O51" s="84">
        <f t="shared" si="10"/>
        <v>0</v>
      </c>
      <c r="P51" s="86">
        <v>0</v>
      </c>
      <c r="Q51" s="86">
        <v>0</v>
      </c>
      <c r="R51" s="86">
        <v>0</v>
      </c>
      <c r="S51" s="86">
        <v>0</v>
      </c>
      <c r="T51" s="84">
        <f>372-10-10</f>
        <v>352</v>
      </c>
      <c r="U51" s="86">
        <f>372-10-10</f>
        <v>352</v>
      </c>
      <c r="V51" s="86">
        <v>0</v>
      </c>
      <c r="W51" s="86">
        <v>0</v>
      </c>
      <c r="X51" s="86">
        <v>0</v>
      </c>
      <c r="Y51" s="84">
        <f t="shared" ref="Y51:Y56" si="12">Z51+AA51+AB51+AC51</f>
        <v>0</v>
      </c>
      <c r="Z51" s="86">
        <v>0</v>
      </c>
      <c r="AA51" s="86">
        <v>0</v>
      </c>
      <c r="AB51" s="86">
        <v>0</v>
      </c>
      <c r="AC51" s="86">
        <v>0</v>
      </c>
      <c r="AD51" s="87">
        <v>230</v>
      </c>
      <c r="AE51" s="49">
        <v>230</v>
      </c>
      <c r="AF51" s="49">
        <v>0</v>
      </c>
      <c r="AG51" s="49">
        <v>0</v>
      </c>
      <c r="AH51" s="49">
        <v>0</v>
      </c>
      <c r="AI51" s="87">
        <v>0</v>
      </c>
      <c r="AJ51" s="49">
        <v>0</v>
      </c>
      <c r="AK51" s="49">
        <v>0</v>
      </c>
      <c r="AL51" s="49">
        <v>0</v>
      </c>
      <c r="AM51" s="49">
        <v>0</v>
      </c>
      <c r="AN51" s="87">
        <f t="shared" si="8"/>
        <v>752</v>
      </c>
    </row>
    <row r="52" spans="1:41" s="1" customFormat="1" ht="98.45" customHeight="1" x14ac:dyDescent="0.2">
      <c r="A52" s="144">
        <v>34</v>
      </c>
      <c r="B52" s="143" t="s">
        <v>56</v>
      </c>
      <c r="C52" s="143" t="s">
        <v>124</v>
      </c>
      <c r="D52" s="83">
        <v>2015</v>
      </c>
      <c r="E52" s="84">
        <f t="shared" si="9"/>
        <v>0</v>
      </c>
      <c r="F52" s="86">
        <f>3162-3162</f>
        <v>0</v>
      </c>
      <c r="G52" s="86">
        <v>0</v>
      </c>
      <c r="H52" s="86">
        <v>0</v>
      </c>
      <c r="I52" s="86">
        <v>0</v>
      </c>
      <c r="J52" s="84">
        <f t="shared" si="11"/>
        <v>2018</v>
      </c>
      <c r="K52" s="86">
        <f>3277-344-343-31-541</f>
        <v>2018</v>
      </c>
      <c r="L52" s="86">
        <v>0</v>
      </c>
      <c r="M52" s="86">
        <v>0</v>
      </c>
      <c r="N52" s="86">
        <v>0</v>
      </c>
      <c r="O52" s="84">
        <f t="shared" si="10"/>
        <v>0</v>
      </c>
      <c r="P52" s="86">
        <v>0</v>
      </c>
      <c r="Q52" s="86">
        <v>0</v>
      </c>
      <c r="R52" s="86">
        <v>0</v>
      </c>
      <c r="S52" s="86">
        <v>0</v>
      </c>
      <c r="T52" s="84">
        <v>0</v>
      </c>
      <c r="U52" s="86">
        <v>0</v>
      </c>
      <c r="V52" s="86">
        <v>0</v>
      </c>
      <c r="W52" s="86">
        <v>0</v>
      </c>
      <c r="X52" s="86">
        <v>0</v>
      </c>
      <c r="Y52" s="84">
        <f t="shared" si="12"/>
        <v>0</v>
      </c>
      <c r="Z52" s="86">
        <v>0</v>
      </c>
      <c r="AA52" s="86">
        <v>0</v>
      </c>
      <c r="AB52" s="86">
        <v>0</v>
      </c>
      <c r="AC52" s="86">
        <v>0</v>
      </c>
      <c r="AD52" s="87">
        <v>0</v>
      </c>
      <c r="AE52" s="49">
        <v>0</v>
      </c>
      <c r="AF52" s="49">
        <v>0</v>
      </c>
      <c r="AG52" s="49">
        <v>0</v>
      </c>
      <c r="AH52" s="49">
        <v>0</v>
      </c>
      <c r="AI52" s="87">
        <v>0</v>
      </c>
      <c r="AJ52" s="49">
        <v>0</v>
      </c>
      <c r="AK52" s="49">
        <v>0</v>
      </c>
      <c r="AL52" s="49">
        <v>0</v>
      </c>
      <c r="AM52" s="49">
        <v>0</v>
      </c>
      <c r="AN52" s="87">
        <f t="shared" si="8"/>
        <v>2018</v>
      </c>
      <c r="AO52" s="27"/>
    </row>
    <row r="53" spans="1:41" ht="96" customHeight="1" x14ac:dyDescent="0.2">
      <c r="A53" s="144">
        <v>35</v>
      </c>
      <c r="B53" s="143" t="s">
        <v>60</v>
      </c>
      <c r="C53" s="143" t="s">
        <v>123</v>
      </c>
      <c r="D53" s="83">
        <v>2020</v>
      </c>
      <c r="E53" s="84">
        <f t="shared" si="9"/>
        <v>0</v>
      </c>
      <c r="F53" s="86">
        <v>0</v>
      </c>
      <c r="G53" s="86">
        <v>0</v>
      </c>
      <c r="H53" s="86">
        <v>0</v>
      </c>
      <c r="I53" s="86">
        <v>0</v>
      </c>
      <c r="J53" s="84">
        <f t="shared" si="11"/>
        <v>0</v>
      </c>
      <c r="K53" s="86">
        <v>0</v>
      </c>
      <c r="L53" s="86">
        <v>0</v>
      </c>
      <c r="M53" s="86">
        <v>0</v>
      </c>
      <c r="N53" s="86">
        <v>0</v>
      </c>
      <c r="O53" s="84">
        <f t="shared" si="10"/>
        <v>0</v>
      </c>
      <c r="P53" s="86">
        <v>0</v>
      </c>
      <c r="Q53" s="86">
        <v>0</v>
      </c>
      <c r="R53" s="86">
        <v>0</v>
      </c>
      <c r="S53" s="86">
        <v>0</v>
      </c>
      <c r="T53" s="84">
        <v>0</v>
      </c>
      <c r="U53" s="86">
        <v>0</v>
      </c>
      <c r="V53" s="86">
        <v>0</v>
      </c>
      <c r="W53" s="86">
        <v>0</v>
      </c>
      <c r="X53" s="86">
        <v>0</v>
      </c>
      <c r="Y53" s="84">
        <f t="shared" si="12"/>
        <v>0</v>
      </c>
      <c r="Z53" s="86">
        <v>0</v>
      </c>
      <c r="AA53" s="86">
        <v>0</v>
      </c>
      <c r="AB53" s="86">
        <v>0</v>
      </c>
      <c r="AC53" s="86">
        <v>0</v>
      </c>
      <c r="AD53" s="87">
        <v>0</v>
      </c>
      <c r="AE53" s="49">
        <v>0</v>
      </c>
      <c r="AF53" s="49">
        <v>0</v>
      </c>
      <c r="AG53" s="49">
        <v>0</v>
      </c>
      <c r="AH53" s="49">
        <v>0</v>
      </c>
      <c r="AI53" s="87">
        <v>0</v>
      </c>
      <c r="AJ53" s="49">
        <v>0</v>
      </c>
      <c r="AK53" s="49">
        <v>0</v>
      </c>
      <c r="AL53" s="49">
        <v>0</v>
      </c>
      <c r="AM53" s="49">
        <v>0</v>
      </c>
      <c r="AN53" s="87">
        <f t="shared" si="8"/>
        <v>0</v>
      </c>
    </row>
    <row r="54" spans="1:41" ht="93.6" customHeight="1" x14ac:dyDescent="0.2">
      <c r="A54" s="144">
        <v>36</v>
      </c>
      <c r="B54" s="143" t="s">
        <v>19</v>
      </c>
      <c r="C54" s="143" t="s">
        <v>124</v>
      </c>
      <c r="D54" s="83">
        <v>2020</v>
      </c>
      <c r="E54" s="84">
        <f t="shared" si="9"/>
        <v>0</v>
      </c>
      <c r="F54" s="86">
        <v>0</v>
      </c>
      <c r="G54" s="86">
        <v>0</v>
      </c>
      <c r="H54" s="86">
        <v>0</v>
      </c>
      <c r="I54" s="86">
        <v>0</v>
      </c>
      <c r="J54" s="84">
        <f t="shared" si="11"/>
        <v>0</v>
      </c>
      <c r="K54" s="86">
        <v>0</v>
      </c>
      <c r="L54" s="86">
        <v>0</v>
      </c>
      <c r="M54" s="86">
        <v>0</v>
      </c>
      <c r="N54" s="86">
        <v>0</v>
      </c>
      <c r="O54" s="84">
        <f t="shared" si="10"/>
        <v>0</v>
      </c>
      <c r="P54" s="86">
        <v>0</v>
      </c>
      <c r="Q54" s="86">
        <v>0</v>
      </c>
      <c r="R54" s="86">
        <v>0</v>
      </c>
      <c r="S54" s="86">
        <v>0</v>
      </c>
      <c r="T54" s="84">
        <v>0</v>
      </c>
      <c r="U54" s="86">
        <v>0</v>
      </c>
      <c r="V54" s="86">
        <v>0</v>
      </c>
      <c r="W54" s="86">
        <v>0</v>
      </c>
      <c r="X54" s="86">
        <v>0</v>
      </c>
      <c r="Y54" s="84">
        <f t="shared" si="12"/>
        <v>0</v>
      </c>
      <c r="Z54" s="86">
        <v>0</v>
      </c>
      <c r="AA54" s="86">
        <v>0</v>
      </c>
      <c r="AB54" s="86">
        <v>0</v>
      </c>
      <c r="AC54" s="86">
        <v>0</v>
      </c>
      <c r="AD54" s="87">
        <v>0</v>
      </c>
      <c r="AE54" s="49">
        <v>0</v>
      </c>
      <c r="AF54" s="49">
        <v>0</v>
      </c>
      <c r="AG54" s="49">
        <v>0</v>
      </c>
      <c r="AH54" s="49">
        <v>0</v>
      </c>
      <c r="AI54" s="87">
        <v>0</v>
      </c>
      <c r="AJ54" s="49">
        <v>0</v>
      </c>
      <c r="AK54" s="49">
        <v>0</v>
      </c>
      <c r="AL54" s="49">
        <v>0</v>
      </c>
      <c r="AM54" s="49">
        <v>0</v>
      </c>
      <c r="AN54" s="87">
        <f t="shared" si="8"/>
        <v>0</v>
      </c>
    </row>
    <row r="55" spans="1:41" ht="117.6" customHeight="1" x14ac:dyDescent="0.2">
      <c r="A55" s="144">
        <v>37</v>
      </c>
      <c r="B55" s="143" t="s">
        <v>51</v>
      </c>
      <c r="C55" s="143" t="s">
        <v>137</v>
      </c>
      <c r="D55" s="91" t="s">
        <v>97</v>
      </c>
      <c r="E55" s="84">
        <f t="shared" si="9"/>
        <v>1597</v>
      </c>
      <c r="F55" s="86">
        <f>3500+117-2020</f>
        <v>1597</v>
      </c>
      <c r="G55" s="86">
        <v>0</v>
      </c>
      <c r="H55" s="86">
        <v>0</v>
      </c>
      <c r="I55" s="86">
        <v>0</v>
      </c>
      <c r="J55" s="84">
        <f t="shared" si="11"/>
        <v>5766.6</v>
      </c>
      <c r="K55" s="86">
        <f>1180+4138-320+520+40-124+332.6</f>
        <v>5766.6</v>
      </c>
      <c r="L55" s="86">
        <v>0</v>
      </c>
      <c r="M55" s="86">
        <v>0</v>
      </c>
      <c r="N55" s="86">
        <v>0</v>
      </c>
      <c r="O55" s="84">
        <f t="shared" si="10"/>
        <v>0</v>
      </c>
      <c r="P55" s="86">
        <v>0</v>
      </c>
      <c r="Q55" s="86">
        <v>0</v>
      </c>
      <c r="R55" s="86">
        <v>0</v>
      </c>
      <c r="S55" s="86">
        <v>0</v>
      </c>
      <c r="T55" s="84">
        <f>2940.4-131-148</f>
        <v>2661.4</v>
      </c>
      <c r="U55" s="86">
        <f>2940.4-131-148</f>
        <v>2661.4</v>
      </c>
      <c r="V55" s="86">
        <v>0</v>
      </c>
      <c r="W55" s="86">
        <v>0</v>
      </c>
      <c r="X55" s="86">
        <v>0</v>
      </c>
      <c r="Y55" s="84">
        <f t="shared" si="12"/>
        <v>4183</v>
      </c>
      <c r="Z55" s="86">
        <v>4183</v>
      </c>
      <c r="AA55" s="86">
        <v>0</v>
      </c>
      <c r="AB55" s="86">
        <v>0</v>
      </c>
      <c r="AC55" s="86">
        <v>0</v>
      </c>
      <c r="AD55" s="87">
        <v>1351</v>
      </c>
      <c r="AE55" s="49">
        <v>1351</v>
      </c>
      <c r="AF55" s="49">
        <v>0</v>
      </c>
      <c r="AG55" s="49">
        <v>0</v>
      </c>
      <c r="AH55" s="49">
        <v>0</v>
      </c>
      <c r="AI55" s="87">
        <v>0</v>
      </c>
      <c r="AJ55" s="49">
        <v>0</v>
      </c>
      <c r="AK55" s="49">
        <v>0</v>
      </c>
      <c r="AL55" s="49">
        <v>0</v>
      </c>
      <c r="AM55" s="49">
        <v>0</v>
      </c>
      <c r="AN55" s="87">
        <f t="shared" si="8"/>
        <v>15559</v>
      </c>
    </row>
    <row r="56" spans="1:41" ht="123.6" customHeight="1" x14ac:dyDescent="0.2">
      <c r="A56" s="144">
        <v>38</v>
      </c>
      <c r="B56" s="144" t="s">
        <v>52</v>
      </c>
      <c r="C56" s="143" t="s">
        <v>138</v>
      </c>
      <c r="D56" s="143">
        <v>2018</v>
      </c>
      <c r="E56" s="84">
        <f t="shared" si="9"/>
        <v>0</v>
      </c>
      <c r="F56" s="86">
        <v>0</v>
      </c>
      <c r="G56" s="86">
        <v>0</v>
      </c>
      <c r="H56" s="86">
        <v>0</v>
      </c>
      <c r="I56" s="86">
        <v>0</v>
      </c>
      <c r="J56" s="84">
        <f t="shared" si="11"/>
        <v>0</v>
      </c>
      <c r="K56" s="86">
        <v>0</v>
      </c>
      <c r="L56" s="86">
        <v>0</v>
      </c>
      <c r="M56" s="86">
        <v>0</v>
      </c>
      <c r="N56" s="86">
        <v>0</v>
      </c>
      <c r="O56" s="84">
        <f t="shared" si="10"/>
        <v>0</v>
      </c>
      <c r="P56" s="86">
        <v>0</v>
      </c>
      <c r="Q56" s="86">
        <v>0</v>
      </c>
      <c r="R56" s="86">
        <v>0</v>
      </c>
      <c r="S56" s="86">
        <v>0</v>
      </c>
      <c r="T56" s="84">
        <v>0</v>
      </c>
      <c r="U56" s="86">
        <v>0</v>
      </c>
      <c r="V56" s="86">
        <v>0</v>
      </c>
      <c r="W56" s="86">
        <v>0</v>
      </c>
      <c r="X56" s="86">
        <v>0</v>
      </c>
      <c r="Y56" s="84">
        <f t="shared" si="12"/>
        <v>1786</v>
      </c>
      <c r="Z56" s="86">
        <v>1786</v>
      </c>
      <c r="AA56" s="86">
        <v>0</v>
      </c>
      <c r="AB56" s="86">
        <v>0</v>
      </c>
      <c r="AC56" s="86">
        <v>0</v>
      </c>
      <c r="AD56" s="87">
        <v>0</v>
      </c>
      <c r="AE56" s="49">
        <v>0</v>
      </c>
      <c r="AF56" s="49">
        <v>0</v>
      </c>
      <c r="AG56" s="49">
        <v>0</v>
      </c>
      <c r="AH56" s="49">
        <v>0</v>
      </c>
      <c r="AI56" s="87">
        <v>0</v>
      </c>
      <c r="AJ56" s="49">
        <v>0</v>
      </c>
      <c r="AK56" s="49">
        <v>0</v>
      </c>
      <c r="AL56" s="49">
        <v>0</v>
      </c>
      <c r="AM56" s="49">
        <v>0</v>
      </c>
      <c r="AN56" s="87">
        <f t="shared" si="8"/>
        <v>1786</v>
      </c>
    </row>
    <row r="57" spans="1:41" ht="111.6" customHeight="1" x14ac:dyDescent="0.2">
      <c r="A57" s="144">
        <v>39</v>
      </c>
      <c r="B57" s="143" t="s">
        <v>53</v>
      </c>
      <c r="C57" s="143" t="s">
        <v>139</v>
      </c>
      <c r="D57" s="83">
        <v>2014</v>
      </c>
      <c r="E57" s="84">
        <f t="shared" si="9"/>
        <v>250</v>
      </c>
      <c r="F57" s="86">
        <v>250</v>
      </c>
      <c r="G57" s="86">
        <v>0</v>
      </c>
      <c r="H57" s="86">
        <v>0</v>
      </c>
      <c r="I57" s="86">
        <v>0</v>
      </c>
      <c r="J57" s="84">
        <f t="shared" si="11"/>
        <v>0</v>
      </c>
      <c r="K57" s="86">
        <v>0</v>
      </c>
      <c r="L57" s="86">
        <v>0</v>
      </c>
      <c r="M57" s="86">
        <v>0</v>
      </c>
      <c r="N57" s="86">
        <v>0</v>
      </c>
      <c r="O57" s="84">
        <f t="shared" si="10"/>
        <v>0</v>
      </c>
      <c r="P57" s="86">
        <v>0</v>
      </c>
      <c r="Q57" s="86">
        <v>0</v>
      </c>
      <c r="R57" s="86">
        <v>0</v>
      </c>
      <c r="S57" s="86">
        <v>0</v>
      </c>
      <c r="T57" s="84">
        <v>0</v>
      </c>
      <c r="U57" s="86">
        <v>0</v>
      </c>
      <c r="V57" s="86">
        <v>0</v>
      </c>
      <c r="W57" s="86">
        <v>0</v>
      </c>
      <c r="X57" s="86">
        <v>0</v>
      </c>
      <c r="Y57" s="84">
        <v>0</v>
      </c>
      <c r="Z57" s="86">
        <v>0</v>
      </c>
      <c r="AA57" s="86">
        <v>0</v>
      </c>
      <c r="AB57" s="86">
        <v>0</v>
      </c>
      <c r="AC57" s="86">
        <v>0</v>
      </c>
      <c r="AD57" s="87">
        <v>0</v>
      </c>
      <c r="AE57" s="49">
        <v>0</v>
      </c>
      <c r="AF57" s="49">
        <v>0</v>
      </c>
      <c r="AG57" s="49">
        <v>0</v>
      </c>
      <c r="AH57" s="49">
        <v>0</v>
      </c>
      <c r="AI57" s="87">
        <v>0</v>
      </c>
      <c r="AJ57" s="49">
        <v>0</v>
      </c>
      <c r="AK57" s="49">
        <v>0</v>
      </c>
      <c r="AL57" s="49">
        <v>0</v>
      </c>
      <c r="AM57" s="49">
        <v>0</v>
      </c>
      <c r="AN57" s="87">
        <f t="shared" si="8"/>
        <v>250</v>
      </c>
    </row>
    <row r="58" spans="1:41" ht="118.9" customHeight="1" x14ac:dyDescent="0.2">
      <c r="A58" s="144">
        <v>40</v>
      </c>
      <c r="B58" s="143" t="s">
        <v>54</v>
      </c>
      <c r="C58" s="143" t="s">
        <v>140</v>
      </c>
      <c r="D58" s="91" t="s">
        <v>162</v>
      </c>
      <c r="E58" s="84">
        <f t="shared" si="9"/>
        <v>13669</v>
      </c>
      <c r="F58" s="86">
        <f>6351+6964+354</f>
        <v>13669</v>
      </c>
      <c r="G58" s="86">
        <v>0</v>
      </c>
      <c r="H58" s="86">
        <v>0</v>
      </c>
      <c r="I58" s="86">
        <v>0</v>
      </c>
      <c r="J58" s="84">
        <f t="shared" si="11"/>
        <v>5002</v>
      </c>
      <c r="K58" s="86">
        <v>5002</v>
      </c>
      <c r="L58" s="86">
        <v>0</v>
      </c>
      <c r="M58" s="86">
        <v>0</v>
      </c>
      <c r="N58" s="86">
        <v>0</v>
      </c>
      <c r="O58" s="84">
        <f t="shared" si="10"/>
        <v>4076</v>
      </c>
      <c r="P58" s="86">
        <v>4076</v>
      </c>
      <c r="Q58" s="86">
        <v>0</v>
      </c>
      <c r="R58" s="86">
        <v>0</v>
      </c>
      <c r="S58" s="86">
        <v>0</v>
      </c>
      <c r="T58" s="84">
        <f>3880+148</f>
        <v>4028</v>
      </c>
      <c r="U58" s="86">
        <f>3880+148</f>
        <v>4028</v>
      </c>
      <c r="V58" s="86">
        <v>0</v>
      </c>
      <c r="W58" s="86">
        <v>0</v>
      </c>
      <c r="X58" s="86">
        <v>0</v>
      </c>
      <c r="Y58" s="84">
        <v>5356</v>
      </c>
      <c r="Z58" s="86">
        <v>5356</v>
      </c>
      <c r="AA58" s="86">
        <v>0</v>
      </c>
      <c r="AB58" s="86">
        <v>0</v>
      </c>
      <c r="AC58" s="86">
        <v>0</v>
      </c>
      <c r="AD58" s="87">
        <v>4042</v>
      </c>
      <c r="AE58" s="49">
        <v>4042</v>
      </c>
      <c r="AF58" s="49">
        <v>0</v>
      </c>
      <c r="AG58" s="49">
        <v>0</v>
      </c>
      <c r="AH58" s="49">
        <v>0</v>
      </c>
      <c r="AI58" s="87">
        <v>0</v>
      </c>
      <c r="AJ58" s="49">
        <v>0</v>
      </c>
      <c r="AK58" s="49">
        <v>0</v>
      </c>
      <c r="AL58" s="49">
        <v>0</v>
      </c>
      <c r="AM58" s="49">
        <v>0</v>
      </c>
      <c r="AN58" s="87">
        <f t="shared" si="8"/>
        <v>36173</v>
      </c>
    </row>
    <row r="59" spans="1:41" ht="42" customHeight="1" x14ac:dyDescent="0.2">
      <c r="A59" s="173">
        <v>41</v>
      </c>
      <c r="B59" s="172" t="s">
        <v>66</v>
      </c>
      <c r="C59" s="172" t="s">
        <v>140</v>
      </c>
      <c r="D59" s="91" t="s">
        <v>40</v>
      </c>
      <c r="E59" s="84">
        <f t="shared" si="9"/>
        <v>0</v>
      </c>
      <c r="F59" s="86">
        <v>0</v>
      </c>
      <c r="G59" s="86">
        <v>0</v>
      </c>
      <c r="H59" s="86">
        <v>0</v>
      </c>
      <c r="I59" s="86">
        <v>0</v>
      </c>
      <c r="J59" s="84">
        <f t="shared" si="11"/>
        <v>2277</v>
      </c>
      <c r="K59" s="86">
        <v>2277</v>
      </c>
      <c r="L59" s="86">
        <v>0</v>
      </c>
      <c r="M59" s="86">
        <v>0</v>
      </c>
      <c r="N59" s="86">
        <v>0</v>
      </c>
      <c r="O59" s="84">
        <f t="shared" si="10"/>
        <v>5681</v>
      </c>
      <c r="P59" s="86">
        <f>3431+4534-2277-4-3</f>
        <v>5681</v>
      </c>
      <c r="Q59" s="86">
        <v>0</v>
      </c>
      <c r="R59" s="86">
        <v>0</v>
      </c>
      <c r="S59" s="86">
        <v>0</v>
      </c>
      <c r="T59" s="84">
        <f>U59+V59+W59+X59</f>
        <v>5709.3</v>
      </c>
      <c r="U59" s="86">
        <v>5709.3</v>
      </c>
      <c r="V59" s="86">
        <v>0</v>
      </c>
      <c r="W59" s="86">
        <v>0</v>
      </c>
      <c r="X59" s="86">
        <v>0</v>
      </c>
      <c r="Y59" s="94">
        <f>Z59+AA59+AB59+AC59</f>
        <v>12634.7</v>
      </c>
      <c r="Z59" s="86">
        <f>12634+0.7</f>
        <v>12634.7</v>
      </c>
      <c r="AA59" s="86">
        <v>0</v>
      </c>
      <c r="AB59" s="86">
        <v>0</v>
      </c>
      <c r="AC59" s="86">
        <v>0</v>
      </c>
      <c r="AD59" s="87">
        <f>AE59+AF59+AG59+AH59</f>
        <v>10536</v>
      </c>
      <c r="AE59" s="49">
        <v>10536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87">
        <f t="shared" si="8"/>
        <v>36838</v>
      </c>
    </row>
    <row r="60" spans="1:41" ht="121.15" customHeight="1" x14ac:dyDescent="0.2">
      <c r="A60" s="173"/>
      <c r="B60" s="172"/>
      <c r="C60" s="172"/>
      <c r="D60" s="88" t="s">
        <v>109</v>
      </c>
      <c r="E60" s="86">
        <v>0</v>
      </c>
      <c r="F60" s="86">
        <v>0</v>
      </c>
      <c r="G60" s="86">
        <v>0</v>
      </c>
      <c r="H60" s="86">
        <v>0</v>
      </c>
      <c r="I60" s="86">
        <v>0</v>
      </c>
      <c r="J60" s="86">
        <v>0</v>
      </c>
      <c r="K60" s="86">
        <v>0</v>
      </c>
      <c r="L60" s="86">
        <v>0</v>
      </c>
      <c r="M60" s="86">
        <v>0</v>
      </c>
      <c r="N60" s="86">
        <v>0</v>
      </c>
      <c r="O60" s="84">
        <f>P60+Q60+R60+S60</f>
        <v>2277</v>
      </c>
      <c r="P60" s="86">
        <v>2277</v>
      </c>
      <c r="Q60" s="86">
        <v>0</v>
      </c>
      <c r="R60" s="86">
        <v>0</v>
      </c>
      <c r="S60" s="86">
        <v>0</v>
      </c>
      <c r="T60" s="86">
        <v>0</v>
      </c>
      <c r="U60" s="86">
        <v>0</v>
      </c>
      <c r="V60" s="86">
        <v>0</v>
      </c>
      <c r="W60" s="86">
        <v>0</v>
      </c>
      <c r="X60" s="86">
        <v>0</v>
      </c>
      <c r="Y60" s="86">
        <v>0</v>
      </c>
      <c r="Z60" s="86">
        <v>0</v>
      </c>
      <c r="AA60" s="86">
        <v>0</v>
      </c>
      <c r="AB60" s="86">
        <v>0</v>
      </c>
      <c r="AC60" s="86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87">
        <v>0</v>
      </c>
      <c r="AJ60" s="49">
        <v>0</v>
      </c>
      <c r="AK60" s="49">
        <v>0</v>
      </c>
      <c r="AL60" s="49">
        <v>0</v>
      </c>
      <c r="AM60" s="49">
        <v>0</v>
      </c>
      <c r="AN60" s="87">
        <f t="shared" ref="AN60" si="13">SUM(E60,J60,O60,T60,Y60,AD60,AI60)</f>
        <v>2277</v>
      </c>
    </row>
    <row r="61" spans="1:41" ht="102" customHeight="1" x14ac:dyDescent="0.2">
      <c r="A61" s="144">
        <v>42</v>
      </c>
      <c r="B61" s="143" t="s">
        <v>8</v>
      </c>
      <c r="C61" s="143" t="s">
        <v>132</v>
      </c>
      <c r="D61" s="143">
        <v>2020</v>
      </c>
      <c r="E61" s="84">
        <f>SUM(F61:G61)</f>
        <v>0</v>
      </c>
      <c r="F61" s="86">
        <v>0</v>
      </c>
      <c r="G61" s="86">
        <v>0</v>
      </c>
      <c r="H61" s="86">
        <v>0</v>
      </c>
      <c r="I61" s="86">
        <v>0</v>
      </c>
      <c r="J61" s="84">
        <f>SUM(K61:L61)</f>
        <v>0</v>
      </c>
      <c r="K61" s="86">
        <v>0</v>
      </c>
      <c r="L61" s="86">
        <v>0</v>
      </c>
      <c r="M61" s="86">
        <v>0</v>
      </c>
      <c r="N61" s="86">
        <v>0</v>
      </c>
      <c r="O61" s="84">
        <f>SUM(P61:Q61)</f>
        <v>0</v>
      </c>
      <c r="P61" s="86">
        <v>0</v>
      </c>
      <c r="Q61" s="86">
        <v>0</v>
      </c>
      <c r="R61" s="86">
        <v>0</v>
      </c>
      <c r="S61" s="86">
        <v>0</v>
      </c>
      <c r="T61" s="84">
        <v>0</v>
      </c>
      <c r="U61" s="86">
        <v>0</v>
      </c>
      <c r="V61" s="86">
        <v>0</v>
      </c>
      <c r="W61" s="86">
        <v>0</v>
      </c>
      <c r="X61" s="86">
        <v>0</v>
      </c>
      <c r="Y61" s="84">
        <v>0</v>
      </c>
      <c r="Z61" s="86">
        <v>0</v>
      </c>
      <c r="AA61" s="86">
        <v>0</v>
      </c>
      <c r="AB61" s="86">
        <v>0</v>
      </c>
      <c r="AC61" s="86">
        <v>0</v>
      </c>
      <c r="AD61" s="87">
        <v>0</v>
      </c>
      <c r="AE61" s="49">
        <v>0</v>
      </c>
      <c r="AF61" s="49">
        <v>0</v>
      </c>
      <c r="AG61" s="49">
        <v>0</v>
      </c>
      <c r="AH61" s="49">
        <v>0</v>
      </c>
      <c r="AI61" s="87">
        <v>0</v>
      </c>
      <c r="AJ61" s="49">
        <v>0</v>
      </c>
      <c r="AK61" s="49">
        <v>0</v>
      </c>
      <c r="AL61" s="49">
        <v>0</v>
      </c>
      <c r="AM61" s="49">
        <v>0</v>
      </c>
      <c r="AN61" s="87">
        <f>SUM(E61,J61,O61,T61,Y61,AD61,AI61)</f>
        <v>0</v>
      </c>
    </row>
    <row r="62" spans="1:41" ht="42" customHeight="1" x14ac:dyDescent="0.2">
      <c r="A62" s="187" t="s">
        <v>76</v>
      </c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</row>
    <row r="63" spans="1:41" ht="96" customHeight="1" x14ac:dyDescent="0.2">
      <c r="A63" s="144">
        <v>43</v>
      </c>
      <c r="B63" s="143" t="s">
        <v>2</v>
      </c>
      <c r="C63" s="143" t="s">
        <v>141</v>
      </c>
      <c r="D63" s="143">
        <v>2020</v>
      </c>
      <c r="E63" s="87">
        <f>SUM(F63:G63)</f>
        <v>0</v>
      </c>
      <c r="F63" s="49">
        <v>0</v>
      </c>
      <c r="G63" s="49">
        <v>0</v>
      </c>
      <c r="H63" s="49">
        <v>0</v>
      </c>
      <c r="I63" s="49">
        <v>0</v>
      </c>
      <c r="J63" s="87">
        <v>0</v>
      </c>
      <c r="K63" s="49">
        <v>0</v>
      </c>
      <c r="L63" s="49">
        <v>0</v>
      </c>
      <c r="M63" s="49">
        <v>0</v>
      </c>
      <c r="N63" s="49">
        <v>0</v>
      </c>
      <c r="O63" s="87">
        <v>0</v>
      </c>
      <c r="P63" s="49">
        <v>0</v>
      </c>
      <c r="Q63" s="49">
        <v>0</v>
      </c>
      <c r="R63" s="49">
        <v>0</v>
      </c>
      <c r="S63" s="49">
        <v>0</v>
      </c>
      <c r="T63" s="87">
        <v>0</v>
      </c>
      <c r="U63" s="49">
        <v>0</v>
      </c>
      <c r="V63" s="49">
        <v>0</v>
      </c>
      <c r="W63" s="49">
        <v>0</v>
      </c>
      <c r="X63" s="49">
        <v>0</v>
      </c>
      <c r="Y63" s="87">
        <v>0</v>
      </c>
      <c r="Z63" s="49">
        <v>0</v>
      </c>
      <c r="AA63" s="49">
        <v>0</v>
      </c>
      <c r="AB63" s="49">
        <v>0</v>
      </c>
      <c r="AC63" s="49">
        <v>0</v>
      </c>
      <c r="AD63" s="87">
        <v>0</v>
      </c>
      <c r="AE63" s="49">
        <v>0</v>
      </c>
      <c r="AF63" s="49">
        <v>0</v>
      </c>
      <c r="AG63" s="49">
        <v>0</v>
      </c>
      <c r="AH63" s="49">
        <v>0</v>
      </c>
      <c r="AI63" s="87">
        <v>0</v>
      </c>
      <c r="AJ63" s="49">
        <v>0</v>
      </c>
      <c r="AK63" s="49">
        <v>0</v>
      </c>
      <c r="AL63" s="49">
        <v>0</v>
      </c>
      <c r="AM63" s="49">
        <v>0</v>
      </c>
      <c r="AN63" s="87">
        <f>SUM(E63,J63,O63,T63,Y63,AD63,AI63)</f>
        <v>0</v>
      </c>
    </row>
    <row r="64" spans="1:41" ht="42" customHeight="1" x14ac:dyDescent="0.2">
      <c r="A64" s="187" t="s">
        <v>83</v>
      </c>
      <c r="B64" s="187"/>
      <c r="C64" s="187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  <c r="AA64" s="187"/>
      <c r="AB64" s="187"/>
      <c r="AC64" s="187"/>
      <c r="AD64" s="187"/>
      <c r="AE64" s="187"/>
      <c r="AF64" s="187"/>
      <c r="AG64" s="187"/>
      <c r="AH64" s="187"/>
      <c r="AI64" s="187"/>
      <c r="AJ64" s="187"/>
      <c r="AK64" s="187"/>
      <c r="AL64" s="187"/>
      <c r="AM64" s="187"/>
      <c r="AN64" s="187"/>
    </row>
    <row r="65" spans="1:42" ht="42" customHeight="1" x14ac:dyDescent="0.2">
      <c r="A65" s="173">
        <v>44</v>
      </c>
      <c r="B65" s="189" t="s">
        <v>44</v>
      </c>
      <c r="C65" s="189" t="s">
        <v>124</v>
      </c>
      <c r="D65" s="88" t="s">
        <v>40</v>
      </c>
      <c r="E65" s="84">
        <f>SUM(F65:G65)</f>
        <v>0</v>
      </c>
      <c r="F65" s="86">
        <v>0</v>
      </c>
      <c r="G65" s="86">
        <v>0</v>
      </c>
      <c r="H65" s="86">
        <v>0</v>
      </c>
      <c r="I65" s="86">
        <v>0</v>
      </c>
      <c r="J65" s="84">
        <f>K65+L65+M65+N65</f>
        <v>23833</v>
      </c>
      <c r="K65" s="86">
        <v>23833</v>
      </c>
      <c r="L65" s="86">
        <v>0</v>
      </c>
      <c r="M65" s="86">
        <v>0</v>
      </c>
      <c r="N65" s="86">
        <v>0</v>
      </c>
      <c r="O65" s="84">
        <f>P65+Q65+R65+S65</f>
        <v>23147</v>
      </c>
      <c r="P65" s="86">
        <f>24313-1870-66+210+585-25</f>
        <v>23147</v>
      </c>
      <c r="Q65" s="86">
        <v>0</v>
      </c>
      <c r="R65" s="86">
        <v>0</v>
      </c>
      <c r="S65" s="86">
        <v>0</v>
      </c>
      <c r="T65" s="84">
        <f>25026-258</f>
        <v>24768</v>
      </c>
      <c r="U65" s="86">
        <f>25026-258</f>
        <v>24768</v>
      </c>
      <c r="V65" s="86">
        <v>0</v>
      </c>
      <c r="W65" s="86">
        <v>0</v>
      </c>
      <c r="X65" s="86">
        <v>0</v>
      </c>
      <c r="Y65" s="86">
        <v>26662.3</v>
      </c>
      <c r="Z65" s="86">
        <v>26662.3</v>
      </c>
      <c r="AA65" s="86">
        <v>0</v>
      </c>
      <c r="AB65" s="86">
        <v>0</v>
      </c>
      <c r="AC65" s="86">
        <v>0</v>
      </c>
      <c r="AD65" s="87">
        <f>26400</f>
        <v>26400</v>
      </c>
      <c r="AE65" s="49">
        <f>26400</f>
        <v>26400</v>
      </c>
      <c r="AF65" s="49">
        <v>0</v>
      </c>
      <c r="AG65" s="49">
        <v>0</v>
      </c>
      <c r="AH65" s="49">
        <v>0</v>
      </c>
      <c r="AI65" s="87">
        <v>25830</v>
      </c>
      <c r="AJ65" s="49">
        <v>25830</v>
      </c>
      <c r="AK65" s="49">
        <v>0</v>
      </c>
      <c r="AL65" s="49">
        <v>0</v>
      </c>
      <c r="AM65" s="49">
        <v>0</v>
      </c>
      <c r="AN65" s="87">
        <f>SUM(E65,J65,O65,T65,Y65,AD65,AI65)</f>
        <v>150640.29999999999</v>
      </c>
    </row>
    <row r="66" spans="1:42" ht="85.15" customHeight="1" x14ac:dyDescent="0.2">
      <c r="A66" s="173"/>
      <c r="B66" s="189"/>
      <c r="C66" s="189"/>
      <c r="D66" s="88" t="s">
        <v>109</v>
      </c>
      <c r="E66" s="86">
        <v>0</v>
      </c>
      <c r="F66" s="86">
        <v>0</v>
      </c>
      <c r="G66" s="86">
        <v>0</v>
      </c>
      <c r="H66" s="86">
        <v>0</v>
      </c>
      <c r="I66" s="86">
        <v>0</v>
      </c>
      <c r="J66" s="86">
        <v>0</v>
      </c>
      <c r="K66" s="86">
        <v>0</v>
      </c>
      <c r="L66" s="86">
        <v>0</v>
      </c>
      <c r="M66" s="86">
        <v>0</v>
      </c>
      <c r="N66" s="86">
        <v>0</v>
      </c>
      <c r="O66" s="84">
        <f>P66+Q66+R66+S66</f>
        <v>1870</v>
      </c>
      <c r="P66" s="86">
        <v>1870</v>
      </c>
      <c r="Q66" s="86">
        <v>0</v>
      </c>
      <c r="R66" s="86">
        <v>0</v>
      </c>
      <c r="S66" s="86">
        <v>0</v>
      </c>
      <c r="T66" s="86">
        <v>0</v>
      </c>
      <c r="U66" s="86">
        <v>0</v>
      </c>
      <c r="V66" s="86">
        <v>0</v>
      </c>
      <c r="W66" s="86">
        <v>0</v>
      </c>
      <c r="X66" s="86">
        <v>0</v>
      </c>
      <c r="Y66" s="86">
        <v>0</v>
      </c>
      <c r="Z66" s="86">
        <v>0</v>
      </c>
      <c r="AA66" s="86">
        <v>0</v>
      </c>
      <c r="AB66" s="86">
        <v>0</v>
      </c>
      <c r="AC66" s="86">
        <v>0</v>
      </c>
      <c r="AD66" s="49">
        <v>0</v>
      </c>
      <c r="AE66" s="49">
        <v>0</v>
      </c>
      <c r="AF66" s="49">
        <v>0</v>
      </c>
      <c r="AG66" s="49">
        <v>0</v>
      </c>
      <c r="AH66" s="49">
        <v>0</v>
      </c>
      <c r="AI66" s="87">
        <v>0</v>
      </c>
      <c r="AJ66" s="49">
        <v>0</v>
      </c>
      <c r="AK66" s="49">
        <v>0</v>
      </c>
      <c r="AL66" s="49">
        <v>0</v>
      </c>
      <c r="AM66" s="49">
        <v>0</v>
      </c>
      <c r="AN66" s="87">
        <f>SUM(E66,J66,O66,T66,Y66,AD66,AI66)</f>
        <v>1870</v>
      </c>
    </row>
    <row r="67" spans="1:42" s="12" customFormat="1" ht="42" customHeight="1" x14ac:dyDescent="0.2">
      <c r="A67" s="190" t="s">
        <v>102</v>
      </c>
      <c r="B67" s="190"/>
      <c r="C67" s="190"/>
      <c r="D67" s="95"/>
      <c r="E67" s="92">
        <f>SUM(E13:E63)</f>
        <v>34257</v>
      </c>
      <c r="F67" s="92">
        <f>SUM(F13:F63)</f>
        <v>34257</v>
      </c>
      <c r="G67" s="92">
        <f>SUM(G13:G61)</f>
        <v>0</v>
      </c>
      <c r="H67" s="92">
        <f>SUM(H13:H61)</f>
        <v>0</v>
      </c>
      <c r="I67" s="92">
        <f>SUM(I13:I61)</f>
        <v>0</v>
      </c>
      <c r="J67" s="92">
        <f t="shared" ref="J67:K67" si="14">J69-J68</f>
        <v>64807.6</v>
      </c>
      <c r="K67" s="92">
        <f t="shared" si="14"/>
        <v>64807.6</v>
      </c>
      <c r="L67" s="92">
        <f>SUM(L13:L61)</f>
        <v>0</v>
      </c>
      <c r="M67" s="92">
        <f>SUM(M13:M61)</f>
        <v>0</v>
      </c>
      <c r="N67" s="92">
        <f>SUM(N13:N61)</f>
        <v>0</v>
      </c>
      <c r="O67" s="92">
        <f>O69-O68</f>
        <v>82895</v>
      </c>
      <c r="P67" s="92">
        <f>P69-P68</f>
        <v>82895</v>
      </c>
      <c r="Q67" s="92">
        <f>SUM(Q13:Q61)</f>
        <v>0</v>
      </c>
      <c r="R67" s="92">
        <f>SUM(R13:R61)</f>
        <v>0</v>
      </c>
      <c r="S67" s="92">
        <f>SUM(S13:S61)</f>
        <v>0</v>
      </c>
      <c r="T67" s="92">
        <f t="shared" ref="T67:U67" si="15">T69-T68</f>
        <v>156994.94999999998</v>
      </c>
      <c r="U67" s="92">
        <f t="shared" si="15"/>
        <v>156994.94999999998</v>
      </c>
      <c r="V67" s="92">
        <f>SUM(V13:V61)</f>
        <v>0</v>
      </c>
      <c r="W67" s="92">
        <f>SUM(W13:W61)</f>
        <v>0</v>
      </c>
      <c r="X67" s="92">
        <f>SUM(X13:X61)</f>
        <v>0</v>
      </c>
      <c r="Y67" s="92">
        <f t="shared" ref="Y67:Z67" si="16">Y69-Y68</f>
        <v>119138</v>
      </c>
      <c r="Z67" s="92">
        <f t="shared" si="16"/>
        <v>119138</v>
      </c>
      <c r="AA67" s="92">
        <f>SUM(AA13:AA61)</f>
        <v>0</v>
      </c>
      <c r="AB67" s="92">
        <f>SUM(AB13:AB61)</f>
        <v>0</v>
      </c>
      <c r="AC67" s="92">
        <f>SUM(AC13:AC61)</f>
        <v>0</v>
      </c>
      <c r="AD67" s="92">
        <f t="shared" ref="AD67:AF67" si="17">AD69-AD68</f>
        <v>100902</v>
      </c>
      <c r="AE67" s="92">
        <f t="shared" si="17"/>
        <v>100902</v>
      </c>
      <c r="AF67" s="92">
        <f t="shared" si="17"/>
        <v>0</v>
      </c>
      <c r="AG67" s="92">
        <f>SUM(AG13:AG61)</f>
        <v>0</v>
      </c>
      <c r="AH67" s="92">
        <f>SUM(AH13:AH61)</f>
        <v>0</v>
      </c>
      <c r="AI67" s="92">
        <f t="shared" ref="AI67:AK67" si="18">AI69-AI68</f>
        <v>117968</v>
      </c>
      <c r="AJ67" s="92">
        <f t="shared" si="18"/>
        <v>117968</v>
      </c>
      <c r="AK67" s="92">
        <f t="shared" si="18"/>
        <v>0</v>
      </c>
      <c r="AL67" s="92">
        <f>SUM(AL13:AL63)</f>
        <v>0</v>
      </c>
      <c r="AM67" s="92">
        <f>SUM(AM13:AM63)</f>
        <v>0</v>
      </c>
      <c r="AN67" s="92">
        <f>SUM(AN15:AN66)-AN68</f>
        <v>676962.55</v>
      </c>
      <c r="AO67" s="131"/>
    </row>
    <row r="68" spans="1:42" ht="42" customHeight="1" x14ac:dyDescent="0.2">
      <c r="A68" s="187" t="s">
        <v>101</v>
      </c>
      <c r="B68" s="187"/>
      <c r="C68" s="187"/>
      <c r="D68" s="88"/>
      <c r="E68" s="86">
        <v>0</v>
      </c>
      <c r="F68" s="86">
        <v>0</v>
      </c>
      <c r="G68" s="86">
        <v>0</v>
      </c>
      <c r="H68" s="86">
        <v>0</v>
      </c>
      <c r="I68" s="86">
        <v>0</v>
      </c>
      <c r="J68" s="86">
        <v>0</v>
      </c>
      <c r="K68" s="86">
        <v>0</v>
      </c>
      <c r="L68" s="86">
        <v>0</v>
      </c>
      <c r="M68" s="86">
        <v>0</v>
      </c>
      <c r="N68" s="86">
        <v>0</v>
      </c>
      <c r="O68" s="84">
        <f>P68+Q68+R68+S68</f>
        <v>9256</v>
      </c>
      <c r="P68" s="84">
        <f>P66+P60+P29+P27</f>
        <v>9256</v>
      </c>
      <c r="Q68" s="86">
        <v>0</v>
      </c>
      <c r="R68" s="86">
        <v>0</v>
      </c>
      <c r="S68" s="86">
        <v>0</v>
      </c>
      <c r="T68" s="86">
        <v>0</v>
      </c>
      <c r="U68" s="86">
        <v>0</v>
      </c>
      <c r="V68" s="86">
        <v>0</v>
      </c>
      <c r="W68" s="86">
        <v>0</v>
      </c>
      <c r="X68" s="86">
        <v>0</v>
      </c>
      <c r="Y68" s="86">
        <v>0</v>
      </c>
      <c r="Z68" s="86">
        <v>0</v>
      </c>
      <c r="AA68" s="86">
        <v>0</v>
      </c>
      <c r="AB68" s="86">
        <v>0</v>
      </c>
      <c r="AC68" s="86">
        <v>0</v>
      </c>
      <c r="AD68" s="49">
        <v>0</v>
      </c>
      <c r="AE68" s="49">
        <v>0</v>
      </c>
      <c r="AF68" s="49">
        <v>0</v>
      </c>
      <c r="AG68" s="49">
        <v>0</v>
      </c>
      <c r="AH68" s="49">
        <v>0</v>
      </c>
      <c r="AI68" s="87">
        <v>0</v>
      </c>
      <c r="AJ68" s="49">
        <v>0</v>
      </c>
      <c r="AK68" s="49">
        <v>0</v>
      </c>
      <c r="AL68" s="49">
        <v>0</v>
      </c>
      <c r="AM68" s="49">
        <v>0</v>
      </c>
      <c r="AN68" s="87">
        <f>AN66+AN60+AN29+AN27</f>
        <v>9256</v>
      </c>
    </row>
    <row r="69" spans="1:42" s="12" customFormat="1" ht="42" customHeight="1" x14ac:dyDescent="0.2">
      <c r="A69" s="190" t="s">
        <v>103</v>
      </c>
      <c r="B69" s="190"/>
      <c r="C69" s="190"/>
      <c r="D69" s="95"/>
      <c r="E69" s="92">
        <f>F69+G69+H69+I69</f>
        <v>34257</v>
      </c>
      <c r="F69" s="92">
        <f>SUM(F15:F65)</f>
        <v>34257</v>
      </c>
      <c r="G69" s="92">
        <f>SUM(G15:G63)</f>
        <v>0</v>
      </c>
      <c r="H69" s="92">
        <f>SUM(H15:H63)</f>
        <v>0</v>
      </c>
      <c r="I69" s="92">
        <f>SUM(I15:I63)</f>
        <v>0</v>
      </c>
      <c r="J69" s="92">
        <f>K69+L69+M69+N69</f>
        <v>64807.6</v>
      </c>
      <c r="K69" s="92">
        <f>SUM(K15:K65)</f>
        <v>64807.6</v>
      </c>
      <c r="L69" s="92">
        <f>SUM(L15:L63)</f>
        <v>0</v>
      </c>
      <c r="M69" s="92">
        <f>SUM(M15:M63)</f>
        <v>0</v>
      </c>
      <c r="N69" s="92">
        <f>SUM(N15:N63)</f>
        <v>0</v>
      </c>
      <c r="O69" s="92">
        <f>P69+Q69+R69+S69</f>
        <v>92151</v>
      </c>
      <c r="P69" s="92">
        <f>SUM(P15:P66)</f>
        <v>92151</v>
      </c>
      <c r="Q69" s="92">
        <f>SUM(Q15:Q63)</f>
        <v>0</v>
      </c>
      <c r="R69" s="92">
        <f>SUM(R15:R63)</f>
        <v>0</v>
      </c>
      <c r="S69" s="92">
        <f>SUM(S15:S63)</f>
        <v>0</v>
      </c>
      <c r="T69" s="92">
        <f>U69+V69+W69+X69</f>
        <v>156994.94999999998</v>
      </c>
      <c r="U69" s="92">
        <f>U65+U59+U58+U55+U51+U50+U49+U46+U28+U26+U24+U23+U22+U21+U19</f>
        <v>156994.94999999998</v>
      </c>
      <c r="V69" s="92">
        <f>SUM(V15:V63)</f>
        <v>0</v>
      </c>
      <c r="W69" s="92">
        <f>SUM(W15:W63)</f>
        <v>0</v>
      </c>
      <c r="X69" s="92">
        <f>SUM(X15:X63)</f>
        <v>0</v>
      </c>
      <c r="Y69" s="92">
        <f>Z69+AA69+AB69+AC69</f>
        <v>119138</v>
      </c>
      <c r="Z69" s="92">
        <f>SUM(Z15:Z65)</f>
        <v>119138</v>
      </c>
      <c r="AA69" s="92">
        <f>SUM(AA15:AA63)</f>
        <v>0</v>
      </c>
      <c r="AB69" s="92">
        <f>SUM(AB15:AB63)</f>
        <v>0</v>
      </c>
      <c r="AC69" s="92">
        <f>SUM(AC15:AC63)</f>
        <v>0</v>
      </c>
      <c r="AD69" s="92">
        <f>AE69+AF69+AG69+AH69</f>
        <v>100902</v>
      </c>
      <c r="AE69" s="92">
        <f>SUM(AE15:AE65)</f>
        <v>100902</v>
      </c>
      <c r="AF69" s="92">
        <f>SUM(AF15:AF65)</f>
        <v>0</v>
      </c>
      <c r="AG69" s="92">
        <f>SUM(AG15:AG63)</f>
        <v>0</v>
      </c>
      <c r="AH69" s="92">
        <f>SUM(AH15:AH63)</f>
        <v>0</v>
      </c>
      <c r="AI69" s="92">
        <f>AJ69+AK69+AL69+AM69</f>
        <v>117968</v>
      </c>
      <c r="AJ69" s="92">
        <f>SUM(AJ15:AJ65)</f>
        <v>117968</v>
      </c>
      <c r="AK69" s="92">
        <f>SUM(AK15:AK65)</f>
        <v>0</v>
      </c>
      <c r="AL69" s="92">
        <f>SUM(AL15:AL65)</f>
        <v>0</v>
      </c>
      <c r="AM69" s="92">
        <f>SUM(AM15:AM65)</f>
        <v>0</v>
      </c>
      <c r="AN69" s="92" t="s">
        <v>108</v>
      </c>
      <c r="AO69" s="132"/>
    </row>
    <row r="70" spans="1:42" s="10" customFormat="1" ht="42" customHeight="1" x14ac:dyDescent="0.25">
      <c r="A70" s="185" t="s">
        <v>77</v>
      </c>
      <c r="B70" s="186"/>
      <c r="C70" s="186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6"/>
      <c r="U70" s="186"/>
      <c r="V70" s="186"/>
      <c r="W70" s="186"/>
      <c r="X70" s="186"/>
      <c r="Y70" s="186"/>
      <c r="Z70" s="186"/>
      <c r="AA70" s="186"/>
      <c r="AB70" s="186"/>
      <c r="AC70" s="186"/>
      <c r="AD70" s="186"/>
      <c r="AE70" s="186"/>
      <c r="AF70" s="186"/>
      <c r="AG70" s="186"/>
      <c r="AH70" s="186"/>
      <c r="AI70" s="186"/>
      <c r="AJ70" s="186"/>
      <c r="AK70" s="186"/>
      <c r="AL70" s="186"/>
      <c r="AM70" s="186"/>
      <c r="AN70" s="186"/>
      <c r="AO70" s="130"/>
    </row>
    <row r="71" spans="1:42" s="10" customFormat="1" ht="42" customHeight="1" x14ac:dyDescent="0.25">
      <c r="A71" s="184" t="s">
        <v>115</v>
      </c>
      <c r="B71" s="172"/>
      <c r="C71" s="172"/>
      <c r="D71" s="172"/>
      <c r="E71" s="172"/>
      <c r="F71" s="172"/>
      <c r="G71" s="172"/>
      <c r="H71" s="172"/>
      <c r="I71" s="172"/>
      <c r="J71" s="172"/>
      <c r="K71" s="172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30"/>
    </row>
    <row r="72" spans="1:42" s="10" customFormat="1" ht="42" customHeight="1" x14ac:dyDescent="0.25">
      <c r="A72" s="185" t="s">
        <v>86</v>
      </c>
      <c r="B72" s="186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  <c r="Z72" s="186"/>
      <c r="AA72" s="186"/>
      <c r="AB72" s="186"/>
      <c r="AC72" s="186"/>
      <c r="AD72" s="186"/>
      <c r="AE72" s="186"/>
      <c r="AF72" s="186"/>
      <c r="AG72" s="186"/>
      <c r="AH72" s="186"/>
      <c r="AI72" s="186"/>
      <c r="AJ72" s="186"/>
      <c r="AK72" s="186"/>
      <c r="AL72" s="186"/>
      <c r="AM72" s="186"/>
      <c r="AN72" s="186"/>
      <c r="AO72" s="130"/>
    </row>
    <row r="73" spans="1:42" s="10" customFormat="1" ht="42" customHeight="1" x14ac:dyDescent="0.25">
      <c r="A73" s="185" t="s">
        <v>183</v>
      </c>
      <c r="B73" s="186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6"/>
      <c r="V73" s="186"/>
      <c r="W73" s="186"/>
      <c r="X73" s="186"/>
      <c r="Y73" s="186"/>
      <c r="Z73" s="186"/>
      <c r="AA73" s="186"/>
      <c r="AB73" s="186"/>
      <c r="AC73" s="186"/>
      <c r="AD73" s="191"/>
      <c r="AE73" s="191"/>
      <c r="AF73" s="191"/>
      <c r="AG73" s="186"/>
      <c r="AH73" s="186"/>
      <c r="AI73" s="191"/>
      <c r="AJ73" s="191"/>
      <c r="AK73" s="191"/>
      <c r="AL73" s="186"/>
      <c r="AM73" s="186"/>
      <c r="AN73" s="186"/>
      <c r="AO73" s="130"/>
    </row>
    <row r="74" spans="1:42" s="9" customFormat="1" ht="111.6" customHeight="1" x14ac:dyDescent="0.2">
      <c r="A74" s="81">
        <v>45</v>
      </c>
      <c r="B74" s="96" t="s">
        <v>184</v>
      </c>
      <c r="C74" s="82" t="s">
        <v>122</v>
      </c>
      <c r="D74" s="88" t="s">
        <v>97</v>
      </c>
      <c r="E74" s="92">
        <f>F74+G74+H74+I74</f>
        <v>7461</v>
      </c>
      <c r="F74" s="97">
        <v>7461</v>
      </c>
      <c r="G74" s="97">
        <v>0</v>
      </c>
      <c r="H74" s="97">
        <v>0</v>
      </c>
      <c r="I74" s="97">
        <v>0</v>
      </c>
      <c r="J74" s="92">
        <f t="shared" ref="J74:J79" si="19">K74+L74+M74+N74</f>
        <v>879</v>
      </c>
      <c r="K74" s="97">
        <v>879</v>
      </c>
      <c r="L74" s="97">
        <v>0</v>
      </c>
      <c r="M74" s="97">
        <v>0</v>
      </c>
      <c r="N74" s="97">
        <v>0</v>
      </c>
      <c r="O74" s="98">
        <f>P74+Q74+R74+S74</f>
        <v>3900</v>
      </c>
      <c r="P74" s="97">
        <f>2139+4697-60-1218-1658</f>
        <v>3900</v>
      </c>
      <c r="Q74" s="97">
        <v>0</v>
      </c>
      <c r="R74" s="97">
        <v>0</v>
      </c>
      <c r="S74" s="97">
        <v>0</v>
      </c>
      <c r="T74" s="98">
        <f>U74+V74+W74+X74</f>
        <v>4583</v>
      </c>
      <c r="U74" s="97">
        <f>5990-704-703</f>
        <v>4583</v>
      </c>
      <c r="V74" s="97">
        <v>0</v>
      </c>
      <c r="W74" s="97">
        <v>0</v>
      </c>
      <c r="X74" s="97">
        <v>0</v>
      </c>
      <c r="Y74" s="92">
        <f t="shared" ref="Y74:Y79" si="20">Z74+AA74+AB74+AC74</f>
        <v>973</v>
      </c>
      <c r="Z74" s="97">
        <f>1105+6-138</f>
        <v>973</v>
      </c>
      <c r="AA74" s="97">
        <v>0</v>
      </c>
      <c r="AB74" s="97">
        <v>0</v>
      </c>
      <c r="AC74" s="97">
        <v>0</v>
      </c>
      <c r="AD74" s="92">
        <f>AE74+AF74+AG74+AH74</f>
        <v>0</v>
      </c>
      <c r="AE74" s="99">
        <v>0</v>
      </c>
      <c r="AF74" s="97">
        <v>0</v>
      </c>
      <c r="AG74" s="97">
        <v>0</v>
      </c>
      <c r="AH74" s="97">
        <v>0</v>
      </c>
      <c r="AI74" s="92">
        <f>AJ74</f>
        <v>619</v>
      </c>
      <c r="AJ74" s="97">
        <v>619</v>
      </c>
      <c r="AK74" s="97">
        <v>0</v>
      </c>
      <c r="AL74" s="97">
        <v>0</v>
      </c>
      <c r="AM74" s="97">
        <v>0</v>
      </c>
      <c r="AN74" s="92">
        <f>E74+J74+O74+T74+Y74+AD74+AI74</f>
        <v>18415</v>
      </c>
      <c r="AO74" s="129"/>
    </row>
    <row r="75" spans="1:42" s="9" customFormat="1" ht="132" customHeight="1" x14ac:dyDescent="0.2">
      <c r="A75" s="81">
        <v>46</v>
      </c>
      <c r="B75" s="96" t="s">
        <v>62</v>
      </c>
      <c r="C75" s="82" t="s">
        <v>122</v>
      </c>
      <c r="D75" s="82">
        <v>2020</v>
      </c>
      <c r="E75" s="92">
        <v>0</v>
      </c>
      <c r="F75" s="97">
        <v>0</v>
      </c>
      <c r="G75" s="97">
        <v>0</v>
      </c>
      <c r="H75" s="97">
        <v>0</v>
      </c>
      <c r="I75" s="97">
        <v>0</v>
      </c>
      <c r="J75" s="92">
        <f t="shared" si="19"/>
        <v>0</v>
      </c>
      <c r="K75" s="97">
        <v>0</v>
      </c>
      <c r="L75" s="97">
        <v>0</v>
      </c>
      <c r="M75" s="97">
        <v>0</v>
      </c>
      <c r="N75" s="97">
        <v>0</v>
      </c>
      <c r="O75" s="98">
        <v>0</v>
      </c>
      <c r="P75" s="97">
        <v>0</v>
      </c>
      <c r="Q75" s="97">
        <v>0</v>
      </c>
      <c r="R75" s="97">
        <v>0</v>
      </c>
      <c r="S75" s="97">
        <v>0</v>
      </c>
      <c r="T75" s="98">
        <v>0</v>
      </c>
      <c r="U75" s="97">
        <v>0</v>
      </c>
      <c r="V75" s="97">
        <v>0</v>
      </c>
      <c r="W75" s="97">
        <v>0</v>
      </c>
      <c r="X75" s="97">
        <v>0</v>
      </c>
      <c r="Y75" s="92">
        <f t="shared" si="20"/>
        <v>0</v>
      </c>
      <c r="Z75" s="97">
        <v>0</v>
      </c>
      <c r="AA75" s="97">
        <v>0</v>
      </c>
      <c r="AB75" s="97">
        <v>0</v>
      </c>
      <c r="AC75" s="97">
        <v>0</v>
      </c>
      <c r="AD75" s="98">
        <f>AE75</f>
        <v>0</v>
      </c>
      <c r="AE75" s="99">
        <v>0</v>
      </c>
      <c r="AF75" s="97">
        <v>0</v>
      </c>
      <c r="AG75" s="97">
        <v>0</v>
      </c>
      <c r="AH75" s="97">
        <v>0</v>
      </c>
      <c r="AI75" s="92">
        <f>AJ75+AK75</f>
        <v>0</v>
      </c>
      <c r="AJ75" s="97">
        <v>0</v>
      </c>
      <c r="AK75" s="97">
        <v>0</v>
      </c>
      <c r="AL75" s="97">
        <v>0</v>
      </c>
      <c r="AM75" s="97">
        <v>0</v>
      </c>
      <c r="AN75" s="92">
        <f>E75+J75+O75+T75+Y75+AD75+AI75</f>
        <v>0</v>
      </c>
      <c r="AO75" s="133"/>
    </row>
    <row r="76" spans="1:42" s="9" customFormat="1" ht="90" customHeight="1" x14ac:dyDescent="0.2">
      <c r="A76" s="81">
        <v>47</v>
      </c>
      <c r="B76" s="96" t="s">
        <v>63</v>
      </c>
      <c r="C76" s="82" t="s">
        <v>122</v>
      </c>
      <c r="D76" s="82">
        <v>2020</v>
      </c>
      <c r="E76" s="92">
        <f>F76+G76+H76+I76</f>
        <v>0</v>
      </c>
      <c r="F76" s="97">
        <v>0</v>
      </c>
      <c r="G76" s="97">
        <v>0</v>
      </c>
      <c r="H76" s="97">
        <v>0</v>
      </c>
      <c r="I76" s="97">
        <v>0</v>
      </c>
      <c r="J76" s="92">
        <f t="shared" si="19"/>
        <v>0</v>
      </c>
      <c r="K76" s="97">
        <v>0</v>
      </c>
      <c r="L76" s="97">
        <v>0</v>
      </c>
      <c r="M76" s="97">
        <v>0</v>
      </c>
      <c r="N76" s="97">
        <v>0</v>
      </c>
      <c r="O76" s="98">
        <v>0</v>
      </c>
      <c r="P76" s="97">
        <v>0</v>
      </c>
      <c r="Q76" s="97">
        <v>0</v>
      </c>
      <c r="R76" s="97">
        <v>0</v>
      </c>
      <c r="S76" s="97">
        <v>0</v>
      </c>
      <c r="T76" s="98">
        <v>0</v>
      </c>
      <c r="U76" s="97">
        <v>0</v>
      </c>
      <c r="V76" s="97">
        <v>0</v>
      </c>
      <c r="W76" s="97">
        <v>0</v>
      </c>
      <c r="X76" s="97">
        <v>0</v>
      </c>
      <c r="Y76" s="92">
        <f t="shared" si="20"/>
        <v>0</v>
      </c>
      <c r="Z76" s="97">
        <v>0</v>
      </c>
      <c r="AA76" s="97">
        <v>0</v>
      </c>
      <c r="AB76" s="97">
        <v>0</v>
      </c>
      <c r="AC76" s="97">
        <v>0</v>
      </c>
      <c r="AD76" s="92">
        <f>AE76+AF76</f>
        <v>0</v>
      </c>
      <c r="AE76" s="99">
        <v>0</v>
      </c>
      <c r="AF76" s="99">
        <v>0</v>
      </c>
      <c r="AG76" s="97">
        <v>0</v>
      </c>
      <c r="AH76" s="97">
        <v>0</v>
      </c>
      <c r="AI76" s="92">
        <f>AJ76+AK76</f>
        <v>0</v>
      </c>
      <c r="AJ76" s="97">
        <v>0</v>
      </c>
      <c r="AK76" s="97">
        <v>0</v>
      </c>
      <c r="AL76" s="97">
        <v>0</v>
      </c>
      <c r="AM76" s="97">
        <v>0</v>
      </c>
      <c r="AN76" s="92">
        <f>E76+J76+O76+T76+Y76+AD76+AI76</f>
        <v>0</v>
      </c>
      <c r="AO76" s="129"/>
    </row>
    <row r="77" spans="1:42" s="9" customFormat="1" ht="99.6" customHeight="1" x14ac:dyDescent="0.2">
      <c r="A77" s="81">
        <v>48</v>
      </c>
      <c r="B77" s="96" t="s">
        <v>64</v>
      </c>
      <c r="C77" s="82" t="s">
        <v>122</v>
      </c>
      <c r="D77" s="82">
        <v>2020</v>
      </c>
      <c r="E77" s="92">
        <f>F77+G77+H77+I77</f>
        <v>0</v>
      </c>
      <c r="F77" s="97">
        <v>0</v>
      </c>
      <c r="G77" s="97">
        <v>0</v>
      </c>
      <c r="H77" s="97">
        <v>0</v>
      </c>
      <c r="I77" s="97">
        <v>0</v>
      </c>
      <c r="J77" s="92">
        <f t="shared" si="19"/>
        <v>0</v>
      </c>
      <c r="K77" s="97">
        <v>0</v>
      </c>
      <c r="L77" s="97">
        <v>0</v>
      </c>
      <c r="M77" s="97">
        <v>0</v>
      </c>
      <c r="N77" s="97">
        <v>0</v>
      </c>
      <c r="O77" s="98">
        <v>0</v>
      </c>
      <c r="P77" s="97">
        <v>0</v>
      </c>
      <c r="Q77" s="97">
        <v>0</v>
      </c>
      <c r="R77" s="97">
        <v>0</v>
      </c>
      <c r="S77" s="97">
        <v>0</v>
      </c>
      <c r="T77" s="98">
        <v>0</v>
      </c>
      <c r="U77" s="97">
        <v>0</v>
      </c>
      <c r="V77" s="97">
        <v>0</v>
      </c>
      <c r="W77" s="97">
        <v>0</v>
      </c>
      <c r="X77" s="97">
        <v>0</v>
      </c>
      <c r="Y77" s="92">
        <f t="shared" si="20"/>
        <v>0</v>
      </c>
      <c r="Z77" s="97">
        <v>0</v>
      </c>
      <c r="AA77" s="97">
        <v>0</v>
      </c>
      <c r="AB77" s="97">
        <v>0</v>
      </c>
      <c r="AC77" s="97">
        <v>0</v>
      </c>
      <c r="AD77" s="92">
        <f>AE77+AF77</f>
        <v>0</v>
      </c>
      <c r="AE77" s="99">
        <v>0</v>
      </c>
      <c r="AF77" s="99">
        <v>0</v>
      </c>
      <c r="AG77" s="97">
        <v>0</v>
      </c>
      <c r="AH77" s="97">
        <v>0</v>
      </c>
      <c r="AI77" s="92">
        <f>AJ77+AK77</f>
        <v>0</v>
      </c>
      <c r="AJ77" s="97">
        <v>0</v>
      </c>
      <c r="AK77" s="97">
        <v>0</v>
      </c>
      <c r="AL77" s="97">
        <v>0</v>
      </c>
      <c r="AM77" s="97">
        <v>0</v>
      </c>
      <c r="AN77" s="92">
        <f>E77+J77+O77+T77+Y77+AD77+AI77</f>
        <v>0</v>
      </c>
      <c r="AO77" s="129"/>
      <c r="AP77" s="13"/>
    </row>
    <row r="78" spans="1:42" s="9" customFormat="1" ht="102" customHeight="1" x14ac:dyDescent="0.2">
      <c r="A78" s="81">
        <v>49</v>
      </c>
      <c r="B78" s="96" t="s">
        <v>65</v>
      </c>
      <c r="C78" s="82" t="s">
        <v>122</v>
      </c>
      <c r="D78" s="82">
        <v>2020</v>
      </c>
      <c r="E78" s="92">
        <f>F78+G78+H78+I78</f>
        <v>0</v>
      </c>
      <c r="F78" s="97">
        <v>0</v>
      </c>
      <c r="G78" s="97">
        <v>0</v>
      </c>
      <c r="H78" s="97">
        <v>0</v>
      </c>
      <c r="I78" s="97">
        <v>0</v>
      </c>
      <c r="J78" s="92">
        <f t="shared" si="19"/>
        <v>0</v>
      </c>
      <c r="K78" s="97">
        <v>0</v>
      </c>
      <c r="L78" s="97">
        <v>0</v>
      </c>
      <c r="M78" s="97">
        <v>0</v>
      </c>
      <c r="N78" s="97">
        <v>0</v>
      </c>
      <c r="O78" s="98">
        <v>0</v>
      </c>
      <c r="P78" s="97">
        <v>0</v>
      </c>
      <c r="Q78" s="97">
        <v>0</v>
      </c>
      <c r="R78" s="97">
        <v>0</v>
      </c>
      <c r="S78" s="97">
        <v>0</v>
      </c>
      <c r="T78" s="98">
        <v>0</v>
      </c>
      <c r="U78" s="97">
        <v>0</v>
      </c>
      <c r="V78" s="97">
        <v>0</v>
      </c>
      <c r="W78" s="97">
        <v>0</v>
      </c>
      <c r="X78" s="97">
        <v>0</v>
      </c>
      <c r="Y78" s="92">
        <f t="shared" si="20"/>
        <v>0</v>
      </c>
      <c r="Z78" s="97">
        <v>0</v>
      </c>
      <c r="AA78" s="97">
        <v>0</v>
      </c>
      <c r="AB78" s="97">
        <v>0</v>
      </c>
      <c r="AC78" s="97">
        <v>0</v>
      </c>
      <c r="AD78" s="92">
        <f>AE78+AF78</f>
        <v>0</v>
      </c>
      <c r="AE78" s="99">
        <v>0</v>
      </c>
      <c r="AF78" s="99">
        <v>0</v>
      </c>
      <c r="AG78" s="97">
        <v>0</v>
      </c>
      <c r="AH78" s="97">
        <v>0</v>
      </c>
      <c r="AI78" s="92">
        <f>AJ78+AK78</f>
        <v>0</v>
      </c>
      <c r="AJ78" s="97">
        <v>0</v>
      </c>
      <c r="AK78" s="97">
        <v>0</v>
      </c>
      <c r="AL78" s="97">
        <v>0</v>
      </c>
      <c r="AM78" s="97">
        <v>0</v>
      </c>
      <c r="AN78" s="92">
        <f>E78+J78+O78+T78+Y78+AD78+AI78</f>
        <v>0</v>
      </c>
      <c r="AO78" s="133"/>
      <c r="AP78" s="13"/>
    </row>
    <row r="79" spans="1:42" s="9" customFormat="1" ht="42" customHeight="1" x14ac:dyDescent="0.2">
      <c r="A79" s="81"/>
      <c r="B79" s="100" t="s">
        <v>32</v>
      </c>
      <c r="C79" s="82"/>
      <c r="D79" s="77"/>
      <c r="E79" s="101">
        <f>F79+G79+H79+I79</f>
        <v>7461</v>
      </c>
      <c r="F79" s="92">
        <f t="shared" ref="F79:AN79" si="21">SUM(F74:F78)</f>
        <v>7461</v>
      </c>
      <c r="G79" s="92">
        <f t="shared" si="21"/>
        <v>0</v>
      </c>
      <c r="H79" s="92">
        <f t="shared" si="21"/>
        <v>0</v>
      </c>
      <c r="I79" s="92">
        <f t="shared" si="21"/>
        <v>0</v>
      </c>
      <c r="J79" s="101">
        <f t="shared" si="19"/>
        <v>879</v>
      </c>
      <c r="K79" s="92">
        <f t="shared" si="21"/>
        <v>879</v>
      </c>
      <c r="L79" s="92">
        <f t="shared" si="21"/>
        <v>0</v>
      </c>
      <c r="M79" s="92">
        <f t="shared" si="21"/>
        <v>0</v>
      </c>
      <c r="N79" s="92">
        <f t="shared" si="21"/>
        <v>0</v>
      </c>
      <c r="O79" s="101">
        <f>P79+Q79+R79+S79</f>
        <v>3900</v>
      </c>
      <c r="P79" s="92">
        <f t="shared" si="21"/>
        <v>3900</v>
      </c>
      <c r="Q79" s="92">
        <f t="shared" si="21"/>
        <v>0</v>
      </c>
      <c r="R79" s="92">
        <f t="shared" si="21"/>
        <v>0</v>
      </c>
      <c r="S79" s="92">
        <f t="shared" si="21"/>
        <v>0</v>
      </c>
      <c r="T79" s="101">
        <f>U79+V79+W79+X79</f>
        <v>4583</v>
      </c>
      <c r="U79" s="92">
        <f t="shared" si="21"/>
        <v>4583</v>
      </c>
      <c r="V79" s="92">
        <f t="shared" si="21"/>
        <v>0</v>
      </c>
      <c r="W79" s="92">
        <f t="shared" si="21"/>
        <v>0</v>
      </c>
      <c r="X79" s="92">
        <f t="shared" si="21"/>
        <v>0</v>
      </c>
      <c r="Y79" s="101">
        <f t="shared" si="20"/>
        <v>973</v>
      </c>
      <c r="Z79" s="92">
        <f t="shared" si="21"/>
        <v>973</v>
      </c>
      <c r="AA79" s="92">
        <f t="shared" si="21"/>
        <v>0</v>
      </c>
      <c r="AB79" s="92">
        <f t="shared" si="21"/>
        <v>0</v>
      </c>
      <c r="AC79" s="92">
        <f t="shared" si="21"/>
        <v>0</v>
      </c>
      <c r="AD79" s="101">
        <f>AE79+AF79+AG79+AH79</f>
        <v>0</v>
      </c>
      <c r="AE79" s="101">
        <f t="shared" si="21"/>
        <v>0</v>
      </c>
      <c r="AF79" s="101">
        <f t="shared" si="21"/>
        <v>0</v>
      </c>
      <c r="AG79" s="92">
        <f t="shared" si="21"/>
        <v>0</v>
      </c>
      <c r="AH79" s="92">
        <f t="shared" si="21"/>
        <v>0</v>
      </c>
      <c r="AI79" s="101">
        <f>AJ79+AK79+AL79+AM79</f>
        <v>619</v>
      </c>
      <c r="AJ79" s="101">
        <f t="shared" si="21"/>
        <v>619</v>
      </c>
      <c r="AK79" s="101">
        <f t="shared" si="21"/>
        <v>0</v>
      </c>
      <c r="AL79" s="92">
        <f t="shared" si="21"/>
        <v>0</v>
      </c>
      <c r="AM79" s="92">
        <f t="shared" si="21"/>
        <v>0</v>
      </c>
      <c r="AN79" s="92">
        <f t="shared" si="21"/>
        <v>18415</v>
      </c>
      <c r="AO79" s="133"/>
    </row>
    <row r="80" spans="1:42" s="9" customFormat="1" ht="42" customHeight="1" x14ac:dyDescent="0.2">
      <c r="A80" s="185" t="s">
        <v>79</v>
      </c>
      <c r="B80" s="185"/>
      <c r="C80" s="185"/>
      <c r="D80" s="185"/>
      <c r="E80" s="185"/>
      <c r="F80" s="185"/>
      <c r="G80" s="185"/>
      <c r="H80" s="185"/>
      <c r="I80" s="185"/>
      <c r="J80" s="185"/>
      <c r="K80" s="185"/>
      <c r="L80" s="185"/>
      <c r="M80" s="185"/>
      <c r="N80" s="185"/>
      <c r="O80" s="185"/>
      <c r="P80" s="185"/>
      <c r="Q80" s="185"/>
      <c r="R80" s="185"/>
      <c r="S80" s="185"/>
      <c r="T80" s="185"/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  <c r="AF80" s="185"/>
      <c r="AG80" s="185"/>
      <c r="AH80" s="185"/>
      <c r="AI80" s="185"/>
      <c r="AJ80" s="185"/>
      <c r="AK80" s="185"/>
      <c r="AL80" s="185"/>
      <c r="AM80" s="185"/>
      <c r="AN80" s="185"/>
      <c r="AO80" s="129"/>
    </row>
    <row r="81" spans="1:41" s="9" customFormat="1" ht="42" customHeight="1" x14ac:dyDescent="0.2">
      <c r="A81" s="184" t="s">
        <v>116</v>
      </c>
      <c r="B81" s="184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  <c r="AF81" s="184"/>
      <c r="AG81" s="184"/>
      <c r="AH81" s="184"/>
      <c r="AI81" s="184"/>
      <c r="AJ81" s="184"/>
      <c r="AK81" s="184"/>
      <c r="AL81" s="184"/>
      <c r="AM81" s="184"/>
      <c r="AN81" s="184"/>
      <c r="AO81" s="129"/>
    </row>
    <row r="82" spans="1:41" s="1" customFormat="1" ht="42" customHeight="1" x14ac:dyDescent="0.2">
      <c r="A82" s="192" t="s">
        <v>87</v>
      </c>
      <c r="B82" s="192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192"/>
      <c r="AK82" s="192"/>
      <c r="AL82" s="192"/>
      <c r="AM82" s="192"/>
      <c r="AN82" s="192"/>
      <c r="AO82" s="27"/>
    </row>
    <row r="83" spans="1:41" s="1" customFormat="1" ht="42" customHeight="1" x14ac:dyDescent="0.2">
      <c r="A83" s="192" t="s">
        <v>78</v>
      </c>
      <c r="B83" s="192"/>
      <c r="C83" s="192"/>
      <c r="D83" s="192"/>
      <c r="E83" s="192"/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192"/>
      <c r="AK83" s="192"/>
      <c r="AL83" s="192"/>
      <c r="AM83" s="192"/>
      <c r="AN83" s="192"/>
      <c r="AO83" s="27"/>
    </row>
    <row r="84" spans="1:41" s="1" customFormat="1" ht="99.6" customHeight="1" x14ac:dyDescent="0.2">
      <c r="A84" s="81">
        <v>50</v>
      </c>
      <c r="B84" s="82" t="s">
        <v>57</v>
      </c>
      <c r="C84" s="82" t="s">
        <v>143</v>
      </c>
      <c r="D84" s="82" t="s">
        <v>39</v>
      </c>
      <c r="E84" s="92">
        <f>F84+G84+H84+I84</f>
        <v>0</v>
      </c>
      <c r="F84" s="102">
        <v>0</v>
      </c>
      <c r="G84" s="102">
        <v>0</v>
      </c>
      <c r="H84" s="102">
        <v>0</v>
      </c>
      <c r="I84" s="102">
        <v>0</v>
      </c>
      <c r="J84" s="92">
        <f>K84+L84+M84+N84</f>
        <v>112.5</v>
      </c>
      <c r="K84" s="102">
        <v>0</v>
      </c>
      <c r="L84" s="102">
        <v>0</v>
      </c>
      <c r="M84" s="102">
        <v>0</v>
      </c>
      <c r="N84" s="102">
        <v>112.5</v>
      </c>
      <c r="O84" s="92">
        <f>P84+Q84+R84+S84</f>
        <v>112.5</v>
      </c>
      <c r="P84" s="102">
        <v>0</v>
      </c>
      <c r="Q84" s="102">
        <v>0</v>
      </c>
      <c r="R84" s="102">
        <v>0</v>
      </c>
      <c r="S84" s="102">
        <v>112.5</v>
      </c>
      <c r="T84" s="92">
        <f>U84+V84+W84+X84</f>
        <v>112.5</v>
      </c>
      <c r="U84" s="102">
        <v>0</v>
      </c>
      <c r="V84" s="102">
        <v>0</v>
      </c>
      <c r="W84" s="102">
        <v>0</v>
      </c>
      <c r="X84" s="102">
        <v>112.5</v>
      </c>
      <c r="Y84" s="92">
        <f>Z84+AA84+AB84+AC84</f>
        <v>112.5</v>
      </c>
      <c r="Z84" s="102">
        <v>0</v>
      </c>
      <c r="AA84" s="102">
        <v>0</v>
      </c>
      <c r="AB84" s="102">
        <v>0</v>
      </c>
      <c r="AC84" s="102">
        <v>112.5</v>
      </c>
      <c r="AD84" s="92">
        <f>AE84+AF84+AG84+AH84</f>
        <v>112.5</v>
      </c>
      <c r="AE84" s="102">
        <v>0</v>
      </c>
      <c r="AF84" s="102">
        <v>0</v>
      </c>
      <c r="AG84" s="102">
        <v>0</v>
      </c>
      <c r="AH84" s="102">
        <v>112.5</v>
      </c>
      <c r="AI84" s="92">
        <f>AJ84+AK84+AL84+AM84</f>
        <v>112.5</v>
      </c>
      <c r="AJ84" s="102">
        <v>0</v>
      </c>
      <c r="AK84" s="102">
        <v>0</v>
      </c>
      <c r="AL84" s="102">
        <v>0</v>
      </c>
      <c r="AM84" s="102">
        <v>112.5</v>
      </c>
      <c r="AN84" s="92">
        <f>E84+J84+O84+T84+Y84+AD84+AI84</f>
        <v>675</v>
      </c>
      <c r="AO84" s="27"/>
    </row>
    <row r="85" spans="1:41" s="1" customFormat="1" ht="100.9" customHeight="1" x14ac:dyDescent="0.2">
      <c r="A85" s="81">
        <v>51</v>
      </c>
      <c r="B85" s="82" t="s">
        <v>33</v>
      </c>
      <c r="C85" s="82" t="s">
        <v>143</v>
      </c>
      <c r="D85" s="82">
        <v>2020</v>
      </c>
      <c r="E85" s="92">
        <f>F85+G85+H85+I85</f>
        <v>0</v>
      </c>
      <c r="F85" s="102">
        <v>0</v>
      </c>
      <c r="G85" s="102">
        <v>0</v>
      </c>
      <c r="H85" s="102">
        <v>0</v>
      </c>
      <c r="I85" s="102">
        <v>0</v>
      </c>
      <c r="J85" s="92">
        <f>K85+L85+M85+N85</f>
        <v>0</v>
      </c>
      <c r="K85" s="102">
        <v>0</v>
      </c>
      <c r="L85" s="102">
        <v>0</v>
      </c>
      <c r="M85" s="102">
        <v>0</v>
      </c>
      <c r="N85" s="102">
        <v>0</v>
      </c>
      <c r="O85" s="92">
        <f>P85+Q85+R85+S85</f>
        <v>0</v>
      </c>
      <c r="P85" s="102">
        <v>0</v>
      </c>
      <c r="Q85" s="102">
        <v>0</v>
      </c>
      <c r="R85" s="102">
        <v>0</v>
      </c>
      <c r="S85" s="102">
        <v>0</v>
      </c>
      <c r="T85" s="92">
        <f>U85+V85+W85+X85</f>
        <v>0</v>
      </c>
      <c r="U85" s="102">
        <v>0</v>
      </c>
      <c r="V85" s="102">
        <v>0</v>
      </c>
      <c r="W85" s="102">
        <v>0</v>
      </c>
      <c r="X85" s="102">
        <v>0</v>
      </c>
      <c r="Y85" s="92">
        <f>Z85+AA85+AB85+AC85</f>
        <v>0</v>
      </c>
      <c r="Z85" s="102">
        <v>0</v>
      </c>
      <c r="AA85" s="102">
        <v>0</v>
      </c>
      <c r="AB85" s="102">
        <v>0</v>
      </c>
      <c r="AC85" s="102">
        <v>0</v>
      </c>
      <c r="AD85" s="92">
        <f>AE85+AF85+AG85+AH85</f>
        <v>0</v>
      </c>
      <c r="AE85" s="102">
        <v>0</v>
      </c>
      <c r="AF85" s="102">
        <v>0</v>
      </c>
      <c r="AG85" s="102">
        <v>0</v>
      </c>
      <c r="AH85" s="102">
        <v>0</v>
      </c>
      <c r="AI85" s="92">
        <f>AJ85+AK85+AL85+AM85</f>
        <v>0</v>
      </c>
      <c r="AJ85" s="102">
        <v>0</v>
      </c>
      <c r="AK85" s="102">
        <v>0</v>
      </c>
      <c r="AL85" s="102">
        <v>0</v>
      </c>
      <c r="AM85" s="102">
        <v>0</v>
      </c>
      <c r="AN85" s="92">
        <f>E85+J85+O85+T85+Y85+AD85+AI85</f>
        <v>0</v>
      </c>
      <c r="AO85" s="27"/>
    </row>
    <row r="86" spans="1:41" s="1" customFormat="1" ht="99.6" customHeight="1" x14ac:dyDescent="0.2">
      <c r="A86" s="81">
        <v>52</v>
      </c>
      <c r="B86" s="82" t="s">
        <v>34</v>
      </c>
      <c r="C86" s="82" t="s">
        <v>143</v>
      </c>
      <c r="D86" s="82">
        <v>2020</v>
      </c>
      <c r="E86" s="99">
        <v>0</v>
      </c>
      <c r="F86" s="102">
        <v>0</v>
      </c>
      <c r="G86" s="102">
        <v>0</v>
      </c>
      <c r="H86" s="102">
        <v>0</v>
      </c>
      <c r="I86" s="102">
        <v>0</v>
      </c>
      <c r="J86" s="92">
        <f>K86+L86+M86+N86</f>
        <v>0</v>
      </c>
      <c r="K86" s="102">
        <v>0</v>
      </c>
      <c r="L86" s="102">
        <v>0</v>
      </c>
      <c r="M86" s="102">
        <v>0</v>
      </c>
      <c r="N86" s="102">
        <v>0</v>
      </c>
      <c r="O86" s="92">
        <f>P86+Q86+R86+S86</f>
        <v>0</v>
      </c>
      <c r="P86" s="102">
        <v>0</v>
      </c>
      <c r="Q86" s="102">
        <v>0</v>
      </c>
      <c r="R86" s="102">
        <v>0</v>
      </c>
      <c r="S86" s="102">
        <v>0</v>
      </c>
      <c r="T86" s="92">
        <f>U86+V86+W86+X86</f>
        <v>0</v>
      </c>
      <c r="U86" s="102">
        <v>0</v>
      </c>
      <c r="V86" s="102">
        <v>0</v>
      </c>
      <c r="W86" s="102">
        <v>0</v>
      </c>
      <c r="X86" s="102">
        <v>0</v>
      </c>
      <c r="Y86" s="92">
        <f>Z86+AA86+AB86+AC86</f>
        <v>0</v>
      </c>
      <c r="Z86" s="102">
        <v>0</v>
      </c>
      <c r="AA86" s="102">
        <v>0</v>
      </c>
      <c r="AB86" s="102">
        <v>0</v>
      </c>
      <c r="AC86" s="102">
        <v>0</v>
      </c>
      <c r="AD86" s="92">
        <f>AE86+AF86+AG86+AH86</f>
        <v>0</v>
      </c>
      <c r="AE86" s="102">
        <v>0</v>
      </c>
      <c r="AF86" s="102">
        <v>0</v>
      </c>
      <c r="AG86" s="102">
        <v>0</v>
      </c>
      <c r="AH86" s="102">
        <v>0</v>
      </c>
      <c r="AI86" s="92">
        <f>AJ86+AK86+AL86+AM86</f>
        <v>0</v>
      </c>
      <c r="AJ86" s="102">
        <v>0</v>
      </c>
      <c r="AK86" s="102">
        <v>0</v>
      </c>
      <c r="AL86" s="102">
        <v>0</v>
      </c>
      <c r="AM86" s="102">
        <v>0</v>
      </c>
      <c r="AN86" s="92">
        <f>E86+J86+O86+T86+Y86+AD86+AI86</f>
        <v>0</v>
      </c>
      <c r="AO86" s="27"/>
    </row>
    <row r="87" spans="1:41" s="1" customFormat="1" ht="99.6" customHeight="1" x14ac:dyDescent="0.2">
      <c r="A87" s="81">
        <v>53</v>
      </c>
      <c r="B87" s="82" t="s">
        <v>58</v>
      </c>
      <c r="C87" s="82" t="s">
        <v>143</v>
      </c>
      <c r="D87" s="82">
        <v>2020</v>
      </c>
      <c r="E87" s="99">
        <v>0</v>
      </c>
      <c r="F87" s="102">
        <v>0</v>
      </c>
      <c r="G87" s="102">
        <v>0</v>
      </c>
      <c r="H87" s="102">
        <v>0</v>
      </c>
      <c r="I87" s="102">
        <v>0</v>
      </c>
      <c r="J87" s="92">
        <f>K87+L87+M87+N87</f>
        <v>0</v>
      </c>
      <c r="K87" s="102">
        <v>0</v>
      </c>
      <c r="L87" s="102">
        <v>0</v>
      </c>
      <c r="M87" s="102">
        <v>0</v>
      </c>
      <c r="N87" s="102">
        <v>0</v>
      </c>
      <c r="O87" s="92">
        <f>P87+Q87+R87+S87</f>
        <v>0</v>
      </c>
      <c r="P87" s="102">
        <v>0</v>
      </c>
      <c r="Q87" s="102">
        <v>0</v>
      </c>
      <c r="R87" s="102">
        <v>0</v>
      </c>
      <c r="S87" s="102">
        <v>0</v>
      </c>
      <c r="T87" s="92">
        <f>U87+V87+W87+X87</f>
        <v>0</v>
      </c>
      <c r="U87" s="102">
        <v>0</v>
      </c>
      <c r="V87" s="102">
        <v>0</v>
      </c>
      <c r="W87" s="102">
        <v>0</v>
      </c>
      <c r="X87" s="102">
        <v>0</v>
      </c>
      <c r="Y87" s="92">
        <f>Z87+AA87+AB87+AC87</f>
        <v>0</v>
      </c>
      <c r="Z87" s="102">
        <v>0</v>
      </c>
      <c r="AA87" s="102">
        <v>0</v>
      </c>
      <c r="AB87" s="102">
        <v>0</v>
      </c>
      <c r="AC87" s="102">
        <v>0</v>
      </c>
      <c r="AD87" s="92">
        <f>AE87+AF87+AG87+AH87</f>
        <v>0</v>
      </c>
      <c r="AE87" s="102">
        <v>0</v>
      </c>
      <c r="AF87" s="102">
        <v>0</v>
      </c>
      <c r="AG87" s="102">
        <v>0</v>
      </c>
      <c r="AH87" s="102">
        <v>0</v>
      </c>
      <c r="AI87" s="92">
        <f>AJ87+AK87+AL87+AM87</f>
        <v>0</v>
      </c>
      <c r="AJ87" s="102">
        <v>0</v>
      </c>
      <c r="AK87" s="102">
        <v>0</v>
      </c>
      <c r="AL87" s="102">
        <v>0</v>
      </c>
      <c r="AM87" s="102">
        <v>0</v>
      </c>
      <c r="AN87" s="92">
        <f>E87+J87+O87+T87+Y87+AD87+AI87</f>
        <v>0</v>
      </c>
      <c r="AO87" s="27"/>
    </row>
    <row r="88" spans="1:41" s="1" customFormat="1" ht="127.15" customHeight="1" x14ac:dyDescent="0.2">
      <c r="A88" s="81">
        <v>54</v>
      </c>
      <c r="B88" s="82" t="s">
        <v>43</v>
      </c>
      <c r="C88" s="82" t="s">
        <v>143</v>
      </c>
      <c r="D88" s="82">
        <v>2014</v>
      </c>
      <c r="E88" s="92">
        <f>F88+G88+H88+I88</f>
        <v>2002</v>
      </c>
      <c r="F88" s="102">
        <v>1001</v>
      </c>
      <c r="G88" s="102">
        <v>545</v>
      </c>
      <c r="H88" s="102">
        <v>456</v>
      </c>
      <c r="I88" s="102">
        <v>0</v>
      </c>
      <c r="J88" s="92">
        <v>0</v>
      </c>
      <c r="K88" s="102">
        <v>0</v>
      </c>
      <c r="L88" s="102">
        <v>0</v>
      </c>
      <c r="M88" s="102">
        <v>0</v>
      </c>
      <c r="N88" s="102">
        <v>0</v>
      </c>
      <c r="O88" s="92">
        <v>0</v>
      </c>
      <c r="P88" s="102">
        <v>0</v>
      </c>
      <c r="Q88" s="102">
        <v>0</v>
      </c>
      <c r="R88" s="102">
        <v>0</v>
      </c>
      <c r="S88" s="102">
        <v>0</v>
      </c>
      <c r="T88" s="92">
        <v>0</v>
      </c>
      <c r="U88" s="102">
        <v>0</v>
      </c>
      <c r="V88" s="102">
        <v>0</v>
      </c>
      <c r="W88" s="102">
        <v>0</v>
      </c>
      <c r="X88" s="102">
        <v>0</v>
      </c>
      <c r="Y88" s="92">
        <v>0</v>
      </c>
      <c r="Z88" s="102">
        <v>0</v>
      </c>
      <c r="AA88" s="102">
        <v>0</v>
      </c>
      <c r="AB88" s="102">
        <v>0</v>
      </c>
      <c r="AC88" s="102">
        <v>0</v>
      </c>
      <c r="AD88" s="92">
        <v>0</v>
      </c>
      <c r="AE88" s="102">
        <v>0</v>
      </c>
      <c r="AF88" s="102">
        <v>0</v>
      </c>
      <c r="AG88" s="102">
        <v>0</v>
      </c>
      <c r="AH88" s="102">
        <v>0</v>
      </c>
      <c r="AI88" s="92">
        <v>0</v>
      </c>
      <c r="AJ88" s="102">
        <v>0</v>
      </c>
      <c r="AK88" s="102">
        <v>0</v>
      </c>
      <c r="AL88" s="102">
        <v>0</v>
      </c>
      <c r="AM88" s="102">
        <v>0</v>
      </c>
      <c r="AN88" s="92">
        <f>E88+J88+O88+T88+Y88+AD88+AI88</f>
        <v>2002</v>
      </c>
      <c r="AO88" s="27"/>
    </row>
    <row r="89" spans="1:41" s="1" customFormat="1" ht="42" customHeight="1" x14ac:dyDescent="0.2">
      <c r="A89" s="193" t="s">
        <v>182</v>
      </c>
      <c r="B89" s="194"/>
      <c r="C89" s="193"/>
      <c r="D89" s="193"/>
      <c r="E89" s="193"/>
      <c r="F89" s="193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3"/>
      <c r="U89" s="193"/>
      <c r="V89" s="193"/>
      <c r="W89" s="193"/>
      <c r="X89" s="193"/>
      <c r="Y89" s="193"/>
      <c r="Z89" s="193"/>
      <c r="AA89" s="193"/>
      <c r="AB89" s="193"/>
      <c r="AC89" s="193"/>
      <c r="AD89" s="193"/>
      <c r="AE89" s="193"/>
      <c r="AF89" s="193"/>
      <c r="AG89" s="193"/>
      <c r="AH89" s="193"/>
      <c r="AI89" s="193"/>
      <c r="AJ89" s="193"/>
      <c r="AK89" s="193"/>
      <c r="AL89" s="193"/>
      <c r="AM89" s="193"/>
      <c r="AN89" s="193"/>
      <c r="AO89" s="27"/>
    </row>
    <row r="90" spans="1:41" s="1" customFormat="1" ht="127.15" customHeight="1" x14ac:dyDescent="0.2">
      <c r="A90" s="196">
        <v>55</v>
      </c>
      <c r="B90" s="103" t="s">
        <v>185</v>
      </c>
      <c r="C90" s="198" t="s">
        <v>143</v>
      </c>
      <c r="D90" s="104" t="s">
        <v>40</v>
      </c>
      <c r="E90" s="102">
        <v>0</v>
      </c>
      <c r="F90" s="102">
        <v>0</v>
      </c>
      <c r="G90" s="102">
        <v>0</v>
      </c>
      <c r="H90" s="102">
        <v>0</v>
      </c>
      <c r="I90" s="102">
        <v>0</v>
      </c>
      <c r="J90" s="105">
        <f>K90</f>
        <v>232258</v>
      </c>
      <c r="K90" s="102">
        <f>242058-9800</f>
        <v>232258</v>
      </c>
      <c r="L90" s="102">
        <v>0</v>
      </c>
      <c r="M90" s="102">
        <v>0</v>
      </c>
      <c r="N90" s="102">
        <v>0</v>
      </c>
      <c r="O90" s="105">
        <f>P90</f>
        <v>221553</v>
      </c>
      <c r="P90" s="102">
        <v>221553</v>
      </c>
      <c r="Q90" s="102">
        <v>0</v>
      </c>
      <c r="R90" s="102">
        <v>0</v>
      </c>
      <c r="S90" s="102">
        <v>0</v>
      </c>
      <c r="T90" s="105">
        <f>U90</f>
        <v>231853</v>
      </c>
      <c r="U90" s="102">
        <v>231853</v>
      </c>
      <c r="V90" s="102">
        <v>0</v>
      </c>
      <c r="W90" s="102">
        <v>0</v>
      </c>
      <c r="X90" s="102">
        <v>0</v>
      </c>
      <c r="Y90" s="105">
        <f>Z90</f>
        <v>222560</v>
      </c>
      <c r="Z90" s="102">
        <v>222560</v>
      </c>
      <c r="AA90" s="102">
        <v>0</v>
      </c>
      <c r="AB90" s="102">
        <v>0</v>
      </c>
      <c r="AC90" s="102">
        <v>0</v>
      </c>
      <c r="AD90" s="106">
        <v>216752</v>
      </c>
      <c r="AE90" s="107">
        <f>216752-AF90</f>
        <v>116752</v>
      </c>
      <c r="AF90" s="107">
        <v>100000</v>
      </c>
      <c r="AG90" s="107">
        <v>0</v>
      </c>
      <c r="AH90" s="107">
        <v>0</v>
      </c>
      <c r="AI90" s="92">
        <f>AJ90+AK90+AL90+AM90</f>
        <v>26509</v>
      </c>
      <c r="AJ90" s="102">
        <f>11647+1909+12953</f>
        <v>26509</v>
      </c>
      <c r="AK90" s="102">
        <v>0</v>
      </c>
      <c r="AL90" s="102">
        <v>0</v>
      </c>
      <c r="AM90" s="102">
        <v>0</v>
      </c>
      <c r="AN90" s="106">
        <f>E90+J90+O90+T90+Y90+AD90+AI90</f>
        <v>1151485</v>
      </c>
      <c r="AO90" s="27"/>
    </row>
    <row r="91" spans="1:41" s="1" customFormat="1" ht="126" customHeight="1" x14ac:dyDescent="0.2">
      <c r="A91" s="197"/>
      <c r="B91" s="108" t="s">
        <v>186</v>
      </c>
      <c r="C91" s="199"/>
      <c r="D91" s="102">
        <v>0</v>
      </c>
      <c r="E91" s="102">
        <v>0</v>
      </c>
      <c r="F91" s="102">
        <v>0</v>
      </c>
      <c r="G91" s="102">
        <v>0</v>
      </c>
      <c r="H91" s="102">
        <v>0</v>
      </c>
      <c r="I91" s="102">
        <v>0</v>
      </c>
      <c r="J91" s="102">
        <v>0</v>
      </c>
      <c r="K91" s="102">
        <v>0</v>
      </c>
      <c r="L91" s="102">
        <v>0</v>
      </c>
      <c r="M91" s="102">
        <v>0</v>
      </c>
      <c r="N91" s="102">
        <v>0</v>
      </c>
      <c r="O91" s="102">
        <v>0</v>
      </c>
      <c r="P91" s="102">
        <v>0</v>
      </c>
      <c r="Q91" s="102">
        <v>0</v>
      </c>
      <c r="R91" s="102">
        <v>0</v>
      </c>
      <c r="S91" s="102">
        <v>0</v>
      </c>
      <c r="T91" s="102">
        <v>0</v>
      </c>
      <c r="U91" s="102">
        <v>0</v>
      </c>
      <c r="V91" s="102">
        <v>0</v>
      </c>
      <c r="W91" s="102">
        <v>0</v>
      </c>
      <c r="X91" s="102">
        <v>0</v>
      </c>
      <c r="Y91" s="102">
        <v>0</v>
      </c>
      <c r="Z91" s="102">
        <v>0</v>
      </c>
      <c r="AA91" s="102">
        <v>0</v>
      </c>
      <c r="AB91" s="102">
        <v>0</v>
      </c>
      <c r="AC91" s="102">
        <v>0</v>
      </c>
      <c r="AD91" s="102">
        <v>0</v>
      </c>
      <c r="AE91" s="102">
        <v>0</v>
      </c>
      <c r="AF91" s="102">
        <v>0</v>
      </c>
      <c r="AG91" s="102">
        <v>0</v>
      </c>
      <c r="AH91" s="102">
        <v>0</v>
      </c>
      <c r="AI91" s="92">
        <f>AJ91+AK91+AL91+AM91</f>
        <v>196880</v>
      </c>
      <c r="AJ91" s="102">
        <v>196880</v>
      </c>
      <c r="AK91" s="102">
        <v>0</v>
      </c>
      <c r="AL91" s="102">
        <v>0</v>
      </c>
      <c r="AM91" s="102">
        <v>0</v>
      </c>
      <c r="AN91" s="106">
        <f>E91+J91+O91+T91+Y91+AD91+AI91</f>
        <v>196880</v>
      </c>
      <c r="AO91" s="27"/>
    </row>
    <row r="92" spans="1:41" s="1" customFormat="1" ht="42" customHeight="1" x14ac:dyDescent="0.2">
      <c r="A92" s="192" t="s">
        <v>88</v>
      </c>
      <c r="B92" s="195"/>
      <c r="C92" s="192"/>
      <c r="D92" s="192"/>
      <c r="E92" s="192"/>
      <c r="F92" s="192"/>
      <c r="G92" s="192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2"/>
      <c r="AH92" s="192"/>
      <c r="AI92" s="192"/>
      <c r="AJ92" s="192"/>
      <c r="AK92" s="192"/>
      <c r="AL92" s="192"/>
      <c r="AM92" s="192"/>
      <c r="AN92" s="192"/>
      <c r="AO92" s="27"/>
    </row>
    <row r="93" spans="1:41" s="1" customFormat="1" ht="91.15" customHeight="1" x14ac:dyDescent="0.2">
      <c r="A93" s="81">
        <v>56</v>
      </c>
      <c r="B93" s="109" t="s">
        <v>146</v>
      </c>
      <c r="C93" s="82" t="s">
        <v>143</v>
      </c>
      <c r="D93" s="82" t="s">
        <v>149</v>
      </c>
      <c r="E93" s="92">
        <f t="shared" ref="E93" si="22">F93+G93+H93+I93</f>
        <v>0</v>
      </c>
      <c r="F93" s="110">
        <v>0</v>
      </c>
      <c r="G93" s="110">
        <v>0</v>
      </c>
      <c r="H93" s="110">
        <v>0</v>
      </c>
      <c r="I93" s="97">
        <v>0</v>
      </c>
      <c r="J93" s="92">
        <f t="shared" ref="J93" si="23">K93+L93+M93+N93</f>
        <v>0</v>
      </c>
      <c r="K93" s="110">
        <v>0</v>
      </c>
      <c r="L93" s="110">
        <v>0</v>
      </c>
      <c r="M93" s="110">
        <v>0</v>
      </c>
      <c r="N93" s="97">
        <v>0</v>
      </c>
      <c r="O93" s="92">
        <f t="shared" ref="O93" si="24">P93+Q93+R93+S93</f>
        <v>0</v>
      </c>
      <c r="P93" s="110">
        <v>0</v>
      </c>
      <c r="Q93" s="110">
        <v>0</v>
      </c>
      <c r="R93" s="110">
        <v>0</v>
      </c>
      <c r="S93" s="97">
        <v>0</v>
      </c>
      <c r="T93" s="92">
        <f t="shared" ref="T93" si="25">U93+V93+W93+X93</f>
        <v>228156</v>
      </c>
      <c r="U93" s="102">
        <v>73022</v>
      </c>
      <c r="V93" s="102">
        <v>155134</v>
      </c>
      <c r="W93" s="102">
        <v>0</v>
      </c>
      <c r="X93" s="102">
        <v>0</v>
      </c>
      <c r="Y93" s="92">
        <f t="shared" ref="Y93" si="26">Z93+AA93+AB93+AC93</f>
        <v>74622</v>
      </c>
      <c r="Z93" s="102">
        <v>74622</v>
      </c>
      <c r="AA93" s="102">
        <v>0</v>
      </c>
      <c r="AB93" s="102">
        <v>0</v>
      </c>
      <c r="AC93" s="102">
        <v>0</v>
      </c>
      <c r="AD93" s="92">
        <f t="shared" ref="AD93" si="27">AE93+AF93+AG93+AH93</f>
        <v>74718</v>
      </c>
      <c r="AE93" s="102">
        <v>5041</v>
      </c>
      <c r="AF93" s="102">
        <v>69677</v>
      </c>
      <c r="AG93" s="102">
        <v>0</v>
      </c>
      <c r="AH93" s="102">
        <v>0</v>
      </c>
      <c r="AI93" s="92">
        <f>AJ93+AK93+AL93+AM93</f>
        <v>0</v>
      </c>
      <c r="AJ93" s="102">
        <v>0</v>
      </c>
      <c r="AK93" s="102">
        <v>0</v>
      </c>
      <c r="AL93" s="102">
        <v>0</v>
      </c>
      <c r="AM93" s="102">
        <v>0</v>
      </c>
      <c r="AN93" s="92">
        <f t="shared" ref="AN93:AN98" si="28">E93+J93+O93+T93+Y93+AD93+AI93</f>
        <v>377496</v>
      </c>
      <c r="AO93" s="27"/>
    </row>
    <row r="94" spans="1:41" s="1" customFormat="1" ht="102" customHeight="1" x14ac:dyDescent="0.2">
      <c r="A94" s="81">
        <v>57</v>
      </c>
      <c r="B94" s="82" t="s">
        <v>45</v>
      </c>
      <c r="C94" s="82" t="s">
        <v>143</v>
      </c>
      <c r="D94" s="82">
        <v>2014</v>
      </c>
      <c r="E94" s="92">
        <f t="shared" ref="E94:E98" si="29">F94+G94+H94+I94</f>
        <v>162580</v>
      </c>
      <c r="F94" s="102">
        <v>81290</v>
      </c>
      <c r="G94" s="102">
        <v>44246</v>
      </c>
      <c r="H94" s="102">
        <v>37044</v>
      </c>
      <c r="I94" s="102">
        <v>0</v>
      </c>
      <c r="J94" s="92">
        <f t="shared" ref="J94:J98" si="30">K94+L94+M94+N94</f>
        <v>0</v>
      </c>
      <c r="K94" s="110">
        <v>0</v>
      </c>
      <c r="L94" s="110">
        <v>0</v>
      </c>
      <c r="M94" s="110">
        <v>0</v>
      </c>
      <c r="N94" s="97">
        <v>0</v>
      </c>
      <c r="O94" s="92">
        <f t="shared" ref="O94:O98" si="31">P94+Q94+R94+S94</f>
        <v>0</v>
      </c>
      <c r="P94" s="110">
        <v>0</v>
      </c>
      <c r="Q94" s="110">
        <v>0</v>
      </c>
      <c r="R94" s="110">
        <v>0</v>
      </c>
      <c r="S94" s="97">
        <v>0</v>
      </c>
      <c r="T94" s="92">
        <f t="shared" ref="T94:T98" si="32">U94+V94+W94+X94</f>
        <v>0</v>
      </c>
      <c r="U94" s="110">
        <v>0</v>
      </c>
      <c r="V94" s="110">
        <v>0</v>
      </c>
      <c r="W94" s="110">
        <v>0</v>
      </c>
      <c r="X94" s="97">
        <v>0</v>
      </c>
      <c r="Y94" s="92">
        <f t="shared" ref="Y94:Y98" si="33">Z94+AA94+AB94+AC94</f>
        <v>0</v>
      </c>
      <c r="Z94" s="110">
        <v>0</v>
      </c>
      <c r="AA94" s="110">
        <v>0</v>
      </c>
      <c r="AB94" s="110">
        <v>0</v>
      </c>
      <c r="AC94" s="97">
        <v>0</v>
      </c>
      <c r="AD94" s="92">
        <f t="shared" ref="AD94:AD98" si="34">AE94+AF94+AG94+AH94</f>
        <v>0</v>
      </c>
      <c r="AE94" s="110">
        <v>0</v>
      </c>
      <c r="AF94" s="110">
        <v>0</v>
      </c>
      <c r="AG94" s="110">
        <v>0</v>
      </c>
      <c r="AH94" s="97">
        <v>0</v>
      </c>
      <c r="AI94" s="92">
        <f t="shared" ref="AI94:AI98" si="35">AJ94+AK94+AL94+AM94</f>
        <v>0</v>
      </c>
      <c r="AJ94" s="110">
        <v>0</v>
      </c>
      <c r="AK94" s="110">
        <v>0</v>
      </c>
      <c r="AL94" s="110">
        <v>0</v>
      </c>
      <c r="AM94" s="97">
        <v>0</v>
      </c>
      <c r="AN94" s="92">
        <f t="shared" si="28"/>
        <v>162580</v>
      </c>
      <c r="AO94" s="27"/>
    </row>
    <row r="95" spans="1:41" s="1" customFormat="1" ht="103.15" customHeight="1" x14ac:dyDescent="0.2">
      <c r="A95" s="81">
        <v>58</v>
      </c>
      <c r="B95" s="82" t="s">
        <v>69</v>
      </c>
      <c r="C95" s="82" t="s">
        <v>143</v>
      </c>
      <c r="D95" s="82">
        <v>2020</v>
      </c>
      <c r="E95" s="92">
        <f t="shared" si="29"/>
        <v>0</v>
      </c>
      <c r="F95" s="110">
        <v>0</v>
      </c>
      <c r="G95" s="110">
        <v>0</v>
      </c>
      <c r="H95" s="110">
        <v>0</v>
      </c>
      <c r="I95" s="97">
        <v>0</v>
      </c>
      <c r="J95" s="92">
        <f t="shared" si="30"/>
        <v>0</v>
      </c>
      <c r="K95" s="110">
        <v>0</v>
      </c>
      <c r="L95" s="110">
        <v>0</v>
      </c>
      <c r="M95" s="110">
        <v>0</v>
      </c>
      <c r="N95" s="97">
        <v>0</v>
      </c>
      <c r="O95" s="92">
        <f t="shared" si="31"/>
        <v>0</v>
      </c>
      <c r="P95" s="110">
        <v>0</v>
      </c>
      <c r="Q95" s="110">
        <v>0</v>
      </c>
      <c r="R95" s="110">
        <v>0</v>
      </c>
      <c r="S95" s="97">
        <v>0</v>
      </c>
      <c r="T95" s="92">
        <f t="shared" si="32"/>
        <v>0</v>
      </c>
      <c r="U95" s="110">
        <v>0</v>
      </c>
      <c r="V95" s="110">
        <v>0</v>
      </c>
      <c r="W95" s="110">
        <v>0</v>
      </c>
      <c r="X95" s="102">
        <v>0</v>
      </c>
      <c r="Y95" s="92">
        <f t="shared" si="33"/>
        <v>0</v>
      </c>
      <c r="Z95" s="110">
        <v>0</v>
      </c>
      <c r="AA95" s="110">
        <v>0</v>
      </c>
      <c r="AB95" s="110">
        <v>0</v>
      </c>
      <c r="AC95" s="102">
        <v>0</v>
      </c>
      <c r="AD95" s="92">
        <f t="shared" si="34"/>
        <v>0</v>
      </c>
      <c r="AE95" s="111">
        <v>0</v>
      </c>
      <c r="AF95" s="110">
        <v>0</v>
      </c>
      <c r="AG95" s="110">
        <v>0</v>
      </c>
      <c r="AH95" s="102">
        <v>0</v>
      </c>
      <c r="AI95" s="92">
        <f t="shared" si="35"/>
        <v>0</v>
      </c>
      <c r="AJ95" s="97">
        <v>0</v>
      </c>
      <c r="AK95" s="97">
        <v>0</v>
      </c>
      <c r="AL95" s="97">
        <v>0</v>
      </c>
      <c r="AM95" s="102">
        <v>0</v>
      </c>
      <c r="AN95" s="92">
        <f t="shared" si="28"/>
        <v>0</v>
      </c>
      <c r="AO95" s="27"/>
    </row>
    <row r="96" spans="1:41" s="1" customFormat="1" ht="109.15" customHeight="1" x14ac:dyDescent="0.2">
      <c r="A96" s="81">
        <v>59</v>
      </c>
      <c r="B96" s="82" t="s">
        <v>70</v>
      </c>
      <c r="C96" s="82" t="s">
        <v>144</v>
      </c>
      <c r="D96" s="82" t="s">
        <v>46</v>
      </c>
      <c r="E96" s="92">
        <f t="shared" si="29"/>
        <v>77614.11</v>
      </c>
      <c r="F96" s="110">
        <v>38113.9</v>
      </c>
      <c r="G96" s="97">
        <v>0</v>
      </c>
      <c r="H96" s="97">
        <v>0</v>
      </c>
      <c r="I96" s="97">
        <v>39500.21</v>
      </c>
      <c r="J96" s="92">
        <f t="shared" si="30"/>
        <v>71572.41</v>
      </c>
      <c r="K96" s="112">
        <v>35079.300000000003</v>
      </c>
      <c r="L96" s="111">
        <v>0</v>
      </c>
      <c r="M96" s="111">
        <v>0</v>
      </c>
      <c r="N96" s="112">
        <v>36493.11</v>
      </c>
      <c r="O96" s="92">
        <f t="shared" si="31"/>
        <v>67926</v>
      </c>
      <c r="P96" s="102">
        <v>33289.9</v>
      </c>
      <c r="Q96" s="102">
        <v>0</v>
      </c>
      <c r="R96" s="102">
        <v>0</v>
      </c>
      <c r="S96" s="102">
        <v>34636.1</v>
      </c>
      <c r="T96" s="92">
        <f t="shared" si="32"/>
        <v>70586.100000000006</v>
      </c>
      <c r="U96" s="102">
        <v>34571.599999999999</v>
      </c>
      <c r="V96" s="102">
        <v>0</v>
      </c>
      <c r="W96" s="102">
        <v>0</v>
      </c>
      <c r="X96" s="102">
        <v>36014.5</v>
      </c>
      <c r="Y96" s="92">
        <f t="shared" si="33"/>
        <v>0</v>
      </c>
      <c r="Z96" s="110">
        <v>0</v>
      </c>
      <c r="AA96" s="110">
        <v>0</v>
      </c>
      <c r="AB96" s="111">
        <v>0</v>
      </c>
      <c r="AC96" s="112">
        <v>0</v>
      </c>
      <c r="AD96" s="92">
        <f t="shared" si="34"/>
        <v>0</v>
      </c>
      <c r="AE96" s="111">
        <v>0</v>
      </c>
      <c r="AF96" s="102">
        <v>0</v>
      </c>
      <c r="AG96" s="102">
        <v>0</v>
      </c>
      <c r="AH96" s="102">
        <v>0</v>
      </c>
      <c r="AI96" s="92">
        <f t="shared" si="35"/>
        <v>0</v>
      </c>
      <c r="AJ96" s="111">
        <v>0</v>
      </c>
      <c r="AK96" s="102">
        <v>0</v>
      </c>
      <c r="AL96" s="102">
        <v>0</v>
      </c>
      <c r="AM96" s="102">
        <v>0</v>
      </c>
      <c r="AN96" s="92">
        <f t="shared" si="28"/>
        <v>287698.62</v>
      </c>
      <c r="AO96" s="27"/>
    </row>
    <row r="97" spans="1:42" s="1" customFormat="1" ht="104.45" customHeight="1" x14ac:dyDescent="0.2">
      <c r="A97" s="81">
        <v>60</v>
      </c>
      <c r="B97" s="82" t="s">
        <v>100</v>
      </c>
      <c r="C97" s="82" t="s">
        <v>143</v>
      </c>
      <c r="D97" s="82">
        <v>2014</v>
      </c>
      <c r="E97" s="92">
        <f t="shared" si="29"/>
        <v>264435</v>
      </c>
      <c r="F97" s="110">
        <v>5185</v>
      </c>
      <c r="G97" s="97">
        <v>106750</v>
      </c>
      <c r="H97" s="97">
        <v>152500</v>
      </c>
      <c r="I97" s="97">
        <v>0</v>
      </c>
      <c r="J97" s="92">
        <f t="shared" si="30"/>
        <v>0</v>
      </c>
      <c r="K97" s="112">
        <v>0</v>
      </c>
      <c r="L97" s="111">
        <v>0</v>
      </c>
      <c r="M97" s="111">
        <v>0</v>
      </c>
      <c r="N97" s="112">
        <v>0</v>
      </c>
      <c r="O97" s="92">
        <f t="shared" si="31"/>
        <v>0</v>
      </c>
      <c r="P97" s="102">
        <v>0</v>
      </c>
      <c r="Q97" s="102">
        <v>0</v>
      </c>
      <c r="R97" s="102">
        <v>0</v>
      </c>
      <c r="S97" s="102">
        <v>0</v>
      </c>
      <c r="T97" s="92">
        <f t="shared" si="32"/>
        <v>0</v>
      </c>
      <c r="U97" s="102">
        <v>0</v>
      </c>
      <c r="V97" s="102">
        <v>0</v>
      </c>
      <c r="W97" s="102">
        <v>0</v>
      </c>
      <c r="X97" s="102">
        <v>0</v>
      </c>
      <c r="Y97" s="92">
        <f t="shared" si="33"/>
        <v>0</v>
      </c>
      <c r="Z97" s="111">
        <v>0</v>
      </c>
      <c r="AA97" s="111">
        <v>0</v>
      </c>
      <c r="AB97" s="111">
        <v>0</v>
      </c>
      <c r="AC97" s="112">
        <v>0</v>
      </c>
      <c r="AD97" s="92">
        <f t="shared" si="34"/>
        <v>0</v>
      </c>
      <c r="AE97" s="111">
        <v>0</v>
      </c>
      <c r="AF97" s="102">
        <v>0</v>
      </c>
      <c r="AG97" s="102">
        <v>0</v>
      </c>
      <c r="AH97" s="102">
        <v>0</v>
      </c>
      <c r="AI97" s="92">
        <f t="shared" si="35"/>
        <v>0</v>
      </c>
      <c r="AJ97" s="111">
        <v>0</v>
      </c>
      <c r="AK97" s="102">
        <v>0</v>
      </c>
      <c r="AL97" s="102">
        <v>0</v>
      </c>
      <c r="AM97" s="102">
        <v>0</v>
      </c>
      <c r="AN97" s="92">
        <f t="shared" si="28"/>
        <v>264435</v>
      </c>
      <c r="AO97" s="27"/>
    </row>
    <row r="98" spans="1:42" s="14" customFormat="1" ht="104.45" customHeight="1" x14ac:dyDescent="0.2">
      <c r="A98" s="113">
        <v>61</v>
      </c>
      <c r="B98" s="82" t="s">
        <v>68</v>
      </c>
      <c r="C98" s="82" t="s">
        <v>143</v>
      </c>
      <c r="D98" s="82" t="s">
        <v>40</v>
      </c>
      <c r="E98" s="92">
        <f t="shared" si="29"/>
        <v>0</v>
      </c>
      <c r="F98" s="110">
        <v>0</v>
      </c>
      <c r="G98" s="97">
        <v>0</v>
      </c>
      <c r="H98" s="97">
        <v>0</v>
      </c>
      <c r="I98" s="97">
        <v>0</v>
      </c>
      <c r="J98" s="92">
        <f t="shared" si="30"/>
        <v>269280</v>
      </c>
      <c r="K98" s="112">
        <v>5280</v>
      </c>
      <c r="L98" s="111">
        <v>114000</v>
      </c>
      <c r="M98" s="111">
        <v>150000</v>
      </c>
      <c r="N98" s="112">
        <v>0</v>
      </c>
      <c r="O98" s="92">
        <f t="shared" si="31"/>
        <v>72773.8</v>
      </c>
      <c r="P98" s="102">
        <v>72773.8</v>
      </c>
      <c r="Q98" s="102">
        <v>0</v>
      </c>
      <c r="R98" s="102">
        <v>0</v>
      </c>
      <c r="S98" s="102">
        <v>0</v>
      </c>
      <c r="T98" s="92">
        <f t="shared" si="32"/>
        <v>97031.7</v>
      </c>
      <c r="U98" s="102">
        <v>97031.7</v>
      </c>
      <c r="V98" s="102">
        <v>0</v>
      </c>
      <c r="W98" s="102">
        <v>0</v>
      </c>
      <c r="X98" s="102">
        <v>0</v>
      </c>
      <c r="Y98" s="92">
        <f t="shared" si="33"/>
        <v>97032</v>
      </c>
      <c r="Z98" s="111">
        <v>97032</v>
      </c>
      <c r="AA98" s="111">
        <v>0</v>
      </c>
      <c r="AB98" s="111">
        <v>0</v>
      </c>
      <c r="AC98" s="112">
        <v>0</v>
      </c>
      <c r="AD98" s="92">
        <f t="shared" si="34"/>
        <v>97032</v>
      </c>
      <c r="AE98" s="111">
        <v>97032</v>
      </c>
      <c r="AF98" s="102">
        <v>0</v>
      </c>
      <c r="AG98" s="102">
        <v>0</v>
      </c>
      <c r="AH98" s="102">
        <v>0</v>
      </c>
      <c r="AI98" s="92">
        <f t="shared" si="35"/>
        <v>80931</v>
      </c>
      <c r="AJ98" s="111">
        <v>80931</v>
      </c>
      <c r="AK98" s="102">
        <v>0</v>
      </c>
      <c r="AL98" s="102">
        <v>0</v>
      </c>
      <c r="AM98" s="102">
        <v>0</v>
      </c>
      <c r="AN98" s="92">
        <f t="shared" si="28"/>
        <v>714080.5</v>
      </c>
      <c r="AO98" s="27"/>
    </row>
    <row r="99" spans="1:42" s="9" customFormat="1" ht="42" customHeight="1" x14ac:dyDescent="0.25">
      <c r="A99" s="81"/>
      <c r="B99" s="100" t="s">
        <v>35</v>
      </c>
      <c r="C99" s="77"/>
      <c r="D99" s="77"/>
      <c r="E99" s="92">
        <f t="shared" ref="E99" si="36">SUM(E84:E98)</f>
        <v>506631.11</v>
      </c>
      <c r="F99" s="92">
        <f>SUM(F84:F97)</f>
        <v>125589.9</v>
      </c>
      <c r="G99" s="92">
        <f>SUM(G84:G97)</f>
        <v>151541</v>
      </c>
      <c r="H99" s="92">
        <f>SUM(H84:H97)</f>
        <v>190000</v>
      </c>
      <c r="I99" s="92">
        <f>SUM(I84:I97)</f>
        <v>39500.21</v>
      </c>
      <c r="J99" s="92">
        <f t="shared" ref="J99:AM99" si="37">SUM(J84:J98)</f>
        <v>573222.91</v>
      </c>
      <c r="K99" s="92">
        <f t="shared" si="37"/>
        <v>272617.3</v>
      </c>
      <c r="L99" s="92">
        <f t="shared" si="37"/>
        <v>114000</v>
      </c>
      <c r="M99" s="92">
        <f t="shared" si="37"/>
        <v>150000</v>
      </c>
      <c r="N99" s="92">
        <f t="shared" si="37"/>
        <v>36605.61</v>
      </c>
      <c r="O99" s="92">
        <f t="shared" si="37"/>
        <v>362365.3</v>
      </c>
      <c r="P99" s="92">
        <f t="shared" si="37"/>
        <v>327616.7</v>
      </c>
      <c r="Q99" s="92">
        <f t="shared" si="37"/>
        <v>0</v>
      </c>
      <c r="R99" s="92">
        <f t="shared" si="37"/>
        <v>0</v>
      </c>
      <c r="S99" s="92">
        <f t="shared" si="37"/>
        <v>34748.6</v>
      </c>
      <c r="T99" s="92">
        <f t="shared" si="37"/>
        <v>627739.29999999993</v>
      </c>
      <c r="U99" s="92">
        <f t="shared" si="37"/>
        <v>436478.3</v>
      </c>
      <c r="V99" s="92">
        <f t="shared" si="37"/>
        <v>155134</v>
      </c>
      <c r="W99" s="92">
        <f t="shared" si="37"/>
        <v>0</v>
      </c>
      <c r="X99" s="92">
        <f t="shared" si="37"/>
        <v>36127</v>
      </c>
      <c r="Y99" s="92">
        <f t="shared" si="37"/>
        <v>394326.5</v>
      </c>
      <c r="Z99" s="92">
        <f t="shared" si="37"/>
        <v>394214</v>
      </c>
      <c r="AA99" s="92">
        <f t="shared" si="37"/>
        <v>0</v>
      </c>
      <c r="AB99" s="92">
        <f t="shared" si="37"/>
        <v>0</v>
      </c>
      <c r="AC99" s="92">
        <f t="shared" si="37"/>
        <v>112.5</v>
      </c>
      <c r="AD99" s="92">
        <f t="shared" si="37"/>
        <v>388614.5</v>
      </c>
      <c r="AE99" s="92">
        <f t="shared" si="37"/>
        <v>218825</v>
      </c>
      <c r="AF99" s="92">
        <f t="shared" si="37"/>
        <v>169677</v>
      </c>
      <c r="AG99" s="92">
        <f t="shared" si="37"/>
        <v>0</v>
      </c>
      <c r="AH99" s="92">
        <f t="shared" si="37"/>
        <v>112.5</v>
      </c>
      <c r="AI99" s="92">
        <f>SUM(AI84:AI98)</f>
        <v>304432.5</v>
      </c>
      <c r="AJ99" s="92">
        <f>SUM(AJ84:AJ98)</f>
        <v>304320</v>
      </c>
      <c r="AK99" s="92">
        <f t="shared" si="37"/>
        <v>0</v>
      </c>
      <c r="AL99" s="92">
        <f t="shared" si="37"/>
        <v>0</v>
      </c>
      <c r="AM99" s="92">
        <f t="shared" si="37"/>
        <v>112.5</v>
      </c>
      <c r="AN99" s="92">
        <f>SUM(AN84:AN98)</f>
        <v>3157332.12</v>
      </c>
      <c r="AO99" s="134">
        <f>AJ99+AE99+Z99+U99+F99+K99+P99</f>
        <v>2079661.2</v>
      </c>
      <c r="AP99" s="13"/>
    </row>
    <row r="100" spans="1:42" s="16" customFormat="1" ht="42" customHeight="1" x14ac:dyDescent="0.25">
      <c r="A100" s="185" t="s">
        <v>80</v>
      </c>
      <c r="B100" s="185"/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  <c r="M100" s="185"/>
      <c r="N100" s="185"/>
      <c r="O100" s="185"/>
      <c r="P100" s="185"/>
      <c r="Q100" s="185"/>
      <c r="R100" s="185"/>
      <c r="S100" s="185"/>
      <c r="T100" s="185"/>
      <c r="U100" s="185"/>
      <c r="V100" s="185"/>
      <c r="W100" s="185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85"/>
      <c r="AH100" s="185"/>
      <c r="AI100" s="185"/>
      <c r="AJ100" s="185"/>
      <c r="AK100" s="185"/>
      <c r="AL100" s="185"/>
      <c r="AM100" s="185"/>
      <c r="AN100" s="185"/>
      <c r="AO100" s="135"/>
      <c r="AP100" s="15"/>
    </row>
    <row r="101" spans="1:42" s="16" customFormat="1" ht="42" customHeight="1" x14ac:dyDescent="0.25">
      <c r="A101" s="184" t="s">
        <v>117</v>
      </c>
      <c r="B101" s="184"/>
      <c r="C101" s="184"/>
      <c r="D101" s="184"/>
      <c r="E101" s="184"/>
      <c r="F101" s="184"/>
      <c r="G101" s="184"/>
      <c r="H101" s="184"/>
      <c r="I101" s="184"/>
      <c r="J101" s="184"/>
      <c r="K101" s="184"/>
      <c r="L101" s="184"/>
      <c r="M101" s="184"/>
      <c r="N101" s="184"/>
      <c r="O101" s="184"/>
      <c r="P101" s="184"/>
      <c r="Q101" s="184"/>
      <c r="R101" s="184"/>
      <c r="S101" s="184"/>
      <c r="T101" s="184"/>
      <c r="U101" s="184"/>
      <c r="V101" s="184"/>
      <c r="W101" s="184"/>
      <c r="X101" s="184"/>
      <c r="Y101" s="184"/>
      <c r="Z101" s="184"/>
      <c r="AA101" s="184"/>
      <c r="AB101" s="184"/>
      <c r="AC101" s="184"/>
      <c r="AD101" s="184"/>
      <c r="AE101" s="184"/>
      <c r="AF101" s="184"/>
      <c r="AG101" s="184"/>
      <c r="AH101" s="184"/>
      <c r="AI101" s="184"/>
      <c r="AJ101" s="184"/>
      <c r="AK101" s="184"/>
      <c r="AL101" s="184"/>
      <c r="AM101" s="184"/>
      <c r="AN101" s="184"/>
      <c r="AO101" s="136"/>
    </row>
    <row r="102" spans="1:42" s="16" customFormat="1" ht="42" customHeight="1" x14ac:dyDescent="0.25">
      <c r="A102" s="185" t="s">
        <v>89</v>
      </c>
      <c r="B102" s="186"/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  <c r="P102" s="186"/>
      <c r="Q102" s="186"/>
      <c r="R102" s="186"/>
      <c r="S102" s="186"/>
      <c r="T102" s="186"/>
      <c r="U102" s="186"/>
      <c r="V102" s="186"/>
      <c r="W102" s="186"/>
      <c r="X102" s="186"/>
      <c r="Y102" s="186"/>
      <c r="Z102" s="186"/>
      <c r="AA102" s="186"/>
      <c r="AB102" s="186"/>
      <c r="AC102" s="186"/>
      <c r="AD102" s="186"/>
      <c r="AE102" s="186"/>
      <c r="AF102" s="186"/>
      <c r="AG102" s="186"/>
      <c r="AH102" s="186"/>
      <c r="AI102" s="186"/>
      <c r="AJ102" s="186"/>
      <c r="AK102" s="186"/>
      <c r="AL102" s="186"/>
      <c r="AM102" s="186"/>
      <c r="AN102" s="186"/>
      <c r="AO102" s="136"/>
    </row>
    <row r="103" spans="1:42" s="16" customFormat="1" ht="42" customHeight="1" x14ac:dyDescent="0.25">
      <c r="A103" s="185" t="s">
        <v>90</v>
      </c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  <c r="L103" s="186"/>
      <c r="M103" s="186"/>
      <c r="N103" s="186"/>
      <c r="O103" s="186"/>
      <c r="P103" s="186"/>
      <c r="Q103" s="186"/>
      <c r="R103" s="186"/>
      <c r="S103" s="186"/>
      <c r="T103" s="186"/>
      <c r="U103" s="186"/>
      <c r="V103" s="186"/>
      <c r="W103" s="186"/>
      <c r="X103" s="186"/>
      <c r="Y103" s="186"/>
      <c r="Z103" s="186"/>
      <c r="AA103" s="186"/>
      <c r="AB103" s="186"/>
      <c r="AC103" s="186"/>
      <c r="AD103" s="186"/>
      <c r="AE103" s="186"/>
      <c r="AF103" s="186"/>
      <c r="AG103" s="186"/>
      <c r="AH103" s="186"/>
      <c r="AI103" s="186"/>
      <c r="AJ103" s="186"/>
      <c r="AK103" s="186"/>
      <c r="AL103" s="186"/>
      <c r="AM103" s="186"/>
      <c r="AN103" s="186"/>
      <c r="AO103" s="136"/>
    </row>
    <row r="104" spans="1:42" s="16" customFormat="1" ht="181.15" customHeight="1" x14ac:dyDescent="0.25">
      <c r="A104" s="114">
        <v>62</v>
      </c>
      <c r="B104" s="82" t="s">
        <v>175</v>
      </c>
      <c r="C104" s="82" t="s">
        <v>142</v>
      </c>
      <c r="D104" s="143" t="s">
        <v>173</v>
      </c>
      <c r="E104" s="92">
        <v>21508</v>
      </c>
      <c r="F104" s="102">
        <v>21508</v>
      </c>
      <c r="G104" s="99">
        <v>0</v>
      </c>
      <c r="H104" s="99">
        <v>0</v>
      </c>
      <c r="I104" s="99">
        <v>0</v>
      </c>
      <c r="J104" s="115">
        <v>0</v>
      </c>
      <c r="K104" s="99">
        <v>0</v>
      </c>
      <c r="L104" s="99">
        <v>0</v>
      </c>
      <c r="M104" s="99">
        <v>0</v>
      </c>
      <c r="N104" s="99">
        <v>0</v>
      </c>
      <c r="O104" s="99">
        <v>0</v>
      </c>
      <c r="P104" s="99">
        <v>0</v>
      </c>
      <c r="Q104" s="99">
        <v>0</v>
      </c>
      <c r="R104" s="99">
        <v>0</v>
      </c>
      <c r="S104" s="99">
        <v>0</v>
      </c>
      <c r="T104" s="99">
        <v>0</v>
      </c>
      <c r="U104" s="99">
        <v>0</v>
      </c>
      <c r="V104" s="99">
        <v>0</v>
      </c>
      <c r="W104" s="99">
        <v>0</v>
      </c>
      <c r="X104" s="99">
        <v>0</v>
      </c>
      <c r="Y104" s="99">
        <v>0</v>
      </c>
      <c r="Z104" s="99">
        <v>0</v>
      </c>
      <c r="AA104" s="99">
        <v>0</v>
      </c>
      <c r="AB104" s="99">
        <v>0</v>
      </c>
      <c r="AC104" s="99">
        <v>0</v>
      </c>
      <c r="AD104" s="115">
        <f>AE104+AF104+AG104+AH10375</f>
        <v>198</v>
      </c>
      <c r="AE104" s="99">
        <f>73+100+24+1</f>
        <v>198</v>
      </c>
      <c r="AF104" s="99">
        <v>0</v>
      </c>
      <c r="AG104" s="99">
        <v>0</v>
      </c>
      <c r="AH104" s="99">
        <v>0</v>
      </c>
      <c r="AI104" s="115">
        <f>AJ104+AK104+AL104+AM104</f>
        <v>9409</v>
      </c>
      <c r="AJ104" s="99">
        <f>3373+4615+477+944</f>
        <v>9409</v>
      </c>
      <c r="AK104" s="99">
        <v>0</v>
      </c>
      <c r="AL104" s="99">
        <v>0</v>
      </c>
      <c r="AM104" s="99">
        <v>0</v>
      </c>
      <c r="AN104" s="92">
        <f>E104+J104+O104+T104+Z104+AD104+AI104</f>
        <v>31115</v>
      </c>
      <c r="AO104" s="136"/>
    </row>
    <row r="105" spans="1:42" s="9" customFormat="1" ht="135.6" customHeight="1" x14ac:dyDescent="0.2">
      <c r="A105" s="209">
        <v>63</v>
      </c>
      <c r="B105" s="172" t="s">
        <v>91</v>
      </c>
      <c r="C105" s="172" t="s">
        <v>145</v>
      </c>
      <c r="D105" s="88" t="s">
        <v>39</v>
      </c>
      <c r="E105" s="92">
        <v>229957.4</v>
      </c>
      <c r="F105" s="102">
        <v>16534.099999999999</v>
      </c>
      <c r="G105" s="102">
        <v>213423.3</v>
      </c>
      <c r="H105" s="99">
        <v>0</v>
      </c>
      <c r="I105" s="99">
        <v>0</v>
      </c>
      <c r="J105" s="92">
        <v>285387.25</v>
      </c>
      <c r="K105" s="102">
        <v>27576</v>
      </c>
      <c r="L105" s="99">
        <v>103420.46</v>
      </c>
      <c r="M105" s="102">
        <v>154390.79</v>
      </c>
      <c r="N105" s="99">
        <v>0</v>
      </c>
      <c r="O105" s="92">
        <f>P105+Q105+R105+S105</f>
        <v>27577.1</v>
      </c>
      <c r="P105" s="102">
        <f>27479.1+119-21</f>
        <v>27577.1</v>
      </c>
      <c r="Q105" s="99">
        <v>0</v>
      </c>
      <c r="R105" s="99">
        <v>0</v>
      </c>
      <c r="S105" s="99">
        <v>0</v>
      </c>
      <c r="T105" s="92">
        <v>0</v>
      </c>
      <c r="U105" s="102">
        <f>1030-1030</f>
        <v>0</v>
      </c>
      <c r="V105" s="99">
        <v>0</v>
      </c>
      <c r="W105" s="99">
        <v>0</v>
      </c>
      <c r="X105" s="99">
        <v>0</v>
      </c>
      <c r="Y105" s="92">
        <f>Z105+AA105+AB105+AC105</f>
        <v>3522</v>
      </c>
      <c r="Z105" s="102">
        <f>3522</f>
        <v>3522</v>
      </c>
      <c r="AA105" s="102">
        <v>0</v>
      </c>
      <c r="AB105" s="99">
        <v>0</v>
      </c>
      <c r="AC105" s="99">
        <v>0</v>
      </c>
      <c r="AD105" s="92">
        <f>AE105+AF105+AG105+AH105</f>
        <v>214396</v>
      </c>
      <c r="AE105" s="102">
        <v>14396</v>
      </c>
      <c r="AF105" s="102">
        <v>0</v>
      </c>
      <c r="AG105" s="102">
        <v>200000</v>
      </c>
      <c r="AH105" s="99">
        <v>0</v>
      </c>
      <c r="AI105" s="92">
        <f>AJ105+AK105</f>
        <v>233722</v>
      </c>
      <c r="AJ105" s="102">
        <f>4036+2406+3548+423+744+731+3757</f>
        <v>15645</v>
      </c>
      <c r="AK105" s="102">
        <f>94404+56268+67405</f>
        <v>218077</v>
      </c>
      <c r="AL105" s="99">
        <v>0</v>
      </c>
      <c r="AM105" s="99">
        <v>0</v>
      </c>
      <c r="AN105" s="92">
        <f>E105+J105+O105+T105+Z105+AD105+AI105</f>
        <v>994561.75</v>
      </c>
      <c r="AO105" s="129"/>
    </row>
    <row r="106" spans="1:42" s="9" customFormat="1" ht="174" customHeight="1" x14ac:dyDescent="0.2">
      <c r="A106" s="211"/>
      <c r="B106" s="172"/>
      <c r="C106" s="172"/>
      <c r="D106" s="88" t="s">
        <v>109</v>
      </c>
      <c r="E106" s="99">
        <v>0</v>
      </c>
      <c r="F106" s="99">
        <v>0</v>
      </c>
      <c r="G106" s="99">
        <v>0</v>
      </c>
      <c r="H106" s="99">
        <v>0</v>
      </c>
      <c r="I106" s="99">
        <v>0</v>
      </c>
      <c r="J106" s="99">
        <v>0</v>
      </c>
      <c r="K106" s="99">
        <v>0</v>
      </c>
      <c r="L106" s="99">
        <v>0</v>
      </c>
      <c r="M106" s="99">
        <v>0</v>
      </c>
      <c r="N106" s="99">
        <v>0</v>
      </c>
      <c r="O106" s="92">
        <f>P106+Q106+R106+S106</f>
        <v>18939.41</v>
      </c>
      <c r="P106" s="102">
        <v>116.41</v>
      </c>
      <c r="Q106" s="99">
        <v>18823</v>
      </c>
      <c r="R106" s="99">
        <v>0</v>
      </c>
      <c r="S106" s="99">
        <v>0</v>
      </c>
      <c r="T106" s="99">
        <v>0</v>
      </c>
      <c r="U106" s="99">
        <v>0</v>
      </c>
      <c r="V106" s="99">
        <v>0</v>
      </c>
      <c r="W106" s="99">
        <v>0</v>
      </c>
      <c r="X106" s="99">
        <v>0</v>
      </c>
      <c r="Y106" s="99">
        <v>0</v>
      </c>
      <c r="Z106" s="99">
        <v>0</v>
      </c>
      <c r="AA106" s="99">
        <v>0</v>
      </c>
      <c r="AB106" s="99">
        <v>0</v>
      </c>
      <c r="AC106" s="99">
        <v>0</v>
      </c>
      <c r="AD106" s="99">
        <v>0</v>
      </c>
      <c r="AE106" s="99">
        <v>0</v>
      </c>
      <c r="AF106" s="99">
        <v>0</v>
      </c>
      <c r="AG106" s="99">
        <v>0</v>
      </c>
      <c r="AH106" s="99">
        <v>0</v>
      </c>
      <c r="AI106" s="115">
        <v>0</v>
      </c>
      <c r="AJ106" s="99">
        <v>0</v>
      </c>
      <c r="AK106" s="99">
        <v>0</v>
      </c>
      <c r="AL106" s="99">
        <v>0</v>
      </c>
      <c r="AM106" s="99">
        <v>0</v>
      </c>
      <c r="AN106" s="92">
        <f>E106+J106+O106+T106+Z106+AD106+AI106</f>
        <v>18939.41</v>
      </c>
      <c r="AO106" s="129"/>
    </row>
    <row r="107" spans="1:42" s="9" customFormat="1" ht="301.14999999999998" customHeight="1" x14ac:dyDescent="0.2">
      <c r="A107" s="81">
        <v>64</v>
      </c>
      <c r="B107" s="96" t="s">
        <v>92</v>
      </c>
      <c r="C107" s="82" t="s">
        <v>145</v>
      </c>
      <c r="D107" s="88" t="s">
        <v>164</v>
      </c>
      <c r="E107" s="92">
        <v>43669.5</v>
      </c>
      <c r="F107" s="102">
        <v>2710.8</v>
      </c>
      <c r="G107" s="102">
        <v>40958.699999999997</v>
      </c>
      <c r="H107" s="99">
        <v>0</v>
      </c>
      <c r="I107" s="99">
        <v>0</v>
      </c>
      <c r="J107" s="92">
        <v>716</v>
      </c>
      <c r="K107" s="102">
        <v>716</v>
      </c>
      <c r="L107" s="99">
        <v>0</v>
      </c>
      <c r="M107" s="99">
        <v>0</v>
      </c>
      <c r="N107" s="99">
        <v>0</v>
      </c>
      <c r="O107" s="92">
        <v>0</v>
      </c>
      <c r="P107" s="102">
        <v>0</v>
      </c>
      <c r="Q107" s="99">
        <v>0</v>
      </c>
      <c r="R107" s="99">
        <v>0</v>
      </c>
      <c r="S107" s="99">
        <v>0</v>
      </c>
      <c r="T107" s="92">
        <v>0</v>
      </c>
      <c r="U107" s="102">
        <v>0</v>
      </c>
      <c r="V107" s="99">
        <v>0</v>
      </c>
      <c r="W107" s="99">
        <v>0</v>
      </c>
      <c r="X107" s="99">
        <v>0</v>
      </c>
      <c r="Y107" s="92">
        <v>0</v>
      </c>
      <c r="Z107" s="102">
        <v>0</v>
      </c>
      <c r="AA107" s="99">
        <v>0</v>
      </c>
      <c r="AB107" s="99">
        <v>0</v>
      </c>
      <c r="AC107" s="99">
        <v>0</v>
      </c>
      <c r="AD107" s="92">
        <v>0</v>
      </c>
      <c r="AE107" s="102">
        <v>0</v>
      </c>
      <c r="AF107" s="102">
        <v>0</v>
      </c>
      <c r="AG107" s="99">
        <v>0</v>
      </c>
      <c r="AH107" s="99">
        <v>0</v>
      </c>
      <c r="AI107" s="92">
        <f>AJ107+AK107</f>
        <v>0</v>
      </c>
      <c r="AJ107" s="102">
        <v>0</v>
      </c>
      <c r="AK107" s="102">
        <v>0</v>
      </c>
      <c r="AL107" s="99">
        <v>0</v>
      </c>
      <c r="AM107" s="99">
        <v>0</v>
      </c>
      <c r="AN107" s="92">
        <f>E107+J107+O107+T107+Z107+AD107+AI107</f>
        <v>44385.5</v>
      </c>
      <c r="AO107" s="129"/>
    </row>
    <row r="108" spans="1:42" s="9" customFormat="1" ht="183.6" customHeight="1" x14ac:dyDescent="0.2">
      <c r="A108" s="209">
        <v>65</v>
      </c>
      <c r="B108" s="147" t="s">
        <v>188</v>
      </c>
      <c r="C108" s="82" t="s">
        <v>122</v>
      </c>
      <c r="D108" s="88" t="s">
        <v>40</v>
      </c>
      <c r="E108" s="99">
        <v>0</v>
      </c>
      <c r="F108" s="99">
        <v>0</v>
      </c>
      <c r="G108" s="99">
        <v>0</v>
      </c>
      <c r="H108" s="99">
        <v>0</v>
      </c>
      <c r="I108" s="99">
        <v>0</v>
      </c>
      <c r="J108" s="92">
        <v>17201</v>
      </c>
      <c r="K108" s="102">
        <v>17201</v>
      </c>
      <c r="L108" s="99">
        <v>0</v>
      </c>
      <c r="M108" s="99">
        <v>0</v>
      </c>
      <c r="N108" s="99">
        <v>0</v>
      </c>
      <c r="O108" s="92">
        <v>16347</v>
      </c>
      <c r="P108" s="102">
        <v>16347</v>
      </c>
      <c r="Q108" s="99">
        <v>0</v>
      </c>
      <c r="R108" s="99">
        <v>0</v>
      </c>
      <c r="S108" s="99">
        <v>0</v>
      </c>
      <c r="T108" s="92">
        <v>16121</v>
      </c>
      <c r="U108" s="102">
        <v>16121</v>
      </c>
      <c r="V108" s="99">
        <v>0</v>
      </c>
      <c r="W108" s="99">
        <v>0</v>
      </c>
      <c r="X108" s="99">
        <v>0</v>
      </c>
      <c r="Y108" s="92">
        <f>Z108+AA108+AB108+AC108</f>
        <v>15000</v>
      </c>
      <c r="Z108" s="102">
        <f>15000</f>
        <v>15000</v>
      </c>
      <c r="AA108" s="99">
        <v>0</v>
      </c>
      <c r="AB108" s="99">
        <v>0</v>
      </c>
      <c r="AC108" s="99">
        <v>0</v>
      </c>
      <c r="AD108" s="92">
        <f>AE108+AF108+AG108+AH108</f>
        <v>902</v>
      </c>
      <c r="AE108" s="102">
        <f>585+197+120</f>
        <v>902</v>
      </c>
      <c r="AF108" s="99">
        <v>0</v>
      </c>
      <c r="AG108" s="99">
        <v>0</v>
      </c>
      <c r="AH108" s="99">
        <v>0</v>
      </c>
      <c r="AI108" s="92">
        <f>AJ108+AK108+AL108+AM108</f>
        <v>8385</v>
      </c>
      <c r="AJ108" s="102">
        <f>5499+727+1403+408+348</f>
        <v>8385</v>
      </c>
      <c r="AK108" s="99">
        <v>0</v>
      </c>
      <c r="AL108" s="99">
        <v>0</v>
      </c>
      <c r="AM108" s="99">
        <v>0</v>
      </c>
      <c r="AN108" s="92">
        <f>E108+J108+O108+T108+Z108+AD108+AI108</f>
        <v>73956</v>
      </c>
      <c r="AO108" s="129"/>
    </row>
    <row r="109" spans="1:42" s="9" customFormat="1" ht="104.45" customHeight="1" x14ac:dyDescent="0.2">
      <c r="A109" s="211"/>
      <c r="B109" s="82" t="s">
        <v>159</v>
      </c>
      <c r="C109" s="82" t="s">
        <v>158</v>
      </c>
      <c r="D109" s="91">
        <v>2018</v>
      </c>
      <c r="E109" s="92">
        <v>0</v>
      </c>
      <c r="F109" s="102">
        <v>0</v>
      </c>
      <c r="G109" s="102">
        <v>0</v>
      </c>
      <c r="H109" s="99">
        <v>0</v>
      </c>
      <c r="I109" s="99">
        <v>0</v>
      </c>
      <c r="J109" s="92">
        <v>0</v>
      </c>
      <c r="K109" s="102">
        <v>0</v>
      </c>
      <c r="L109" s="102">
        <v>0</v>
      </c>
      <c r="M109" s="99">
        <v>0</v>
      </c>
      <c r="N109" s="99">
        <v>0</v>
      </c>
      <c r="O109" s="92">
        <v>0</v>
      </c>
      <c r="P109" s="102">
        <v>0</v>
      </c>
      <c r="Q109" s="102">
        <v>0</v>
      </c>
      <c r="R109" s="99">
        <v>0</v>
      </c>
      <c r="S109" s="99">
        <v>0</v>
      </c>
      <c r="T109" s="92">
        <v>0</v>
      </c>
      <c r="U109" s="102">
        <v>0</v>
      </c>
      <c r="V109" s="102">
        <v>0</v>
      </c>
      <c r="W109" s="99">
        <v>0</v>
      </c>
      <c r="X109" s="99">
        <v>0</v>
      </c>
      <c r="Y109" s="99">
        <v>0</v>
      </c>
      <c r="Z109" s="99">
        <v>0</v>
      </c>
      <c r="AA109" s="99">
        <v>0</v>
      </c>
      <c r="AB109" s="99">
        <v>0</v>
      </c>
      <c r="AC109" s="99">
        <v>0</v>
      </c>
      <c r="AD109" s="92">
        <f>AE109+AF109+AG109+AH109</f>
        <v>16121</v>
      </c>
      <c r="AE109" s="102">
        <v>0</v>
      </c>
      <c r="AF109" s="102">
        <v>16121</v>
      </c>
      <c r="AG109" s="99">
        <v>0</v>
      </c>
      <c r="AH109" s="99">
        <v>0</v>
      </c>
      <c r="AI109" s="92">
        <v>17200</v>
      </c>
      <c r="AJ109" s="102">
        <v>17200</v>
      </c>
      <c r="AK109" s="102">
        <v>0</v>
      </c>
      <c r="AL109" s="99">
        <v>0</v>
      </c>
      <c r="AM109" s="99">
        <v>0</v>
      </c>
      <c r="AN109" s="92">
        <f>AI109+AD109+Y109+T109+O109+J109+E109</f>
        <v>33321</v>
      </c>
      <c r="AO109" s="129"/>
    </row>
    <row r="110" spans="1:42" s="9" customFormat="1" ht="133.15" customHeight="1" x14ac:dyDescent="0.2">
      <c r="A110" s="81">
        <v>66</v>
      </c>
      <c r="B110" s="82" t="s">
        <v>98</v>
      </c>
      <c r="C110" s="82" t="s">
        <v>122</v>
      </c>
      <c r="D110" s="88" t="s">
        <v>164</v>
      </c>
      <c r="E110" s="92">
        <v>56988.9</v>
      </c>
      <c r="F110" s="102">
        <v>29417.7</v>
      </c>
      <c r="G110" s="102">
        <v>27571.200000000001</v>
      </c>
      <c r="H110" s="99">
        <v>0</v>
      </c>
      <c r="I110" s="99">
        <v>0</v>
      </c>
      <c r="J110" s="92">
        <v>131041.19</v>
      </c>
      <c r="K110" s="102">
        <v>13088</v>
      </c>
      <c r="L110" s="102">
        <v>117953.19</v>
      </c>
      <c r="M110" s="99">
        <v>0</v>
      </c>
      <c r="N110" s="99">
        <v>0</v>
      </c>
      <c r="O110" s="92">
        <v>0</v>
      </c>
      <c r="P110" s="102">
        <v>0</v>
      </c>
      <c r="Q110" s="99">
        <v>0</v>
      </c>
      <c r="R110" s="99">
        <v>0</v>
      </c>
      <c r="S110" s="99">
        <v>0</v>
      </c>
      <c r="T110" s="92">
        <v>0</v>
      </c>
      <c r="U110" s="102">
        <v>0</v>
      </c>
      <c r="V110" s="99">
        <v>0</v>
      </c>
      <c r="W110" s="99">
        <v>0</v>
      </c>
      <c r="X110" s="99">
        <v>0</v>
      </c>
      <c r="Y110" s="92">
        <v>0</v>
      </c>
      <c r="Z110" s="102">
        <v>0</v>
      </c>
      <c r="AA110" s="102">
        <v>0</v>
      </c>
      <c r="AB110" s="99">
        <v>0</v>
      </c>
      <c r="AC110" s="99">
        <v>0</v>
      </c>
      <c r="AD110" s="92">
        <v>0</v>
      </c>
      <c r="AE110" s="102">
        <v>0</v>
      </c>
      <c r="AF110" s="102">
        <v>0</v>
      </c>
      <c r="AG110" s="99">
        <v>0</v>
      </c>
      <c r="AH110" s="99">
        <v>0</v>
      </c>
      <c r="AI110" s="92">
        <f>AJ110+AK110</f>
        <v>55572</v>
      </c>
      <c r="AJ110" s="102">
        <f>2238+981</f>
        <v>3219</v>
      </c>
      <c r="AK110" s="102">
        <v>52353</v>
      </c>
      <c r="AL110" s="99">
        <v>0</v>
      </c>
      <c r="AM110" s="99">
        <v>0</v>
      </c>
      <c r="AN110" s="92">
        <f t="shared" ref="AN110" si="38">E110+J110+O110+T110+Z110+AD110+AI110</f>
        <v>243602.09</v>
      </c>
      <c r="AO110" s="129"/>
    </row>
    <row r="111" spans="1:42" s="9" customFormat="1" ht="42" customHeight="1" x14ac:dyDescent="0.2">
      <c r="A111" s="209">
        <v>67</v>
      </c>
      <c r="B111" s="204" t="s">
        <v>168</v>
      </c>
      <c r="C111" s="212" t="s">
        <v>122</v>
      </c>
      <c r="D111" s="215" t="s">
        <v>39</v>
      </c>
      <c r="E111" s="92">
        <v>508876.2</v>
      </c>
      <c r="F111" s="102">
        <v>32956.5</v>
      </c>
      <c r="G111" s="102">
        <v>475919.7</v>
      </c>
      <c r="H111" s="99">
        <v>0</v>
      </c>
      <c r="I111" s="99">
        <v>0</v>
      </c>
      <c r="J111" s="92">
        <v>324906.65999999997</v>
      </c>
      <c r="K111" s="102">
        <v>32851</v>
      </c>
      <c r="L111" s="102">
        <v>292055.65999999997</v>
      </c>
      <c r="M111" s="99">
        <v>0</v>
      </c>
      <c r="N111" s="99">
        <v>0</v>
      </c>
      <c r="O111" s="92">
        <f>P111+Q111+R111</f>
        <v>911080.79999999993</v>
      </c>
      <c r="P111" s="102">
        <v>46317.599999999999</v>
      </c>
      <c r="Q111" s="116">
        <v>614763.19999999995</v>
      </c>
      <c r="R111" s="116">
        <v>250000</v>
      </c>
      <c r="S111" s="99">
        <v>0</v>
      </c>
      <c r="T111" s="92">
        <f>U111+V111</f>
        <v>50394</v>
      </c>
      <c r="U111" s="102">
        <f>45141+3339+1914</f>
        <v>50394</v>
      </c>
      <c r="V111" s="99">
        <v>0</v>
      </c>
      <c r="W111" s="99">
        <v>0</v>
      </c>
      <c r="X111" s="99">
        <v>0</v>
      </c>
      <c r="Y111" s="92">
        <f>Z111+AA111+AB111+AC111</f>
        <v>693780</v>
      </c>
      <c r="Z111" s="102">
        <f>2118+349+32851</f>
        <v>35318</v>
      </c>
      <c r="AA111" s="102">
        <v>658462</v>
      </c>
      <c r="AB111" s="99">
        <v>0</v>
      </c>
      <c r="AC111" s="99">
        <v>0</v>
      </c>
      <c r="AD111" s="92">
        <f>AE111+AF111+AG111+AH111</f>
        <v>702772.7</v>
      </c>
      <c r="AE111" s="102">
        <f>36429-56.3</f>
        <v>36372.699999999997</v>
      </c>
      <c r="AF111" s="102">
        <v>666400</v>
      </c>
      <c r="AG111" s="99">
        <v>0</v>
      </c>
      <c r="AH111" s="99">
        <v>0</v>
      </c>
      <c r="AI111" s="92">
        <f>AJ111+AK111</f>
        <v>521077</v>
      </c>
      <c r="AJ111" s="102">
        <f>21248+2854</f>
        <v>24102</v>
      </c>
      <c r="AK111" s="102">
        <v>496975</v>
      </c>
      <c r="AL111" s="99">
        <v>0</v>
      </c>
      <c r="AM111" s="99">
        <v>0</v>
      </c>
      <c r="AN111" s="92">
        <f>E111+J111+O111+T111+AD111+AI111+Y111</f>
        <v>3712887.36</v>
      </c>
      <c r="AO111" s="129"/>
    </row>
    <row r="112" spans="1:42" s="9" customFormat="1" ht="49.15" customHeight="1" x14ac:dyDescent="0.2">
      <c r="A112" s="210"/>
      <c r="B112" s="205"/>
      <c r="C112" s="213"/>
      <c r="D112" s="216"/>
      <c r="E112" s="99">
        <v>0</v>
      </c>
      <c r="F112" s="99">
        <v>0</v>
      </c>
      <c r="G112" s="99">
        <v>0</v>
      </c>
      <c r="H112" s="99">
        <v>0</v>
      </c>
      <c r="I112" s="99">
        <v>0</v>
      </c>
      <c r="J112" s="99">
        <v>0</v>
      </c>
      <c r="K112" s="99">
        <v>0</v>
      </c>
      <c r="L112" s="99">
        <v>0</v>
      </c>
      <c r="M112" s="99">
        <v>0</v>
      </c>
      <c r="N112" s="99">
        <v>0</v>
      </c>
      <c r="O112" s="92">
        <f>P112+Q112</f>
        <v>138827.9</v>
      </c>
      <c r="P112" s="102">
        <v>7357.4</v>
      </c>
      <c r="Q112" s="99">
        <v>131470.5</v>
      </c>
      <c r="R112" s="99">
        <v>0</v>
      </c>
      <c r="S112" s="99">
        <v>0</v>
      </c>
      <c r="T112" s="92">
        <f>U112+V112+W112</f>
        <v>1224082</v>
      </c>
      <c r="U112" s="102">
        <f>44234</f>
        <v>44234</v>
      </c>
      <c r="V112" s="99">
        <f>395729-135000</f>
        <v>260729</v>
      </c>
      <c r="W112" s="99">
        <f>784119+135000</f>
        <v>919119</v>
      </c>
      <c r="X112" s="99">
        <v>0</v>
      </c>
      <c r="Y112" s="99">
        <v>0</v>
      </c>
      <c r="Z112" s="99">
        <v>0</v>
      </c>
      <c r="AA112" s="99">
        <v>0</v>
      </c>
      <c r="AB112" s="99">
        <v>0</v>
      </c>
      <c r="AC112" s="99">
        <v>0</v>
      </c>
      <c r="AD112" s="99">
        <v>0</v>
      </c>
      <c r="AE112" s="99">
        <v>0</v>
      </c>
      <c r="AF112" s="99">
        <v>0</v>
      </c>
      <c r="AG112" s="99">
        <v>0</v>
      </c>
      <c r="AH112" s="99">
        <v>0</v>
      </c>
      <c r="AI112" s="115">
        <v>0</v>
      </c>
      <c r="AJ112" s="99">
        <v>0</v>
      </c>
      <c r="AK112" s="99">
        <v>0</v>
      </c>
      <c r="AL112" s="99">
        <v>0</v>
      </c>
      <c r="AM112" s="99">
        <v>0</v>
      </c>
      <c r="AN112" s="92">
        <f>T112+O112</f>
        <v>1362909.9</v>
      </c>
      <c r="AO112" s="133"/>
    </row>
    <row r="113" spans="1:41" s="9" customFormat="1" ht="105.6" customHeight="1" x14ac:dyDescent="0.2">
      <c r="A113" s="211"/>
      <c r="B113" s="96" t="s">
        <v>110</v>
      </c>
      <c r="C113" s="214"/>
      <c r="D113" s="217"/>
      <c r="E113" s="99">
        <v>0</v>
      </c>
      <c r="F113" s="99">
        <v>0</v>
      </c>
      <c r="G113" s="99">
        <v>0</v>
      </c>
      <c r="H113" s="99">
        <v>0</v>
      </c>
      <c r="I113" s="99">
        <v>0</v>
      </c>
      <c r="J113" s="99">
        <v>0</v>
      </c>
      <c r="K113" s="99">
        <v>0</v>
      </c>
      <c r="L113" s="99">
        <v>0</v>
      </c>
      <c r="M113" s="99">
        <v>0</v>
      </c>
      <c r="N113" s="99">
        <v>0</v>
      </c>
      <c r="O113" s="92">
        <f>P113+Q113+R113+S113</f>
        <v>250000</v>
      </c>
      <c r="P113" s="99">
        <v>0</v>
      </c>
      <c r="Q113" s="99">
        <v>0</v>
      </c>
      <c r="R113" s="99">
        <v>250000</v>
      </c>
      <c r="S113" s="99">
        <v>0</v>
      </c>
      <c r="T113" s="92">
        <v>0</v>
      </c>
      <c r="U113" s="102">
        <v>0</v>
      </c>
      <c r="V113" s="99">
        <v>0</v>
      </c>
      <c r="W113" s="99">
        <v>0</v>
      </c>
      <c r="X113" s="99">
        <v>0</v>
      </c>
      <c r="Y113" s="92">
        <v>0</v>
      </c>
      <c r="Z113" s="102">
        <v>0</v>
      </c>
      <c r="AA113" s="102">
        <v>0</v>
      </c>
      <c r="AB113" s="99">
        <v>0</v>
      </c>
      <c r="AC113" s="99">
        <v>0</v>
      </c>
      <c r="AD113" s="92">
        <v>0</v>
      </c>
      <c r="AE113" s="92">
        <v>0</v>
      </c>
      <c r="AF113" s="92">
        <v>0</v>
      </c>
      <c r="AG113" s="92">
        <v>0</v>
      </c>
      <c r="AH113" s="92">
        <v>0</v>
      </c>
      <c r="AI113" s="92">
        <v>0</v>
      </c>
      <c r="AJ113" s="92">
        <v>0</v>
      </c>
      <c r="AK113" s="92">
        <v>0</v>
      </c>
      <c r="AL113" s="92">
        <v>0</v>
      </c>
      <c r="AM113" s="92">
        <v>0</v>
      </c>
      <c r="AN113" s="92">
        <f t="shared" ref="AN113" si="39">E113+J113+O113+T113+Z113+AD113+AI113</f>
        <v>250000</v>
      </c>
      <c r="AO113" s="129"/>
    </row>
    <row r="114" spans="1:41" s="17" customFormat="1" ht="205.15" customHeight="1" x14ac:dyDescent="0.3">
      <c r="A114" s="209">
        <v>68</v>
      </c>
      <c r="B114" s="117" t="s">
        <v>187</v>
      </c>
      <c r="C114" s="117" t="s">
        <v>148</v>
      </c>
      <c r="D114" s="88" t="s">
        <v>39</v>
      </c>
      <c r="E114" s="92">
        <v>354736.4</v>
      </c>
      <c r="F114" s="102">
        <v>69173.600000000006</v>
      </c>
      <c r="G114" s="102">
        <v>285562.8</v>
      </c>
      <c r="H114" s="99">
        <v>0</v>
      </c>
      <c r="I114" s="99">
        <v>0</v>
      </c>
      <c r="J114" s="92">
        <v>347137</v>
      </c>
      <c r="K114" s="102">
        <v>80356.600000000006</v>
      </c>
      <c r="L114" s="102">
        <v>266780.37</v>
      </c>
      <c r="M114" s="99">
        <v>0</v>
      </c>
      <c r="N114" s="99">
        <v>0</v>
      </c>
      <c r="O114" s="115">
        <f>P114+Q114+R114</f>
        <v>354000.8</v>
      </c>
      <c r="P114" s="99">
        <f>83825-16836-38380-9845</f>
        <v>18764</v>
      </c>
      <c r="Q114" s="99">
        <v>335236.8</v>
      </c>
      <c r="R114" s="99">
        <v>0</v>
      </c>
      <c r="S114" s="99">
        <v>0</v>
      </c>
      <c r="T114" s="115">
        <f>U114+V114+W114+X114</f>
        <v>93973</v>
      </c>
      <c r="U114" s="99">
        <f>6549+1479-878-177</f>
        <v>6973</v>
      </c>
      <c r="V114" s="118">
        <v>87000</v>
      </c>
      <c r="W114" s="99">
        <v>0</v>
      </c>
      <c r="X114" s="99">
        <v>0</v>
      </c>
      <c r="Y114" s="92">
        <f>Z114+AA114+AB114+AC114</f>
        <v>181288</v>
      </c>
      <c r="Z114" s="102">
        <f>12269+891-3610-6</f>
        <v>9544</v>
      </c>
      <c r="AA114" s="102">
        <f>163000+8744</f>
        <v>171744</v>
      </c>
      <c r="AB114" s="99">
        <v>0</v>
      </c>
      <c r="AC114" s="99">
        <v>0</v>
      </c>
      <c r="AD114" s="92">
        <f>AE114+AF114+AG114+AH114</f>
        <v>302439.5</v>
      </c>
      <c r="AE114" s="102">
        <f>14420.2+2019.3</f>
        <v>16439.5</v>
      </c>
      <c r="AF114" s="102">
        <v>286000</v>
      </c>
      <c r="AG114" s="99">
        <v>0</v>
      </c>
      <c r="AH114" s="99">
        <v>0</v>
      </c>
      <c r="AI114" s="92">
        <f>AJ114+AK114+AL114+AM114</f>
        <v>12317</v>
      </c>
      <c r="AJ114" s="102">
        <v>12317</v>
      </c>
      <c r="AK114" s="102">
        <v>0</v>
      </c>
      <c r="AL114" s="99">
        <v>0</v>
      </c>
      <c r="AM114" s="99">
        <v>0</v>
      </c>
      <c r="AN114" s="102">
        <f>AI114+AD114+Y114+T114+O114+J114+E114</f>
        <v>1645891.7000000002</v>
      </c>
      <c r="AO114" s="137"/>
    </row>
    <row r="115" spans="1:41" s="9" customFormat="1" ht="134.44999999999999" customHeight="1" x14ac:dyDescent="0.2">
      <c r="A115" s="211"/>
      <c r="B115" s="82" t="s">
        <v>159</v>
      </c>
      <c r="C115" s="82" t="s">
        <v>158</v>
      </c>
      <c r="D115" s="91">
        <v>2018</v>
      </c>
      <c r="E115" s="92">
        <v>0</v>
      </c>
      <c r="F115" s="102">
        <v>0</v>
      </c>
      <c r="G115" s="102">
        <v>0</v>
      </c>
      <c r="H115" s="99">
        <v>0</v>
      </c>
      <c r="I115" s="99">
        <v>0</v>
      </c>
      <c r="J115" s="92">
        <v>0</v>
      </c>
      <c r="K115" s="102">
        <v>0</v>
      </c>
      <c r="L115" s="102">
        <v>0</v>
      </c>
      <c r="M115" s="99">
        <v>0</v>
      </c>
      <c r="N115" s="99">
        <v>0</v>
      </c>
      <c r="O115" s="92">
        <v>0</v>
      </c>
      <c r="P115" s="102">
        <v>0</v>
      </c>
      <c r="Q115" s="102">
        <v>0</v>
      </c>
      <c r="R115" s="99">
        <v>0</v>
      </c>
      <c r="S115" s="99">
        <v>0</v>
      </c>
      <c r="T115" s="92">
        <v>0</v>
      </c>
      <c r="U115" s="102">
        <v>0</v>
      </c>
      <c r="V115" s="102">
        <v>0</v>
      </c>
      <c r="W115" s="99">
        <v>0</v>
      </c>
      <c r="X115" s="99">
        <v>0</v>
      </c>
      <c r="Y115" s="92">
        <f>Z115+AA115+AB115+AC115</f>
        <v>164975</v>
      </c>
      <c r="Z115" s="102">
        <v>7919</v>
      </c>
      <c r="AA115" s="102">
        <v>157056</v>
      </c>
      <c r="AB115" s="99">
        <v>0</v>
      </c>
      <c r="AC115" s="99">
        <v>0</v>
      </c>
      <c r="AD115" s="92">
        <f>AE115+AF115+AG115+AH115</f>
        <v>0</v>
      </c>
      <c r="AE115" s="102">
        <v>0</v>
      </c>
      <c r="AF115" s="99">
        <v>0</v>
      </c>
      <c r="AG115" s="99">
        <v>0</v>
      </c>
      <c r="AH115" s="99">
        <v>0</v>
      </c>
      <c r="AI115" s="92">
        <v>0</v>
      </c>
      <c r="AJ115" s="102">
        <v>0</v>
      </c>
      <c r="AK115" s="102">
        <v>0</v>
      </c>
      <c r="AL115" s="99">
        <v>0</v>
      </c>
      <c r="AM115" s="99">
        <v>0</v>
      </c>
      <c r="AN115" s="92">
        <f>AI115+AD115+Y115+T115+O115+J115+E115</f>
        <v>164975</v>
      </c>
    </row>
    <row r="116" spans="1:41" s="10" customFormat="1" ht="42" customHeight="1" x14ac:dyDescent="0.25">
      <c r="A116" s="178" t="s">
        <v>104</v>
      </c>
      <c r="B116" s="178"/>
      <c r="C116" s="178"/>
      <c r="D116" s="148"/>
      <c r="E116" s="125">
        <f t="shared" ref="E116:O116" si="40">E118-E117</f>
        <v>1215736.3999999999</v>
      </c>
      <c r="F116" s="125">
        <f t="shared" si="40"/>
        <v>172300.7</v>
      </c>
      <c r="G116" s="125">
        <f t="shared" si="40"/>
        <v>1043435.7</v>
      </c>
      <c r="H116" s="125">
        <f t="shared" si="40"/>
        <v>0</v>
      </c>
      <c r="I116" s="125">
        <f t="shared" si="40"/>
        <v>0</v>
      </c>
      <c r="J116" s="125">
        <f t="shared" si="40"/>
        <v>1106389.1000000001</v>
      </c>
      <c r="K116" s="125">
        <f t="shared" si="40"/>
        <v>171788.6</v>
      </c>
      <c r="L116" s="125">
        <f t="shared" si="40"/>
        <v>780209.67999999993</v>
      </c>
      <c r="M116" s="125">
        <f t="shared" si="40"/>
        <v>154390.79</v>
      </c>
      <c r="N116" s="125">
        <f t="shared" si="40"/>
        <v>0</v>
      </c>
      <c r="O116" s="125">
        <f t="shared" si="40"/>
        <v>1447833.5999999999</v>
      </c>
      <c r="P116" s="125">
        <f>P118-P117</f>
        <v>116363.1</v>
      </c>
      <c r="Q116" s="125">
        <f t="shared" ref="Q116:AM116" si="41">Q118-Q117</f>
        <v>1081470.5</v>
      </c>
      <c r="R116" s="125">
        <f t="shared" si="41"/>
        <v>250000</v>
      </c>
      <c r="S116" s="125">
        <f t="shared" si="41"/>
        <v>0</v>
      </c>
      <c r="T116" s="125">
        <f t="shared" si="41"/>
        <v>1384570</v>
      </c>
      <c r="U116" s="125">
        <f t="shared" si="41"/>
        <v>117722</v>
      </c>
      <c r="V116" s="125">
        <f t="shared" si="41"/>
        <v>347729</v>
      </c>
      <c r="W116" s="125">
        <f t="shared" si="41"/>
        <v>919119</v>
      </c>
      <c r="X116" s="125">
        <f t="shared" si="41"/>
        <v>0</v>
      </c>
      <c r="Y116" s="125">
        <f t="shared" si="41"/>
        <v>1058565</v>
      </c>
      <c r="Z116" s="125">
        <f t="shared" si="41"/>
        <v>71303</v>
      </c>
      <c r="AA116" s="125">
        <f t="shared" si="41"/>
        <v>987262</v>
      </c>
      <c r="AB116" s="125">
        <f t="shared" si="41"/>
        <v>0</v>
      </c>
      <c r="AC116" s="125">
        <f t="shared" si="41"/>
        <v>0</v>
      </c>
      <c r="AD116" s="125">
        <f t="shared" si="41"/>
        <v>1236829.2</v>
      </c>
      <c r="AE116" s="125">
        <f t="shared" si="41"/>
        <v>68308.2</v>
      </c>
      <c r="AF116" s="125">
        <f t="shared" si="41"/>
        <v>968521</v>
      </c>
      <c r="AG116" s="125">
        <f t="shared" si="41"/>
        <v>200000</v>
      </c>
      <c r="AH116" s="125">
        <f t="shared" si="41"/>
        <v>0</v>
      </c>
      <c r="AI116" s="125">
        <f t="shared" si="41"/>
        <v>857682</v>
      </c>
      <c r="AJ116" s="125">
        <f>AJ118-AJ117</f>
        <v>90277</v>
      </c>
      <c r="AK116" s="125">
        <f t="shared" si="41"/>
        <v>767405</v>
      </c>
      <c r="AL116" s="125">
        <f t="shared" si="41"/>
        <v>0</v>
      </c>
      <c r="AM116" s="125">
        <f t="shared" si="41"/>
        <v>0</v>
      </c>
      <c r="AN116" s="125">
        <f>SUM(AN104:AN115)-AN117-AN113</f>
        <v>8307605.3000000007</v>
      </c>
      <c r="AO116" s="149">
        <f>AJ116+Z116+U116+P116+K116+F116+AE116</f>
        <v>808062.59999999986</v>
      </c>
    </row>
    <row r="117" spans="1:41" s="9" customFormat="1" ht="42" customHeight="1" x14ac:dyDescent="0.3">
      <c r="A117" s="187" t="s">
        <v>101</v>
      </c>
      <c r="B117" s="187"/>
      <c r="C117" s="187"/>
      <c r="D117" s="88"/>
      <c r="E117" s="99">
        <v>0</v>
      </c>
      <c r="F117" s="99">
        <v>0</v>
      </c>
      <c r="G117" s="99">
        <v>0</v>
      </c>
      <c r="H117" s="99">
        <v>0</v>
      </c>
      <c r="I117" s="99">
        <v>0</v>
      </c>
      <c r="J117" s="99">
        <v>0</v>
      </c>
      <c r="K117" s="99">
        <v>0</v>
      </c>
      <c r="L117" s="99">
        <v>0</v>
      </c>
      <c r="M117" s="99">
        <v>0</v>
      </c>
      <c r="N117" s="99">
        <v>0</v>
      </c>
      <c r="O117" s="115">
        <f>P117+Q117+R117+S117</f>
        <v>18939.41</v>
      </c>
      <c r="P117" s="115">
        <f>P106</f>
        <v>116.41</v>
      </c>
      <c r="Q117" s="115">
        <f>Q106</f>
        <v>18823</v>
      </c>
      <c r="R117" s="99">
        <v>0</v>
      </c>
      <c r="S117" s="99">
        <v>0</v>
      </c>
      <c r="T117" s="99">
        <v>0</v>
      </c>
      <c r="U117" s="99">
        <v>0</v>
      </c>
      <c r="V117" s="99">
        <v>0</v>
      </c>
      <c r="W117" s="99">
        <v>0</v>
      </c>
      <c r="X117" s="99">
        <v>0</v>
      </c>
      <c r="Y117" s="99">
        <v>0</v>
      </c>
      <c r="Z117" s="99">
        <v>0</v>
      </c>
      <c r="AA117" s="99">
        <v>0</v>
      </c>
      <c r="AB117" s="99">
        <v>0</v>
      </c>
      <c r="AC117" s="99">
        <v>0</v>
      </c>
      <c r="AD117" s="99">
        <v>0</v>
      </c>
      <c r="AE117" s="99">
        <v>0</v>
      </c>
      <c r="AF117" s="99">
        <v>0</v>
      </c>
      <c r="AG117" s="99">
        <v>0</v>
      </c>
      <c r="AH117" s="99">
        <v>0</v>
      </c>
      <c r="AI117" s="115">
        <v>0</v>
      </c>
      <c r="AJ117" s="99">
        <v>0</v>
      </c>
      <c r="AK117" s="99">
        <v>0</v>
      </c>
      <c r="AL117" s="99">
        <v>0</v>
      </c>
      <c r="AM117" s="99">
        <v>0</v>
      </c>
      <c r="AN117" s="92">
        <f>AN106</f>
        <v>18939.41</v>
      </c>
      <c r="AO117" s="146">
        <f>G116+L116+Q116+V116+AA116+AF116+AK116</f>
        <v>5976032.8799999999</v>
      </c>
    </row>
    <row r="118" spans="1:41" s="9" customFormat="1" ht="42" customHeight="1" x14ac:dyDescent="0.3">
      <c r="A118" s="185" t="s">
        <v>105</v>
      </c>
      <c r="B118" s="185"/>
      <c r="C118" s="185"/>
      <c r="D118" s="77"/>
      <c r="E118" s="92">
        <f>SUM(E104:E114)</f>
        <v>1215736.3999999999</v>
      </c>
      <c r="F118" s="92">
        <f>SUM(F104:F114)</f>
        <v>172300.7</v>
      </c>
      <c r="G118" s="92">
        <f>SUM(G104:G114)</f>
        <v>1043435.7</v>
      </c>
      <c r="H118" s="92">
        <f t="shared" ref="H118:AM118" si="42">SUM(H105:H114)</f>
        <v>0</v>
      </c>
      <c r="I118" s="92">
        <f t="shared" si="42"/>
        <v>0</v>
      </c>
      <c r="J118" s="92">
        <f>SUM(J105:J114)</f>
        <v>1106389.1000000001</v>
      </c>
      <c r="K118" s="92">
        <f t="shared" si="42"/>
        <v>171788.6</v>
      </c>
      <c r="L118" s="92">
        <f t="shared" si="42"/>
        <v>780209.67999999993</v>
      </c>
      <c r="M118" s="92">
        <f t="shared" si="42"/>
        <v>154390.79</v>
      </c>
      <c r="N118" s="92">
        <f t="shared" si="42"/>
        <v>0</v>
      </c>
      <c r="O118" s="92">
        <f>O114+O111+O108+O106+O105+O112</f>
        <v>1466773.0099999998</v>
      </c>
      <c r="P118" s="92">
        <f>P114+P111+P108+P106+P105+P112</f>
        <v>116479.51000000001</v>
      </c>
      <c r="Q118" s="92">
        <f>Q114+Q111+Q108+Q106+Q105+Q112</f>
        <v>1100293.5</v>
      </c>
      <c r="R118" s="92">
        <f t="shared" ref="R118:S118" si="43">R114+R111+R108+R106+R105</f>
        <v>250000</v>
      </c>
      <c r="S118" s="92">
        <f t="shared" si="43"/>
        <v>0</v>
      </c>
      <c r="T118" s="92">
        <f>SUM(T105:T114)</f>
        <v>1384570</v>
      </c>
      <c r="U118" s="92">
        <f>U114+U111+U108+U112+U107+U105</f>
        <v>117722</v>
      </c>
      <c r="V118" s="92">
        <f>V114+V111+V108+V112</f>
        <v>347729</v>
      </c>
      <c r="W118" s="92">
        <f t="shared" si="42"/>
        <v>919119</v>
      </c>
      <c r="X118" s="92">
        <f t="shared" si="42"/>
        <v>0</v>
      </c>
      <c r="Y118" s="92">
        <f>SUM(Y105:Y115)</f>
        <v>1058565</v>
      </c>
      <c r="Z118" s="92">
        <f>SUM(Z105:Z115)</f>
        <v>71303</v>
      </c>
      <c r="AA118" s="92">
        <f>SUM(AA105:AA115)</f>
        <v>987262</v>
      </c>
      <c r="AB118" s="92">
        <f t="shared" si="42"/>
        <v>0</v>
      </c>
      <c r="AC118" s="92">
        <f t="shared" si="42"/>
        <v>0</v>
      </c>
      <c r="AD118" s="92">
        <f>SUM(AD104:AD115)</f>
        <v>1236829.2</v>
      </c>
      <c r="AE118" s="92">
        <f>SUM(AE104:AE115)</f>
        <v>68308.2</v>
      </c>
      <c r="AF118" s="92">
        <f>SUM(AF105:AF115)</f>
        <v>968521</v>
      </c>
      <c r="AG118" s="92">
        <f t="shared" si="42"/>
        <v>200000</v>
      </c>
      <c r="AH118" s="92">
        <f t="shared" si="42"/>
        <v>0</v>
      </c>
      <c r="AI118" s="92">
        <f>SUM(AI104:AI114)</f>
        <v>857682</v>
      </c>
      <c r="AJ118" s="92">
        <f>SUM(AJ104:AJ114)</f>
        <v>90277</v>
      </c>
      <c r="AK118" s="92">
        <f t="shared" si="42"/>
        <v>767405</v>
      </c>
      <c r="AL118" s="92">
        <f t="shared" si="42"/>
        <v>0</v>
      </c>
      <c r="AM118" s="92">
        <f t="shared" si="42"/>
        <v>0</v>
      </c>
      <c r="AN118" s="92" t="s">
        <v>108</v>
      </c>
      <c r="AO118" s="146">
        <f>H116+M116+R116+W116+AB116+AG116+AL116</f>
        <v>1523509.79</v>
      </c>
    </row>
    <row r="119" spans="1:41" s="10" customFormat="1" ht="42" customHeight="1" x14ac:dyDescent="0.25">
      <c r="A119" s="185" t="s">
        <v>99</v>
      </c>
      <c r="B119" s="186"/>
      <c r="C119" s="186"/>
      <c r="D119" s="186"/>
      <c r="E119" s="186"/>
      <c r="F119" s="186"/>
      <c r="G119" s="186"/>
      <c r="H119" s="186"/>
      <c r="I119" s="186"/>
      <c r="J119" s="186"/>
      <c r="K119" s="186"/>
      <c r="L119" s="186"/>
      <c r="M119" s="186"/>
      <c r="N119" s="186"/>
      <c r="O119" s="186"/>
      <c r="P119" s="186"/>
      <c r="Q119" s="186"/>
      <c r="R119" s="186"/>
      <c r="S119" s="186"/>
      <c r="T119" s="186"/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  <c r="AF119" s="186"/>
      <c r="AG119" s="186"/>
      <c r="AH119" s="186"/>
      <c r="AI119" s="186"/>
      <c r="AJ119" s="186"/>
      <c r="AK119" s="186"/>
      <c r="AL119" s="186"/>
      <c r="AM119" s="186"/>
      <c r="AN119" s="186"/>
      <c r="AO119" s="130"/>
    </row>
    <row r="120" spans="1:41" s="10" customFormat="1" ht="42" customHeight="1" x14ac:dyDescent="0.25">
      <c r="A120" s="184" t="s">
        <v>118</v>
      </c>
      <c r="B120" s="172"/>
      <c r="C120" s="172"/>
      <c r="D120" s="172"/>
      <c r="E120" s="172"/>
      <c r="F120" s="172"/>
      <c r="G120" s="172"/>
      <c r="H120" s="172"/>
      <c r="I120" s="172"/>
      <c r="J120" s="172"/>
      <c r="K120" s="172"/>
      <c r="L120" s="172"/>
      <c r="M120" s="172"/>
      <c r="N120" s="172"/>
      <c r="O120" s="172"/>
      <c r="P120" s="172"/>
      <c r="Q120" s="172"/>
      <c r="R120" s="172"/>
      <c r="S120" s="172"/>
      <c r="T120" s="172"/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  <c r="AF120" s="172"/>
      <c r="AG120" s="172"/>
      <c r="AH120" s="172"/>
      <c r="AI120" s="172"/>
      <c r="AJ120" s="172"/>
      <c r="AK120" s="172"/>
      <c r="AL120" s="172"/>
      <c r="AM120" s="172"/>
      <c r="AN120" s="172"/>
      <c r="AO120" s="130"/>
    </row>
    <row r="121" spans="1:41" s="10" customFormat="1" ht="42" customHeight="1" x14ac:dyDescent="0.25">
      <c r="A121" s="185" t="s">
        <v>93</v>
      </c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5"/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  <c r="AF121" s="185"/>
      <c r="AG121" s="185"/>
      <c r="AH121" s="185"/>
      <c r="AI121" s="185"/>
      <c r="AJ121" s="185"/>
      <c r="AK121" s="185"/>
      <c r="AL121" s="185"/>
      <c r="AM121" s="185"/>
      <c r="AN121" s="185"/>
      <c r="AO121" s="130"/>
    </row>
    <row r="122" spans="1:41" s="10" customFormat="1" ht="42" customHeight="1" x14ac:dyDescent="0.25">
      <c r="A122" s="185" t="s">
        <v>81</v>
      </c>
      <c r="B122" s="186"/>
      <c r="C122" s="186"/>
      <c r="D122" s="186"/>
      <c r="E122" s="186"/>
      <c r="F122" s="186"/>
      <c r="G122" s="186"/>
      <c r="H122" s="186"/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6"/>
      <c r="T122" s="186"/>
      <c r="U122" s="186"/>
      <c r="V122" s="186"/>
      <c r="W122" s="186"/>
      <c r="X122" s="186"/>
      <c r="Y122" s="186"/>
      <c r="Z122" s="186"/>
      <c r="AA122" s="186"/>
      <c r="AB122" s="186"/>
      <c r="AC122" s="186"/>
      <c r="AD122" s="186"/>
      <c r="AE122" s="186"/>
      <c r="AF122" s="186"/>
      <c r="AG122" s="186"/>
      <c r="AH122" s="186"/>
      <c r="AI122" s="186"/>
      <c r="AJ122" s="186"/>
      <c r="AK122" s="186"/>
      <c r="AL122" s="186"/>
      <c r="AM122" s="186"/>
      <c r="AN122" s="186"/>
      <c r="AO122" s="130"/>
    </row>
    <row r="123" spans="1:41" s="12" customFormat="1" ht="138" customHeight="1" x14ac:dyDescent="0.2">
      <c r="A123" s="144">
        <v>69</v>
      </c>
      <c r="B123" s="143" t="s">
        <v>111</v>
      </c>
      <c r="C123" s="143" t="s">
        <v>141</v>
      </c>
      <c r="D123" s="119" t="s">
        <v>39</v>
      </c>
      <c r="E123" s="92">
        <f>F123+G123+H123+I123</f>
        <v>233719</v>
      </c>
      <c r="F123" s="102">
        <v>233719</v>
      </c>
      <c r="G123" s="97">
        <v>0</v>
      </c>
      <c r="H123" s="97">
        <v>0</v>
      </c>
      <c r="I123" s="97">
        <v>0</v>
      </c>
      <c r="J123" s="92">
        <f>K123+L123+M123+N123</f>
        <v>284132</v>
      </c>
      <c r="K123" s="102">
        <f>286179+556-1112-1491</f>
        <v>284132</v>
      </c>
      <c r="L123" s="102">
        <v>0</v>
      </c>
      <c r="M123" s="102">
        <v>0</v>
      </c>
      <c r="N123" s="102">
        <v>0</v>
      </c>
      <c r="O123" s="92">
        <f>P123+Q123+R123+S123</f>
        <v>289782</v>
      </c>
      <c r="P123" s="102">
        <v>289782</v>
      </c>
      <c r="Q123" s="102">
        <v>0</v>
      </c>
      <c r="R123" s="102">
        <v>0</v>
      </c>
      <c r="S123" s="102">
        <v>0</v>
      </c>
      <c r="T123" s="92">
        <v>305312</v>
      </c>
      <c r="U123" s="102">
        <v>305312</v>
      </c>
      <c r="V123" s="102">
        <v>0</v>
      </c>
      <c r="W123" s="102">
        <v>0</v>
      </c>
      <c r="X123" s="102">
        <v>0</v>
      </c>
      <c r="Y123" s="92">
        <f>345491</f>
        <v>345491</v>
      </c>
      <c r="Z123" s="102">
        <f>345491</f>
        <v>345491</v>
      </c>
      <c r="AA123" s="102">
        <v>0</v>
      </c>
      <c r="AB123" s="102">
        <v>0</v>
      </c>
      <c r="AC123" s="102">
        <v>0</v>
      </c>
      <c r="AD123" s="92">
        <v>346664</v>
      </c>
      <c r="AE123" s="102">
        <v>346664</v>
      </c>
      <c r="AF123" s="102">
        <v>0</v>
      </c>
      <c r="AG123" s="102">
        <v>0</v>
      </c>
      <c r="AH123" s="102">
        <v>0</v>
      </c>
      <c r="AI123" s="92">
        <f>AJ123+AK123+AL123+AM123</f>
        <v>345098</v>
      </c>
      <c r="AJ123" s="102">
        <v>345098</v>
      </c>
      <c r="AK123" s="102">
        <v>0</v>
      </c>
      <c r="AL123" s="102">
        <v>0</v>
      </c>
      <c r="AM123" s="102">
        <v>0</v>
      </c>
      <c r="AN123" s="92">
        <f>E123+J123+O123+T123+Y123+AD123+AI123</f>
        <v>2150198</v>
      </c>
      <c r="AO123" s="25"/>
    </row>
    <row r="124" spans="1:41" s="12" customFormat="1" ht="112.9" customHeight="1" x14ac:dyDescent="0.2">
      <c r="A124" s="144">
        <v>70</v>
      </c>
      <c r="B124" s="143" t="s">
        <v>156</v>
      </c>
      <c r="C124" s="143" t="s">
        <v>141</v>
      </c>
      <c r="D124" s="119" t="s">
        <v>39</v>
      </c>
      <c r="E124" s="92">
        <f>F124+G124+H124+I124</f>
        <v>397</v>
      </c>
      <c r="F124" s="102">
        <v>397</v>
      </c>
      <c r="G124" s="102">
        <v>0</v>
      </c>
      <c r="H124" s="102">
        <v>0</v>
      </c>
      <c r="I124" s="102">
        <v>0</v>
      </c>
      <c r="J124" s="92">
        <f>K124+L124+M124+N124</f>
        <v>331</v>
      </c>
      <c r="K124" s="102">
        <v>331</v>
      </c>
      <c r="L124" s="102">
        <v>0</v>
      </c>
      <c r="M124" s="102">
        <v>0</v>
      </c>
      <c r="N124" s="102">
        <v>0</v>
      </c>
      <c r="O124" s="92">
        <f>P124+Q124+R124+S124</f>
        <v>330</v>
      </c>
      <c r="P124" s="102">
        <v>330</v>
      </c>
      <c r="Q124" s="102">
        <v>0</v>
      </c>
      <c r="R124" s="102">
        <v>0</v>
      </c>
      <c r="S124" s="102">
        <v>0</v>
      </c>
      <c r="T124" s="92">
        <f>438+73</f>
        <v>511</v>
      </c>
      <c r="U124" s="102">
        <f>438+73</f>
        <v>511</v>
      </c>
      <c r="V124" s="102">
        <v>0</v>
      </c>
      <c r="W124" s="102">
        <v>0</v>
      </c>
      <c r="X124" s="102">
        <v>0</v>
      </c>
      <c r="Y124" s="92">
        <f>438+408</f>
        <v>846</v>
      </c>
      <c r="Z124" s="102">
        <f>438+408</f>
        <v>846</v>
      </c>
      <c r="AA124" s="102">
        <v>0</v>
      </c>
      <c r="AB124" s="102">
        <v>0</v>
      </c>
      <c r="AC124" s="102">
        <v>0</v>
      </c>
      <c r="AD124" s="92">
        <f>438+408</f>
        <v>846</v>
      </c>
      <c r="AE124" s="102">
        <f>438+408</f>
        <v>846</v>
      </c>
      <c r="AF124" s="102">
        <v>0</v>
      </c>
      <c r="AG124" s="102">
        <v>0</v>
      </c>
      <c r="AH124" s="102">
        <v>0</v>
      </c>
      <c r="AI124" s="92">
        <v>846</v>
      </c>
      <c r="AJ124" s="102">
        <v>846</v>
      </c>
      <c r="AK124" s="102">
        <v>0</v>
      </c>
      <c r="AL124" s="102">
        <v>0</v>
      </c>
      <c r="AM124" s="102">
        <v>0</v>
      </c>
      <c r="AN124" s="92">
        <f>E124+J124+O124+T124+Y124+AD124+AI124</f>
        <v>4107</v>
      </c>
      <c r="AO124" s="25"/>
    </row>
    <row r="125" spans="1:41" s="12" customFormat="1" ht="42" customHeight="1" x14ac:dyDescent="0.2">
      <c r="A125" s="187" t="s">
        <v>82</v>
      </c>
      <c r="B125" s="206"/>
      <c r="C125" s="206"/>
      <c r="D125" s="206"/>
      <c r="E125" s="206"/>
      <c r="F125" s="206"/>
      <c r="G125" s="206"/>
      <c r="H125" s="206"/>
      <c r="I125" s="206"/>
      <c r="J125" s="206"/>
      <c r="K125" s="206"/>
      <c r="L125" s="206"/>
      <c r="M125" s="206"/>
      <c r="N125" s="206"/>
      <c r="O125" s="206"/>
      <c r="P125" s="206"/>
      <c r="Q125" s="206"/>
      <c r="R125" s="206"/>
      <c r="S125" s="206"/>
      <c r="T125" s="206"/>
      <c r="U125" s="20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/>
      <c r="AH125" s="206"/>
      <c r="AI125" s="206"/>
      <c r="AJ125" s="206"/>
      <c r="AK125" s="206"/>
      <c r="AL125" s="206"/>
      <c r="AM125" s="206"/>
      <c r="AN125" s="206"/>
      <c r="AO125" s="25"/>
    </row>
    <row r="126" spans="1:41" s="12" customFormat="1" ht="98.45" customHeight="1" x14ac:dyDescent="0.2">
      <c r="A126" s="144">
        <v>71</v>
      </c>
      <c r="B126" s="143" t="s">
        <v>59</v>
      </c>
      <c r="C126" s="143" t="s">
        <v>141</v>
      </c>
      <c r="D126" s="119" t="s">
        <v>39</v>
      </c>
      <c r="E126" s="92">
        <f>F126+G126+H126+I126</f>
        <v>8015</v>
      </c>
      <c r="F126" s="102">
        <v>8015</v>
      </c>
      <c r="G126" s="102">
        <v>0</v>
      </c>
      <c r="H126" s="102">
        <v>0</v>
      </c>
      <c r="I126" s="102">
        <v>0</v>
      </c>
      <c r="J126" s="92">
        <f>K126+L126+M126+N126</f>
        <v>17835</v>
      </c>
      <c r="K126" s="102">
        <f>18015-180</f>
        <v>17835</v>
      </c>
      <c r="L126" s="102">
        <v>0</v>
      </c>
      <c r="M126" s="102">
        <v>0</v>
      </c>
      <c r="N126" s="102">
        <v>0</v>
      </c>
      <c r="O126" s="92">
        <f>P126+Q126+R126+S126</f>
        <v>8925</v>
      </c>
      <c r="P126" s="102">
        <f>9015-45-45</f>
        <v>8925</v>
      </c>
      <c r="Q126" s="102">
        <v>0</v>
      </c>
      <c r="R126" s="102">
        <v>0</v>
      </c>
      <c r="S126" s="102">
        <v>0</v>
      </c>
      <c r="T126" s="92">
        <v>17925</v>
      </c>
      <c r="U126" s="102">
        <v>17925</v>
      </c>
      <c r="V126" s="102">
        <v>0</v>
      </c>
      <c r="W126" s="102">
        <v>0</v>
      </c>
      <c r="X126" s="102">
        <v>0</v>
      </c>
      <c r="Y126" s="92">
        <v>15674</v>
      </c>
      <c r="Z126" s="102">
        <v>15674</v>
      </c>
      <c r="AA126" s="102">
        <v>0</v>
      </c>
      <c r="AB126" s="102">
        <v>0</v>
      </c>
      <c r="AC126" s="102">
        <v>0</v>
      </c>
      <c r="AD126" s="92">
        <f>AE126+AF126+AG126+AH126</f>
        <v>39332</v>
      </c>
      <c r="AE126" s="102">
        <v>39332</v>
      </c>
      <c r="AF126" s="102">
        <v>0</v>
      </c>
      <c r="AG126" s="102">
        <v>0</v>
      </c>
      <c r="AH126" s="102">
        <v>0</v>
      </c>
      <c r="AI126" s="92">
        <f>AJ126+AK126+AL126+AM126</f>
        <v>40552</v>
      </c>
      <c r="AJ126" s="102">
        <v>40552</v>
      </c>
      <c r="AK126" s="102">
        <v>0</v>
      </c>
      <c r="AL126" s="102">
        <v>0</v>
      </c>
      <c r="AM126" s="102">
        <v>0</v>
      </c>
      <c r="AN126" s="92">
        <f>E126+J126+O126+T126+Y126+AD126+AI126</f>
        <v>148258</v>
      </c>
      <c r="AO126" s="25"/>
    </row>
    <row r="127" spans="1:41" s="12" customFormat="1" ht="206.45" customHeight="1" x14ac:dyDescent="0.2">
      <c r="A127" s="144">
        <v>72</v>
      </c>
      <c r="B127" s="143" t="s">
        <v>179</v>
      </c>
      <c r="C127" s="143" t="s">
        <v>141</v>
      </c>
      <c r="D127" s="120" t="s">
        <v>172</v>
      </c>
      <c r="E127" s="92">
        <f>F127+G127+H127+I127</f>
        <v>281</v>
      </c>
      <c r="F127" s="102">
        <f>442-161</f>
        <v>281</v>
      </c>
      <c r="G127" s="102">
        <v>0</v>
      </c>
      <c r="H127" s="102">
        <v>0</v>
      </c>
      <c r="I127" s="102">
        <v>0</v>
      </c>
      <c r="J127" s="92">
        <f>K127+L127+M127+N127</f>
        <v>0</v>
      </c>
      <c r="K127" s="102">
        <v>0</v>
      </c>
      <c r="L127" s="102">
        <v>0</v>
      </c>
      <c r="M127" s="102">
        <v>0</v>
      </c>
      <c r="N127" s="102">
        <v>0</v>
      </c>
      <c r="O127" s="92">
        <f>P127+Q127+R127+S127</f>
        <v>0</v>
      </c>
      <c r="P127" s="102">
        <v>0</v>
      </c>
      <c r="Q127" s="102">
        <v>0</v>
      </c>
      <c r="R127" s="102">
        <v>0</v>
      </c>
      <c r="S127" s="102">
        <v>0</v>
      </c>
      <c r="T127" s="92">
        <v>0</v>
      </c>
      <c r="U127" s="102">
        <v>0</v>
      </c>
      <c r="V127" s="102">
        <v>0</v>
      </c>
      <c r="W127" s="102">
        <v>0</v>
      </c>
      <c r="X127" s="102">
        <v>0</v>
      </c>
      <c r="Y127" s="92">
        <v>0</v>
      </c>
      <c r="Z127" s="102">
        <v>0</v>
      </c>
      <c r="AA127" s="102">
        <v>0</v>
      </c>
      <c r="AB127" s="102">
        <v>0</v>
      </c>
      <c r="AC127" s="102">
        <v>0</v>
      </c>
      <c r="AD127" s="92">
        <f>671-2</f>
        <v>669</v>
      </c>
      <c r="AE127" s="102">
        <f>671-2</f>
        <v>669</v>
      </c>
      <c r="AF127" s="102">
        <v>0</v>
      </c>
      <c r="AG127" s="102">
        <v>0</v>
      </c>
      <c r="AH127" s="102">
        <v>0</v>
      </c>
      <c r="AI127" s="92">
        <v>0</v>
      </c>
      <c r="AJ127" s="102">
        <v>0</v>
      </c>
      <c r="AK127" s="102">
        <v>0</v>
      </c>
      <c r="AL127" s="102">
        <v>0</v>
      </c>
      <c r="AM127" s="102">
        <v>0</v>
      </c>
      <c r="AN127" s="92">
        <f>E127+J127+O127+T127+Y127+AD127+AI127</f>
        <v>950</v>
      </c>
      <c r="AO127" s="25"/>
    </row>
    <row r="128" spans="1:41" s="12" customFormat="1" ht="133.15" customHeight="1" x14ac:dyDescent="0.2">
      <c r="A128" s="81">
        <v>73</v>
      </c>
      <c r="B128" s="82" t="s">
        <v>181</v>
      </c>
      <c r="C128" s="82" t="s">
        <v>141</v>
      </c>
      <c r="D128" s="121" t="s">
        <v>149</v>
      </c>
      <c r="E128" s="92">
        <f>F128+G128+H128+I128</f>
        <v>0</v>
      </c>
      <c r="F128" s="102">
        <v>0</v>
      </c>
      <c r="G128" s="102">
        <v>0</v>
      </c>
      <c r="H128" s="102">
        <v>0</v>
      </c>
      <c r="I128" s="102">
        <v>0</v>
      </c>
      <c r="J128" s="92">
        <f>K128+L128+M128+N128</f>
        <v>0</v>
      </c>
      <c r="K128" s="102">
        <v>0</v>
      </c>
      <c r="L128" s="102">
        <v>0</v>
      </c>
      <c r="M128" s="102">
        <v>0</v>
      </c>
      <c r="N128" s="102">
        <v>0</v>
      </c>
      <c r="O128" s="92">
        <f>P128+Q128+R128+S128</f>
        <v>0</v>
      </c>
      <c r="P128" s="102">
        <f>854-854</f>
        <v>0</v>
      </c>
      <c r="Q128" s="102">
        <v>0</v>
      </c>
      <c r="R128" s="102">
        <v>0</v>
      </c>
      <c r="S128" s="102">
        <v>0</v>
      </c>
      <c r="T128" s="92">
        <v>495</v>
      </c>
      <c r="U128" s="102">
        <v>495</v>
      </c>
      <c r="V128" s="102">
        <v>0</v>
      </c>
      <c r="W128" s="102">
        <v>0</v>
      </c>
      <c r="X128" s="102">
        <v>0</v>
      </c>
      <c r="Y128" s="92">
        <v>5324</v>
      </c>
      <c r="Z128" s="102">
        <v>5324</v>
      </c>
      <c r="AA128" s="102">
        <v>0</v>
      </c>
      <c r="AB128" s="102">
        <v>0</v>
      </c>
      <c r="AC128" s="102">
        <v>0</v>
      </c>
      <c r="AD128" s="92">
        <f>1936-35</f>
        <v>1901</v>
      </c>
      <c r="AE128" s="102">
        <f>1936-35</f>
        <v>1901</v>
      </c>
      <c r="AF128" s="102">
        <v>0</v>
      </c>
      <c r="AG128" s="102">
        <v>0</v>
      </c>
      <c r="AH128" s="102">
        <v>0</v>
      </c>
      <c r="AI128" s="92">
        <v>0</v>
      </c>
      <c r="AJ128" s="102">
        <v>0</v>
      </c>
      <c r="AK128" s="102">
        <v>0</v>
      </c>
      <c r="AL128" s="102">
        <v>0</v>
      </c>
      <c r="AM128" s="102">
        <v>0</v>
      </c>
      <c r="AN128" s="92">
        <f>E128+J128+O128+T128+Y128+AD128+AI128</f>
        <v>7720</v>
      </c>
      <c r="AO128" s="25"/>
    </row>
    <row r="129" spans="1:41" s="12" customFormat="1" ht="140.44999999999999" customHeight="1" x14ac:dyDescent="0.2">
      <c r="A129" s="81">
        <v>74</v>
      </c>
      <c r="B129" s="82" t="s">
        <v>178</v>
      </c>
      <c r="C129" s="82" t="s">
        <v>141</v>
      </c>
      <c r="D129" s="120">
        <v>2018</v>
      </c>
      <c r="E129" s="92">
        <f>F129+G129+H129+I129</f>
        <v>0</v>
      </c>
      <c r="F129" s="102">
        <v>0</v>
      </c>
      <c r="G129" s="102">
        <v>0</v>
      </c>
      <c r="H129" s="102">
        <v>0</v>
      </c>
      <c r="I129" s="102">
        <v>0</v>
      </c>
      <c r="J129" s="92">
        <f>K129+L129+M129+N129</f>
        <v>0</v>
      </c>
      <c r="K129" s="102">
        <v>0</v>
      </c>
      <c r="L129" s="102">
        <v>0</v>
      </c>
      <c r="M129" s="102">
        <v>0</v>
      </c>
      <c r="N129" s="102">
        <v>0</v>
      </c>
      <c r="O129" s="92">
        <f>P129+Q129+R129+S129</f>
        <v>0</v>
      </c>
      <c r="P129" s="102">
        <f>854-854</f>
        <v>0</v>
      </c>
      <c r="Q129" s="102">
        <v>0</v>
      </c>
      <c r="R129" s="102">
        <v>0</v>
      </c>
      <c r="S129" s="102">
        <v>0</v>
      </c>
      <c r="T129" s="92">
        <v>0</v>
      </c>
      <c r="U129" s="102">
        <v>0</v>
      </c>
      <c r="V129" s="102">
        <v>0</v>
      </c>
      <c r="W129" s="102">
        <v>0</v>
      </c>
      <c r="X129" s="102">
        <v>0</v>
      </c>
      <c r="Y129" s="92">
        <f>Z129+AA129+AB129+AC129</f>
        <v>3239</v>
      </c>
      <c r="Z129" s="102">
        <v>3239</v>
      </c>
      <c r="AA129" s="102">
        <v>0</v>
      </c>
      <c r="AB129" s="102">
        <v>0</v>
      </c>
      <c r="AC129" s="102">
        <v>0</v>
      </c>
      <c r="AD129" s="92">
        <v>0</v>
      </c>
      <c r="AE129" s="102">
        <v>0</v>
      </c>
      <c r="AF129" s="102">
        <v>0</v>
      </c>
      <c r="AG129" s="102">
        <v>0</v>
      </c>
      <c r="AH129" s="102">
        <v>0</v>
      </c>
      <c r="AI129" s="92">
        <v>0</v>
      </c>
      <c r="AJ129" s="102">
        <v>0</v>
      </c>
      <c r="AK129" s="102">
        <v>0</v>
      </c>
      <c r="AL129" s="102">
        <v>0</v>
      </c>
      <c r="AM129" s="102">
        <v>0</v>
      </c>
      <c r="AN129" s="92">
        <f>E129+J129+O129+T129+Y129+AD129+AI129</f>
        <v>3239</v>
      </c>
      <c r="AO129" s="25"/>
    </row>
    <row r="130" spans="1:41" s="18" customFormat="1" ht="42" customHeight="1" x14ac:dyDescent="0.25">
      <c r="A130" s="122"/>
      <c r="B130" s="207" t="s">
        <v>42</v>
      </c>
      <c r="C130" s="208"/>
      <c r="D130" s="123"/>
      <c r="E130" s="124">
        <f t="shared" ref="E130:AM130" si="44">SUM(E123:E127)</f>
        <v>242412</v>
      </c>
      <c r="F130" s="124">
        <f t="shared" si="44"/>
        <v>242412</v>
      </c>
      <c r="G130" s="124">
        <f t="shared" si="44"/>
        <v>0</v>
      </c>
      <c r="H130" s="124">
        <f t="shared" si="44"/>
        <v>0</v>
      </c>
      <c r="I130" s="124">
        <f t="shared" si="44"/>
        <v>0</v>
      </c>
      <c r="J130" s="124">
        <f t="shared" si="44"/>
        <v>302298</v>
      </c>
      <c r="K130" s="124">
        <f t="shared" si="44"/>
        <v>302298</v>
      </c>
      <c r="L130" s="124">
        <f t="shared" si="44"/>
        <v>0</v>
      </c>
      <c r="M130" s="124">
        <f t="shared" si="44"/>
        <v>0</v>
      </c>
      <c r="N130" s="124">
        <f t="shared" si="44"/>
        <v>0</v>
      </c>
      <c r="O130" s="124">
        <f>SUM(O123:O128)</f>
        <v>299037</v>
      </c>
      <c r="P130" s="124">
        <f>SUM(P123:P128)</f>
        <v>299037</v>
      </c>
      <c r="Q130" s="124">
        <f t="shared" si="44"/>
        <v>0</v>
      </c>
      <c r="R130" s="124">
        <f t="shared" si="44"/>
        <v>0</v>
      </c>
      <c r="S130" s="124">
        <f t="shared" si="44"/>
        <v>0</v>
      </c>
      <c r="T130" s="124">
        <f>SUM(T123:T129)</f>
        <v>324243</v>
      </c>
      <c r="U130" s="124">
        <f>SUM(U123:U129)</f>
        <v>324243</v>
      </c>
      <c r="V130" s="124">
        <f t="shared" si="44"/>
        <v>0</v>
      </c>
      <c r="W130" s="124">
        <f t="shared" si="44"/>
        <v>0</v>
      </c>
      <c r="X130" s="124">
        <f t="shared" si="44"/>
        <v>0</v>
      </c>
      <c r="Y130" s="124">
        <f>SUM(Y123:Y129)</f>
        <v>370574</v>
      </c>
      <c r="Z130" s="124">
        <f>SUM(Z123:Z129)</f>
        <v>370574</v>
      </c>
      <c r="AA130" s="124">
        <f t="shared" si="44"/>
        <v>0</v>
      </c>
      <c r="AB130" s="124">
        <f t="shared" si="44"/>
        <v>0</v>
      </c>
      <c r="AC130" s="124">
        <f t="shared" si="44"/>
        <v>0</v>
      </c>
      <c r="AD130" s="124">
        <f>SUM(AD123:AD129)</f>
        <v>389412</v>
      </c>
      <c r="AE130" s="124">
        <f>SUM(AE123:AE129)</f>
        <v>389412</v>
      </c>
      <c r="AF130" s="124">
        <f t="shared" si="44"/>
        <v>0</v>
      </c>
      <c r="AG130" s="124">
        <f t="shared" si="44"/>
        <v>0</v>
      </c>
      <c r="AH130" s="124">
        <f t="shared" si="44"/>
        <v>0</v>
      </c>
      <c r="AI130" s="124">
        <f t="shared" si="44"/>
        <v>386496</v>
      </c>
      <c r="AJ130" s="124">
        <f t="shared" si="44"/>
        <v>386496</v>
      </c>
      <c r="AK130" s="124">
        <f t="shared" si="44"/>
        <v>0</v>
      </c>
      <c r="AL130" s="124">
        <f t="shared" si="44"/>
        <v>0</v>
      </c>
      <c r="AM130" s="124">
        <f t="shared" si="44"/>
        <v>0</v>
      </c>
      <c r="AN130" s="124">
        <f>SUM(AN123:AN129)</f>
        <v>2314472</v>
      </c>
      <c r="AO130" s="138"/>
    </row>
    <row r="131" spans="1:41" s="18" customFormat="1" ht="42" customHeight="1" x14ac:dyDescent="0.25">
      <c r="A131" s="207" t="s">
        <v>107</v>
      </c>
      <c r="B131" s="207"/>
      <c r="C131" s="207"/>
      <c r="D131" s="123"/>
      <c r="E131" s="125">
        <f>F131+G131+H131+I131</f>
        <v>2006497.5099999998</v>
      </c>
      <c r="F131" s="125">
        <f t="shared" ref="F131:M131" si="45">F130+F116+F99+F79+F67</f>
        <v>582020.6</v>
      </c>
      <c r="G131" s="125">
        <f t="shared" si="45"/>
        <v>1194976.7</v>
      </c>
      <c r="H131" s="126">
        <f t="shared" si="45"/>
        <v>190000</v>
      </c>
      <c r="I131" s="125">
        <f t="shared" si="45"/>
        <v>39500.21</v>
      </c>
      <c r="J131" s="125">
        <f>K131+L131+M131+N131</f>
        <v>2047596.5799999998</v>
      </c>
      <c r="K131" s="125">
        <f t="shared" si="45"/>
        <v>812390.49999999988</v>
      </c>
      <c r="L131" s="125">
        <f t="shared" si="45"/>
        <v>894209.67999999993</v>
      </c>
      <c r="M131" s="125">
        <f t="shared" si="45"/>
        <v>304390.79000000004</v>
      </c>
      <c r="N131" s="125">
        <f>N130+N116+N99+N79+N67</f>
        <v>36605.61</v>
      </c>
      <c r="O131" s="125">
        <f>P131+Q131+R131+S131</f>
        <v>2196030.9</v>
      </c>
      <c r="P131" s="125">
        <f>P130+P116+P99+P79+P67</f>
        <v>829811.8</v>
      </c>
      <c r="Q131" s="125">
        <f>Q130+Q116+Q99+Q79+Q67</f>
        <v>1081470.5</v>
      </c>
      <c r="R131" s="125">
        <f>R127+R116+R97+R77+R67</f>
        <v>250000</v>
      </c>
      <c r="S131" s="125">
        <f>S130+S116+S99+S79+S67</f>
        <v>34748.6</v>
      </c>
      <c r="T131" s="125">
        <f>U131+V131+W131+X131</f>
        <v>2498130.25</v>
      </c>
      <c r="U131" s="125">
        <f>U130+U116+U99+U79+U67</f>
        <v>1040021.25</v>
      </c>
      <c r="V131" s="125">
        <f t="shared" ref="V131:AM131" si="46">V130+V116+V99+V79+V67</f>
        <v>502863</v>
      </c>
      <c r="W131" s="125">
        <f t="shared" si="46"/>
        <v>919119</v>
      </c>
      <c r="X131" s="125">
        <f t="shared" si="46"/>
        <v>36127</v>
      </c>
      <c r="Y131" s="125">
        <f>Z131+AA131+AB131+AC131</f>
        <v>1943576.5</v>
      </c>
      <c r="Z131" s="125">
        <f t="shared" si="46"/>
        <v>956202</v>
      </c>
      <c r="AA131" s="125">
        <f t="shared" si="46"/>
        <v>987262</v>
      </c>
      <c r="AB131" s="125">
        <f t="shared" si="46"/>
        <v>0</v>
      </c>
      <c r="AC131" s="125">
        <f t="shared" si="46"/>
        <v>112.5</v>
      </c>
      <c r="AD131" s="125">
        <f>AE131+AF131+AG131+AH131</f>
        <v>2115757.7000000002</v>
      </c>
      <c r="AE131" s="125">
        <f t="shared" si="46"/>
        <v>777447.2</v>
      </c>
      <c r="AF131" s="125">
        <f t="shared" si="46"/>
        <v>1138198</v>
      </c>
      <c r="AG131" s="125">
        <f t="shared" si="46"/>
        <v>200000</v>
      </c>
      <c r="AH131" s="125">
        <f t="shared" si="46"/>
        <v>112.5</v>
      </c>
      <c r="AI131" s="125">
        <f>AJ131+AK131+AL131+AM131</f>
        <v>1667197.5</v>
      </c>
      <c r="AJ131" s="125">
        <f t="shared" si="46"/>
        <v>899680</v>
      </c>
      <c r="AK131" s="125">
        <f>AK130+AK116+AK99+AK79+AK67</f>
        <v>767405</v>
      </c>
      <c r="AL131" s="125">
        <f t="shared" si="46"/>
        <v>0</v>
      </c>
      <c r="AM131" s="125">
        <f t="shared" si="46"/>
        <v>112.5</v>
      </c>
      <c r="AN131" s="124">
        <f>AN67+AN79+AN99+AN116+AN130</f>
        <v>14474786.970000001</v>
      </c>
      <c r="AO131" s="138"/>
    </row>
    <row r="132" spans="1:41" s="18" customFormat="1" ht="42" customHeight="1" x14ac:dyDescent="0.25">
      <c r="A132" s="180" t="s">
        <v>101</v>
      </c>
      <c r="B132" s="180"/>
      <c r="C132" s="180"/>
      <c r="D132" s="123"/>
      <c r="E132" s="125">
        <f>E128+E117+E98+E78+E68</f>
        <v>0</v>
      </c>
      <c r="F132" s="125">
        <f>F128+F117+F98+F78+F68</f>
        <v>0</v>
      </c>
      <c r="G132" s="125">
        <f>G128+G117+G98+G78+G68</f>
        <v>0</v>
      </c>
      <c r="H132" s="125">
        <f>H128+H117+H98+H78+H68</f>
        <v>0</v>
      </c>
      <c r="I132" s="125">
        <f>I128+I117+I98+I78+I68</f>
        <v>0</v>
      </c>
      <c r="J132" s="127">
        <v>0</v>
      </c>
      <c r="K132" s="127">
        <v>0</v>
      </c>
      <c r="L132" s="127">
        <v>0</v>
      </c>
      <c r="M132" s="127">
        <v>0</v>
      </c>
      <c r="N132" s="125">
        <f>N128+N117+N98+N78+N68</f>
        <v>0</v>
      </c>
      <c r="O132" s="124">
        <f>P132+Q132+R132+S132</f>
        <v>28195.41</v>
      </c>
      <c r="P132" s="124">
        <f>P117+P68</f>
        <v>9372.41</v>
      </c>
      <c r="Q132" s="124">
        <f>Q117+Q68</f>
        <v>18823</v>
      </c>
      <c r="R132" s="125">
        <f>R128+R117+R98+R78+R68</f>
        <v>0</v>
      </c>
      <c r="S132" s="125">
        <f>S128+S117+S98+S78+S68</f>
        <v>0</v>
      </c>
      <c r="T132" s="127">
        <v>0</v>
      </c>
      <c r="U132" s="127">
        <v>0</v>
      </c>
      <c r="V132" s="127">
        <v>0</v>
      </c>
      <c r="W132" s="127">
        <v>0</v>
      </c>
      <c r="X132" s="127">
        <v>0</v>
      </c>
      <c r="Y132" s="127">
        <v>0</v>
      </c>
      <c r="Z132" s="127">
        <v>0</v>
      </c>
      <c r="AA132" s="127">
        <v>0</v>
      </c>
      <c r="AB132" s="127">
        <v>0</v>
      </c>
      <c r="AC132" s="127">
        <v>0</v>
      </c>
      <c r="AD132" s="127">
        <v>0</v>
      </c>
      <c r="AE132" s="127">
        <v>0</v>
      </c>
      <c r="AF132" s="127">
        <v>0</v>
      </c>
      <c r="AG132" s="127">
        <v>0</v>
      </c>
      <c r="AH132" s="127">
        <v>0</v>
      </c>
      <c r="AI132" s="124">
        <v>0</v>
      </c>
      <c r="AJ132" s="127">
        <v>0</v>
      </c>
      <c r="AK132" s="127">
        <v>0</v>
      </c>
      <c r="AL132" s="127">
        <v>0</v>
      </c>
      <c r="AM132" s="127">
        <v>0</v>
      </c>
      <c r="AN132" s="124">
        <f>O132</f>
        <v>28195.41</v>
      </c>
      <c r="AO132" s="138"/>
    </row>
    <row r="133" spans="1:41" s="19" customFormat="1" ht="42" customHeight="1" x14ac:dyDescent="0.25">
      <c r="A133" s="207" t="s">
        <v>106</v>
      </c>
      <c r="B133" s="207"/>
      <c r="C133" s="207"/>
      <c r="D133" s="123"/>
      <c r="E133" s="125">
        <f>F133+G133+H133+I133</f>
        <v>2006497.5099999998</v>
      </c>
      <c r="F133" s="125">
        <f>F130+F118+F99+F79+F69</f>
        <v>582020.6</v>
      </c>
      <c r="G133" s="125">
        <f>G130+G118+G99+G79+G69</f>
        <v>1194976.7</v>
      </c>
      <c r="H133" s="125">
        <f>H130+H118+H99+H79+H69</f>
        <v>190000</v>
      </c>
      <c r="I133" s="125">
        <f>I130+I118+I99+I79+I69</f>
        <v>39500.21</v>
      </c>
      <c r="J133" s="125">
        <f>K133+L133+M133+N133</f>
        <v>2047596.5799999998</v>
      </c>
      <c r="K133" s="125">
        <f>K130+K118+K99+K79+K69</f>
        <v>812390.49999999988</v>
      </c>
      <c r="L133" s="125">
        <f>L130+L118+L99+L79+L69</f>
        <v>894209.67999999993</v>
      </c>
      <c r="M133" s="125">
        <f>M130+M118+M99+M79+M69</f>
        <v>304390.79000000004</v>
      </c>
      <c r="N133" s="125">
        <f>N130+N118+N99+N79+N69</f>
        <v>36605.61</v>
      </c>
      <c r="O133" s="125">
        <f>P133+Q133+R133+S133</f>
        <v>2224226.31</v>
      </c>
      <c r="P133" s="125">
        <f>P130+P118+P99+P79+P69</f>
        <v>839184.21</v>
      </c>
      <c r="Q133" s="125">
        <f>Q130+Q118+Q99+Q79+Q69</f>
        <v>1100293.5</v>
      </c>
      <c r="R133" s="125">
        <f>R130+R118+R99+R79+R69</f>
        <v>250000</v>
      </c>
      <c r="S133" s="125">
        <f>S130+S118+S99+S79+S69</f>
        <v>34748.6</v>
      </c>
      <c r="T133" s="125">
        <f>U133+V133+W133+X133</f>
        <v>2498130.25</v>
      </c>
      <c r="U133" s="125">
        <f>U130+U118+U99+U79+U69</f>
        <v>1040021.25</v>
      </c>
      <c r="V133" s="125">
        <f t="shared" ref="V133:AM133" si="47">V130+V118+V99+V79+V69</f>
        <v>502863</v>
      </c>
      <c r="W133" s="125">
        <f t="shared" si="47"/>
        <v>919119</v>
      </c>
      <c r="X133" s="125">
        <f t="shared" si="47"/>
        <v>36127</v>
      </c>
      <c r="Y133" s="125">
        <f>Z133+AA133+AB133+AC133</f>
        <v>1943576.5</v>
      </c>
      <c r="Z133" s="125">
        <f>Z130+Z118+Z99+Z79+Z69</f>
        <v>956202</v>
      </c>
      <c r="AA133" s="125">
        <f t="shared" si="47"/>
        <v>987262</v>
      </c>
      <c r="AB133" s="125">
        <f t="shared" si="47"/>
        <v>0</v>
      </c>
      <c r="AC133" s="125">
        <f t="shared" si="47"/>
        <v>112.5</v>
      </c>
      <c r="AD133" s="125">
        <f>AE133+AF133+AG133+AH133</f>
        <v>2115757.7000000002</v>
      </c>
      <c r="AE133" s="125">
        <f t="shared" si="47"/>
        <v>777447.2</v>
      </c>
      <c r="AF133" s="125">
        <f t="shared" si="47"/>
        <v>1138198</v>
      </c>
      <c r="AG133" s="125">
        <f t="shared" si="47"/>
        <v>200000</v>
      </c>
      <c r="AH133" s="125">
        <f t="shared" si="47"/>
        <v>112.5</v>
      </c>
      <c r="AI133" s="125">
        <f>AJ133+AK133+AL133+AM133</f>
        <v>1667197.5</v>
      </c>
      <c r="AJ133" s="125">
        <f t="shared" si="47"/>
        <v>899680</v>
      </c>
      <c r="AK133" s="125">
        <f t="shared" si="47"/>
        <v>767405</v>
      </c>
      <c r="AL133" s="125">
        <f t="shared" si="47"/>
        <v>0</v>
      </c>
      <c r="AM133" s="125">
        <f t="shared" si="47"/>
        <v>112.5</v>
      </c>
      <c r="AN133" s="125" t="s">
        <v>108</v>
      </c>
      <c r="AO133" s="139"/>
    </row>
    <row r="134" spans="1:41" s="24" customFormat="1" ht="60" customHeight="1" x14ac:dyDescent="0.25">
      <c r="A134" s="20"/>
      <c r="B134" s="21"/>
      <c r="C134" s="22"/>
      <c r="D134" s="200"/>
      <c r="E134" s="201"/>
      <c r="F134" s="201"/>
      <c r="G134" s="201"/>
      <c r="H134" s="201"/>
      <c r="I134" s="201"/>
      <c r="J134" s="201"/>
      <c r="K134" s="201"/>
      <c r="L134" s="201"/>
      <c r="M134" s="201"/>
      <c r="N134" s="201"/>
      <c r="O134" s="201"/>
      <c r="P134" s="201"/>
      <c r="Q134" s="201"/>
      <c r="R134" s="201"/>
      <c r="S134" s="201"/>
      <c r="T134" s="201"/>
      <c r="U134" s="201"/>
      <c r="V134" s="201"/>
      <c r="W134" s="201"/>
      <c r="X134" s="201"/>
      <c r="Y134" s="201"/>
      <c r="Z134" s="201"/>
      <c r="AA134" s="201"/>
      <c r="AB134" s="201"/>
      <c r="AC134" s="201"/>
      <c r="AD134" s="201"/>
      <c r="AE134" s="201"/>
      <c r="AF134" s="201"/>
      <c r="AG134" s="140"/>
      <c r="AH134" s="140"/>
      <c r="AI134" s="140"/>
      <c r="AJ134" s="140"/>
      <c r="AK134" s="140"/>
      <c r="AL134" s="140"/>
      <c r="AM134" s="140"/>
      <c r="AN134" s="140"/>
      <c r="AO134" s="23"/>
    </row>
    <row r="135" spans="1:41" s="24" customFormat="1" ht="42" customHeight="1" x14ac:dyDescent="0.25">
      <c r="A135" s="20"/>
      <c r="B135" s="21"/>
      <c r="C135" s="22"/>
      <c r="D135" s="150"/>
      <c r="E135" s="151"/>
      <c r="F135" s="151"/>
      <c r="G135" s="151"/>
      <c r="H135" s="151"/>
      <c r="I135" s="151"/>
      <c r="J135" s="151"/>
      <c r="K135" s="151"/>
      <c r="L135" s="151"/>
      <c r="M135" s="151"/>
      <c r="N135" s="151"/>
      <c r="O135" s="151"/>
      <c r="P135" s="151"/>
      <c r="Q135" s="151"/>
      <c r="R135" s="151"/>
      <c r="S135" s="151"/>
      <c r="T135" s="151"/>
      <c r="U135" s="15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40"/>
      <c r="AH135" s="140"/>
      <c r="AI135" s="140"/>
      <c r="AJ135" s="140"/>
      <c r="AK135" s="140"/>
      <c r="AL135" s="140"/>
      <c r="AM135" s="140"/>
      <c r="AN135" s="140"/>
      <c r="AO135" s="23"/>
    </row>
    <row r="136" spans="1:41" s="27" customFormat="1" ht="42" customHeight="1" x14ac:dyDescent="0.2">
      <c r="A136" s="40"/>
      <c r="B136" s="41"/>
      <c r="C136" s="42"/>
      <c r="D136" s="152"/>
      <c r="E136" s="152"/>
      <c r="F136" s="152"/>
      <c r="G136" s="152" t="e">
        <f>#REF!+#REF!+G105+G110+G111+G114+#REF!+G118+#REF!+#REF!+#REF!+#REF!+#REF!+#REF!+#REF!+#REF!+#REF!+#REF!+#REF!+#REF!+#REF!+#REF!+#REF!+#REF!+#REF!+#REF!+#REF!+#REF!+#REF!+#REF!+#REF!+#REF!+#REF!+#REF!+#REF!+#REF!</f>
        <v>#REF!</v>
      </c>
      <c r="H136" s="152" t="e">
        <f>#REF!+#REF!+H105+H110+H111+H114+#REF!+H118+#REF!+#REF!+#REF!+#REF!+#REF!+#REF!+#REF!+#REF!+#REF!+#REF!+#REF!+#REF!+#REF!+#REF!+#REF!+#REF!+#REF!+#REF!+#REF!+#REF!+#REF!+#REF!+#REF!+#REF!+#REF!+#REF!+#REF!+#REF!</f>
        <v>#REF!</v>
      </c>
      <c r="I136" s="152" t="e">
        <f>#REF!+#REF!+I105+I110+I111+I114+#REF!+I118+#REF!+#REF!+#REF!+#REF!+#REF!+#REF!+#REF!+#REF!+#REF!+#REF!+#REF!+#REF!+#REF!+#REF!+#REF!+#REF!+#REF!+#REF!+#REF!+#REF!+#REF!+#REF!+#REF!+#REF!+#REF!+#REF!+#REF!+#REF!</f>
        <v>#REF!</v>
      </c>
      <c r="J136" s="152" t="e">
        <f>#REF!+#REF!+J105+J110+J111+J114+#REF!+J118+#REF!+#REF!+#REF!+#REF!+#REF!+#REF!+#REF!+#REF!+#REF!+#REF!+#REF!+#REF!+#REF!+#REF!+#REF!+#REF!+#REF!+#REF!+#REF!+#REF!+#REF!+#REF!+#REF!+#REF!+#REF!+#REF!+#REF!+#REF!</f>
        <v>#REF!</v>
      </c>
      <c r="K136" s="202" t="s">
        <v>61</v>
      </c>
      <c r="L136" s="203"/>
      <c r="M136" s="203"/>
      <c r="N136" s="203"/>
      <c r="O136" s="203"/>
      <c r="P136" s="203"/>
      <c r="Q136" s="203"/>
      <c r="R136" s="203"/>
      <c r="S136" s="203"/>
      <c r="T136" s="203"/>
      <c r="U136" s="203"/>
      <c r="V136" s="203"/>
      <c r="W136" s="203"/>
      <c r="X136" s="203"/>
      <c r="Y136" s="203"/>
      <c r="Z136" s="203"/>
      <c r="AA136" s="203"/>
      <c r="AB136" s="203"/>
      <c r="AC136" s="203"/>
      <c r="AD136" s="203"/>
      <c r="AE136" s="203"/>
      <c r="AF136" s="152" t="e">
        <f>#REF!+#REF!+AF105+AF110+AF111+AF114+#REF!+AF118+#REF!+#REF!+#REF!+#REF!+#REF!+#REF!+#REF!+#REF!+#REF!+#REF!+#REF!+#REF!+#REF!+#REF!+#REF!+#REF!+#REF!+#REF!+#REF!+#REF!+#REF!+#REF!+#REF!+#REF!+#REF!+#REF!+#REF!+#REF!</f>
        <v>#REF!</v>
      </c>
      <c r="AG136" s="152" t="e">
        <f>#REF!+#REF!+AG105+AG110+AG111+AG114+#REF!+AG118+#REF!+#REF!+#REF!+#REF!+#REF!+#REF!+#REF!+#REF!+#REF!+#REF!+#REF!+#REF!+#REF!+#REF!+#REF!+#REF!+#REF!+#REF!+#REF!+#REF!+#REF!+#REF!+#REF!+#REF!+#REF!+#REF!+#REF!+#REF!</f>
        <v>#REF!</v>
      </c>
      <c r="AH136" s="152" t="e">
        <f>#REF!+#REF!+AH105+AH110+AH111+AH114+#REF!+AH118+#REF!+#REF!+#REF!+#REF!+#REF!+#REF!+#REF!+#REF!+#REF!+#REF!+#REF!+#REF!+#REF!+#REF!+#REF!+#REF!+#REF!+#REF!+#REF!+#REF!+#REF!+#REF!+#REF!+#REF!+#REF!+#REF!+#REF!+#REF!</f>
        <v>#REF!</v>
      </c>
      <c r="AI136" s="152" t="e">
        <f>#REF!+#REF!+AI105+AI110+AI111+AI114+#REF!+AI118+#REF!+#REF!+#REF!+#REF!+#REF!+#REF!+#REF!+#REF!+#REF!+#REF!+#REF!+#REF!+#REF!+#REF!+#REF!+#REF!+#REF!+#REF!+#REF!+#REF!+#REF!+#REF!+#REF!+#REF!+#REF!+#REF!+#REF!+#REF!</f>
        <v>#REF!</v>
      </c>
      <c r="AJ136" s="152" t="e">
        <f>#REF!+#REF!+AJ105+AJ110+AJ111+AJ114+#REF!+AJ118+#REF!+#REF!+#REF!+#REF!+#REF!+#REF!+#REF!+#REF!+#REF!+#REF!+#REF!+#REF!+#REF!+#REF!+#REF!+#REF!+#REF!+#REF!+#REF!+#REF!+#REF!+#REF!+#REF!+#REF!+#REF!+#REF!+#REF!+#REF!</f>
        <v>#REF!</v>
      </c>
      <c r="AK136" s="152" t="e">
        <f>#REF!+#REF!+AK105+AK110+AK111+AK114+#REF!+AK118+#REF!+#REF!+#REF!+#REF!+#REF!+#REF!+#REF!+#REF!+#REF!+#REF!+#REF!+#REF!+#REF!+#REF!+#REF!+#REF!+#REF!+#REF!+#REF!+#REF!+#REF!+#REF!+#REF!+#REF!+#REF!+#REF!+#REF!+#REF!</f>
        <v>#REF!</v>
      </c>
      <c r="AL136" s="152" t="e">
        <f>#REF!+#REF!+AL105+AL110+AL111+AL114+#REF!+AL118+#REF!+#REF!+#REF!+#REF!+#REF!+#REF!+#REF!+#REF!+#REF!+#REF!+#REF!+#REF!+#REF!+#REF!+#REF!+#REF!+#REF!+#REF!+#REF!+#REF!+#REF!+#REF!+#REF!+#REF!+#REF!+#REF!+#REF!+#REF!</f>
        <v>#REF!</v>
      </c>
      <c r="AM136" s="152" t="e">
        <f>#REF!+#REF!+AM105+AM110+AM111+AM114+#REF!+AM118+#REF!+#REF!+#REF!+#REF!+#REF!+#REF!+#REF!+#REF!+#REF!+#REF!+#REF!+#REF!+#REF!+#REF!+#REF!+#REF!+#REF!+#REF!+#REF!+#REF!+#REF!+#REF!+#REF!+#REF!+#REF!+#REF!+#REF!+#REF!</f>
        <v>#REF!</v>
      </c>
      <c r="AN136" s="153" t="e">
        <f>#REF!+#REF!+AN105+AN110+AN111+AN114+#REF!+AN118+#REF!+#REF!+#REF!+#REF!+#REF!+#REF!+#REF!+#REF!+#REF!+#REF!+#REF!+#REF!+#REF!+#REF!+#REF!+#REF!+#REF!+#REF!+#REF!+#REF!+#REF!+#REF!+#REF!+#REF!+#REF!+#REF!+#REF!+#REF!</f>
        <v>#REF!</v>
      </c>
      <c r="AO136" s="25" t="e">
        <f>#REF!+#REF!+F136+K136+P136+U136+Z136+AE136+AJ136</f>
        <v>#REF!</v>
      </c>
    </row>
    <row r="137" spans="1:41" s="27" customFormat="1" ht="42" customHeight="1" x14ac:dyDescent="0.25">
      <c r="B137" s="32" t="s">
        <v>36</v>
      </c>
      <c r="C137" s="154">
        <f>F131+K131+P131+U131+Z131+AE131+AJ131</f>
        <v>5897573.3500000006</v>
      </c>
      <c r="D137" s="155"/>
      <c r="E137" s="156"/>
      <c r="F137" s="157"/>
      <c r="J137" s="28"/>
      <c r="M137" s="158"/>
      <c r="N137" s="158"/>
      <c r="R137" s="158"/>
      <c r="S137" s="158"/>
      <c r="W137" s="158"/>
      <c r="X137" s="158"/>
      <c r="AB137" s="158"/>
      <c r="AC137" s="158"/>
      <c r="AD137" s="28"/>
      <c r="AG137" s="158"/>
      <c r="AH137" s="158"/>
      <c r="AI137" s="28"/>
      <c r="AL137" s="158"/>
      <c r="AM137" s="158"/>
      <c r="AN137" s="159"/>
    </row>
    <row r="138" spans="1:41" s="27" customFormat="1" ht="42" customHeight="1" x14ac:dyDescent="0.25">
      <c r="B138" s="32" t="s">
        <v>37</v>
      </c>
      <c r="C138" s="154">
        <f>G131+L131+Q131+V131+AA131+AF131+AK131</f>
        <v>6566384.8799999999</v>
      </c>
      <c r="D138" s="155"/>
      <c r="E138" s="156"/>
      <c r="F138" s="157"/>
      <c r="J138" s="28"/>
      <c r="K138" s="29"/>
      <c r="L138" s="29"/>
      <c r="M138" s="158"/>
      <c r="N138" s="158"/>
      <c r="O138" s="29"/>
      <c r="P138" s="29"/>
      <c r="Q138" s="29"/>
      <c r="R138" s="158"/>
      <c r="S138" s="158"/>
      <c r="T138" s="29"/>
      <c r="U138" s="29"/>
      <c r="V138" s="29"/>
      <c r="W138" s="158"/>
      <c r="X138" s="158"/>
      <c r="Y138" s="29"/>
      <c r="Z138" s="29"/>
      <c r="AA138" s="29"/>
      <c r="AB138" s="158"/>
      <c r="AC138" s="158"/>
      <c r="AD138" s="30"/>
      <c r="AE138" s="29"/>
      <c r="AF138" s="29"/>
      <c r="AG138" s="158"/>
      <c r="AH138" s="158"/>
      <c r="AI138" s="30"/>
      <c r="AJ138" s="29"/>
      <c r="AK138" s="29"/>
      <c r="AL138" s="158"/>
      <c r="AM138" s="158"/>
      <c r="AN138" s="31"/>
    </row>
    <row r="139" spans="1:41" s="27" customFormat="1" ht="42" customHeight="1" x14ac:dyDescent="0.25">
      <c r="B139" s="32" t="s">
        <v>38</v>
      </c>
      <c r="C139" s="154">
        <f>I131+N131+S131+X131+AC131+AH131+AM131</f>
        <v>147318.92000000001</v>
      </c>
      <c r="D139" s="160">
        <f>C138+C140</f>
        <v>8429894.6699999999</v>
      </c>
      <c r="E139" s="161"/>
      <c r="H139" s="162"/>
      <c r="J139" s="28"/>
      <c r="K139" s="29" t="e">
        <f>#REF!+#REF!</f>
        <v>#REF!</v>
      </c>
      <c r="L139" s="29" t="e">
        <f>#REF!+#REF!</f>
        <v>#REF!</v>
      </c>
      <c r="M139" s="158"/>
      <c r="N139" s="158"/>
      <c r="O139" s="29" t="e">
        <f>#REF!+#REF!</f>
        <v>#REF!</v>
      </c>
      <c r="P139" s="29" t="e">
        <f>#REF!+#REF!</f>
        <v>#REF!</v>
      </c>
      <c r="Q139" s="29" t="e">
        <f>#REF!+#REF!</f>
        <v>#REF!</v>
      </c>
      <c r="R139" s="158"/>
      <c r="S139" s="158"/>
      <c r="T139" s="29" t="e">
        <f>#REF!+#REF!</f>
        <v>#REF!</v>
      </c>
      <c r="U139" s="29" t="e">
        <f>#REF!+#REF!</f>
        <v>#REF!</v>
      </c>
      <c r="V139" s="29" t="e">
        <f>#REF!+#REF!</f>
        <v>#REF!</v>
      </c>
      <c r="W139" s="158"/>
      <c r="X139" s="158"/>
      <c r="Y139" s="29" t="e">
        <f>#REF!+#REF!</f>
        <v>#REF!</v>
      </c>
      <c r="Z139" s="29" t="e">
        <f>#REF!+#REF!</f>
        <v>#REF!</v>
      </c>
      <c r="AA139" s="29" t="e">
        <f>#REF!+#REF!</f>
        <v>#REF!</v>
      </c>
      <c r="AB139" s="158"/>
      <c r="AC139" s="158"/>
      <c r="AD139" s="30" t="e">
        <f>#REF!+#REF!</f>
        <v>#REF!</v>
      </c>
      <c r="AE139" s="29" t="e">
        <f>#REF!+#REF!</f>
        <v>#REF!</v>
      </c>
      <c r="AF139" s="29" t="e">
        <f>#REF!+#REF!</f>
        <v>#REF!</v>
      </c>
      <c r="AG139" s="158"/>
      <c r="AH139" s="158"/>
      <c r="AI139" s="30" t="e">
        <f>#REF!+#REF!</f>
        <v>#REF!</v>
      </c>
      <c r="AJ139" s="29" t="e">
        <f>#REF!+#REF!</f>
        <v>#REF!</v>
      </c>
      <c r="AK139" s="29" t="e">
        <f>#REF!+#REF!</f>
        <v>#REF!</v>
      </c>
      <c r="AL139" s="158"/>
      <c r="AM139" s="158"/>
      <c r="AN139" s="31" t="e">
        <f>#REF!+#REF!</f>
        <v>#REF!</v>
      </c>
    </row>
    <row r="140" spans="1:41" s="27" customFormat="1" ht="42" customHeight="1" x14ac:dyDescent="0.25">
      <c r="B140" s="32" t="s">
        <v>41</v>
      </c>
      <c r="C140" s="154">
        <f>H131+M131+R131+W131+AB131+AG131+AL131</f>
        <v>1863509.79</v>
      </c>
      <c r="D140" s="155"/>
      <c r="E140" s="161"/>
      <c r="J140" s="28"/>
      <c r="K140" s="29" t="e">
        <f>#REF!+#REF!</f>
        <v>#REF!</v>
      </c>
      <c r="L140" s="29" t="e">
        <f>#REF!+#REF!</f>
        <v>#REF!</v>
      </c>
      <c r="M140" s="158"/>
      <c r="N140" s="158"/>
      <c r="O140" s="29" t="e">
        <f>#REF!+#REF!</f>
        <v>#REF!</v>
      </c>
      <c r="P140" s="29" t="e">
        <f>#REF!+#REF!</f>
        <v>#REF!</v>
      </c>
      <c r="Q140" s="29" t="e">
        <f>#REF!+#REF!</f>
        <v>#REF!</v>
      </c>
      <c r="R140" s="158"/>
      <c r="S140" s="158"/>
      <c r="T140" s="29" t="e">
        <f>#REF!+#REF!</f>
        <v>#REF!</v>
      </c>
      <c r="U140" s="29" t="e">
        <f>#REF!+#REF!</f>
        <v>#REF!</v>
      </c>
      <c r="V140" s="29" t="e">
        <f>#REF!+#REF!</f>
        <v>#REF!</v>
      </c>
      <c r="W140" s="158"/>
      <c r="X140" s="158"/>
      <c r="Y140" s="29" t="e">
        <f>#REF!+#REF!</f>
        <v>#REF!</v>
      </c>
      <c r="Z140" s="29" t="e">
        <f>#REF!+#REF!</f>
        <v>#REF!</v>
      </c>
      <c r="AA140" s="29" t="e">
        <f>#REF!+#REF!</f>
        <v>#REF!</v>
      </c>
      <c r="AB140" s="158"/>
      <c r="AC140" s="158"/>
      <c r="AD140" s="30" t="e">
        <f>#REF!+#REF!</f>
        <v>#REF!</v>
      </c>
      <c r="AE140" s="29" t="e">
        <f>#REF!+#REF!</f>
        <v>#REF!</v>
      </c>
      <c r="AF140" s="29" t="e">
        <f>#REF!+#REF!</f>
        <v>#REF!</v>
      </c>
      <c r="AG140" s="158"/>
      <c r="AH140" s="158"/>
      <c r="AI140" s="30" t="e">
        <f>#REF!+#REF!</f>
        <v>#REF!</v>
      </c>
      <c r="AJ140" s="29" t="e">
        <f>#REF!+#REF!</f>
        <v>#REF!</v>
      </c>
      <c r="AK140" s="29" t="e">
        <f>#REF!+#REF!</f>
        <v>#REF!</v>
      </c>
      <c r="AL140" s="158"/>
      <c r="AM140" s="158"/>
      <c r="AN140" s="31" t="e">
        <f>#REF!+#REF!</f>
        <v>#REF!</v>
      </c>
    </row>
    <row r="141" spans="1:41" s="27" customFormat="1" ht="42" customHeight="1" x14ac:dyDescent="0.25">
      <c r="B141" s="32">
        <v>11688</v>
      </c>
      <c r="C141" s="154">
        <f>SUM(C137:C140)</f>
        <v>14474786.940000001</v>
      </c>
      <c r="D141" s="155"/>
      <c r="E141" s="163"/>
      <c r="J141" s="28"/>
      <c r="K141" s="29" t="e">
        <f>#REF!+#REF!+#REF!+#REF!+#REF!+#REF!</f>
        <v>#REF!</v>
      </c>
      <c r="L141" s="29" t="e">
        <f>#REF!+#REF!+#REF!+#REF!+#REF!+#REF!</f>
        <v>#REF!</v>
      </c>
      <c r="M141" s="158"/>
      <c r="N141" s="158"/>
      <c r="O141" s="29" t="e">
        <f>#REF!+#REF!+#REF!+#REF!+#REF!+#REF!</f>
        <v>#REF!</v>
      </c>
      <c r="P141" s="29" t="e">
        <f>#REF!+#REF!+#REF!+#REF!+#REF!+#REF!</f>
        <v>#REF!</v>
      </c>
      <c r="Q141" s="29" t="e">
        <f>#REF!+#REF!+#REF!+#REF!+#REF!+#REF!</f>
        <v>#REF!</v>
      </c>
      <c r="R141" s="158"/>
      <c r="S141" s="158"/>
      <c r="T141" s="29" t="e">
        <f>#REF!+#REF!+#REF!+#REF!+#REF!+#REF!</f>
        <v>#REF!</v>
      </c>
      <c r="U141" s="29" t="e">
        <f>#REF!+#REF!+#REF!+#REF!+#REF!+#REF!</f>
        <v>#REF!</v>
      </c>
      <c r="V141" s="29" t="e">
        <f>#REF!+#REF!+#REF!+#REF!+#REF!+#REF!</f>
        <v>#REF!</v>
      </c>
      <c r="W141" s="158"/>
      <c r="X141" s="158"/>
      <c r="Y141" s="29" t="e">
        <f>#REF!+#REF!+#REF!+#REF!+#REF!+#REF!</f>
        <v>#REF!</v>
      </c>
      <c r="Z141" s="29" t="e">
        <f>#REF!+#REF!+#REF!+#REF!+#REF!+#REF!</f>
        <v>#REF!</v>
      </c>
      <c r="AA141" s="29" t="e">
        <f>#REF!+#REF!+#REF!+#REF!+#REF!+#REF!</f>
        <v>#REF!</v>
      </c>
      <c r="AB141" s="158"/>
      <c r="AC141" s="158"/>
      <c r="AD141" s="30" t="e">
        <f>#REF!+#REF!+#REF!+#REF!+#REF!+#REF!</f>
        <v>#REF!</v>
      </c>
      <c r="AE141" s="29" t="e">
        <f>#REF!+#REF!+#REF!+#REF!+#REF!+#REF!</f>
        <v>#REF!</v>
      </c>
      <c r="AF141" s="29" t="e">
        <f>#REF!+#REF!+#REF!+#REF!+#REF!+#REF!</f>
        <v>#REF!</v>
      </c>
      <c r="AG141" s="158"/>
      <c r="AH141" s="158"/>
      <c r="AI141" s="30" t="e">
        <f>#REF!+#REF!+#REF!+#REF!+#REF!+#REF!</f>
        <v>#REF!</v>
      </c>
      <c r="AJ141" s="29" t="e">
        <f>#REF!+#REF!+#REF!+#REF!+#REF!+#REF!</f>
        <v>#REF!</v>
      </c>
      <c r="AK141" s="29" t="e">
        <f>#REF!+#REF!+#REF!+#REF!+#REF!+#REF!</f>
        <v>#REF!</v>
      </c>
      <c r="AL141" s="158"/>
      <c r="AM141" s="158"/>
      <c r="AN141" s="31" t="e">
        <f>#REF!+#REF!+#REF!+#REF!+#REF!+#REF!</f>
        <v>#REF!</v>
      </c>
    </row>
    <row r="142" spans="1:41" s="27" customFormat="1" ht="42" customHeight="1" x14ac:dyDescent="0.25">
      <c r="B142" s="32">
        <v>12155</v>
      </c>
      <c r="C142" s="164"/>
      <c r="D142" s="155"/>
      <c r="E142" s="28"/>
      <c r="J142" s="28"/>
      <c r="K142" s="29" t="e">
        <f>K143+K144</f>
        <v>#REF!</v>
      </c>
      <c r="L142" s="29"/>
      <c r="M142" s="158"/>
      <c r="N142" s="158"/>
      <c r="O142" s="29"/>
      <c r="P142" s="29" t="e">
        <f>P143+P144</f>
        <v>#REF!</v>
      </c>
      <c r="Q142" s="29"/>
      <c r="R142" s="158"/>
      <c r="S142" s="158"/>
      <c r="T142" s="29"/>
      <c r="U142" s="29" t="e">
        <f>U143+U144</f>
        <v>#REF!</v>
      </c>
      <c r="V142" s="29"/>
      <c r="W142" s="158"/>
      <c r="X142" s="158"/>
      <c r="Y142" s="29"/>
      <c r="Z142" s="29" t="e">
        <f>Z143+Z144</f>
        <v>#REF!</v>
      </c>
      <c r="AA142" s="29"/>
      <c r="AB142" s="158"/>
      <c r="AC142" s="158"/>
      <c r="AD142" s="30"/>
      <c r="AE142" s="29" t="e">
        <f>AE143+AE144</f>
        <v>#REF!</v>
      </c>
      <c r="AF142" s="29"/>
      <c r="AG142" s="158"/>
      <c r="AH142" s="158"/>
      <c r="AI142" s="30"/>
      <c r="AJ142" s="29" t="e">
        <f>AJ143+AJ144</f>
        <v>#REF!</v>
      </c>
      <c r="AK142" s="29" t="e">
        <f>AK143+AK144</f>
        <v>#REF!</v>
      </c>
      <c r="AL142" s="158"/>
      <c r="AM142" s="158"/>
      <c r="AN142" s="31" t="e">
        <f>AN143+AN144</f>
        <v>#REF!</v>
      </c>
    </row>
    <row r="143" spans="1:41" s="27" customFormat="1" ht="42" customHeight="1" x14ac:dyDescent="0.25">
      <c r="B143" s="32">
        <v>16961</v>
      </c>
      <c r="C143" s="165"/>
      <c r="D143" s="155"/>
      <c r="E143" s="28"/>
      <c r="J143" s="28"/>
      <c r="K143" s="29" t="e">
        <f>#REF!+#REF!</f>
        <v>#REF!</v>
      </c>
      <c r="L143" s="29" t="e">
        <f>#REF!+#REF!</f>
        <v>#REF!</v>
      </c>
      <c r="M143" s="158"/>
      <c r="N143" s="158"/>
      <c r="O143" s="29" t="e">
        <f>#REF!+#REF!</f>
        <v>#REF!</v>
      </c>
      <c r="P143" s="29" t="e">
        <f>#REF!+#REF!</f>
        <v>#REF!</v>
      </c>
      <c r="Q143" s="29" t="e">
        <f>#REF!+#REF!</f>
        <v>#REF!</v>
      </c>
      <c r="R143" s="158"/>
      <c r="S143" s="158"/>
      <c r="T143" s="29" t="e">
        <f>#REF!+#REF!</f>
        <v>#REF!</v>
      </c>
      <c r="U143" s="29" t="e">
        <f>#REF!+#REF!</f>
        <v>#REF!</v>
      </c>
      <c r="V143" s="29" t="e">
        <f>#REF!+#REF!</f>
        <v>#REF!</v>
      </c>
      <c r="W143" s="158"/>
      <c r="X143" s="158"/>
      <c r="Y143" s="29" t="e">
        <f>#REF!+#REF!</f>
        <v>#REF!</v>
      </c>
      <c r="Z143" s="29" t="e">
        <f>#REF!+#REF!</f>
        <v>#REF!</v>
      </c>
      <c r="AA143" s="29" t="e">
        <f>#REF!+#REF!</f>
        <v>#REF!</v>
      </c>
      <c r="AB143" s="158"/>
      <c r="AC143" s="158"/>
      <c r="AD143" s="30" t="e">
        <f>#REF!+#REF!</f>
        <v>#REF!</v>
      </c>
      <c r="AE143" s="29" t="e">
        <f>#REF!+#REF!</f>
        <v>#REF!</v>
      </c>
      <c r="AF143" s="29" t="e">
        <f>#REF!+#REF!</f>
        <v>#REF!</v>
      </c>
      <c r="AG143" s="158"/>
      <c r="AH143" s="158"/>
      <c r="AI143" s="30" t="e">
        <f>#REF!+#REF!</f>
        <v>#REF!</v>
      </c>
      <c r="AJ143" s="29" t="e">
        <f>#REF!+#REF!</f>
        <v>#REF!</v>
      </c>
      <c r="AK143" s="29" t="e">
        <f>#REF!+#REF!</f>
        <v>#REF!</v>
      </c>
      <c r="AL143" s="158"/>
      <c r="AM143" s="158"/>
      <c r="AN143" s="31" t="e">
        <f>#REF!+#REF!</f>
        <v>#REF!</v>
      </c>
    </row>
    <row r="144" spans="1:41" s="27" customFormat="1" ht="42" customHeight="1" x14ac:dyDescent="0.2">
      <c r="B144" s="32"/>
      <c r="C144" s="34"/>
      <c r="D144" s="33"/>
      <c r="E144" s="28"/>
      <c r="J144" s="28"/>
      <c r="K144" s="29" t="e">
        <f>#REF!+#REF!+#REF!+#REF!+#REF!+#REF!+#REF!+#REF!+#REF!+#REF!+#REF!+#REF!+#REF!+#REF!+#REF!+#REF!+#REF!+#REF!+#REF!+#REF!+K118+K114+K111+K110+K105+#REF!+#REF!+#REF!+#REF!+#REF!</f>
        <v>#REF!</v>
      </c>
      <c r="L144" s="29" t="e">
        <f>#REF!+#REF!+#REF!+#REF!+#REF!+#REF!+#REF!+#REF!+#REF!+#REF!+#REF!+#REF!+#REF!+#REF!+#REF!+#REF!+#REF!+#REF!+#REF!+#REF!+L118+L114+L111+L110+L105+#REF!+#REF!+#REF!+#REF!+#REF!</f>
        <v>#REF!</v>
      </c>
      <c r="O144" s="29" t="e">
        <f>#REF!+#REF!+#REF!+#REF!+#REF!+#REF!+#REF!+#REF!+#REF!+#REF!+#REF!+#REF!+#REF!+#REF!+#REF!+#REF!+#REF!+#REF!+#REF!+#REF!+O118+O114+O111+O110+O105+#REF!+#REF!+#REF!+#REF!+#REF!</f>
        <v>#REF!</v>
      </c>
      <c r="P144" s="29" t="e">
        <f>#REF!+#REF!+#REF!+#REF!+#REF!+#REF!+#REF!+#REF!+#REF!+#REF!+#REF!+#REF!+#REF!+#REF!+#REF!+#REF!+#REF!+#REF!+#REF!+#REF!+P118+P114+P111+P110+P105+#REF!+#REF!+#REF!+#REF!+#REF!</f>
        <v>#REF!</v>
      </c>
      <c r="Q144" s="29" t="e">
        <f>#REF!+#REF!+#REF!+#REF!+#REF!+#REF!+#REF!+#REF!+#REF!+#REF!+#REF!+#REF!+#REF!+#REF!+#REF!+#REF!+#REF!+#REF!+#REF!+#REF!+Q118+Q114+Q4+Q110+Q105+#REF!+#REF!+#REF!+#REF!+#REF!</f>
        <v>#REF!</v>
      </c>
      <c r="T144" s="29" t="e">
        <f>#REF!+#REF!+#REF!+#REF!+#REF!+#REF!+#REF!+#REF!+#REF!+#REF!+#REF!+#REF!+#REF!+#REF!+#REF!+#REF!+#REF!+#REF!+#REF!+#REF!+T118+T114+T111+T110+T105+#REF!+#REF!+#REF!+#REF!+#REF!</f>
        <v>#REF!</v>
      </c>
      <c r="U144" s="29" t="e">
        <f>#REF!+#REF!+#REF!+#REF!+#REF!+#REF!+#REF!+#REF!+#REF!+#REF!+#REF!+#REF!+#REF!+#REF!+#REF!+#REF!+#REF!+#REF!+#REF!+#REF!+U118+U114+U111+U110+U105+#REF!+#REF!+#REF!+#REF!+#REF!</f>
        <v>#REF!</v>
      </c>
      <c r="V144" s="29" t="e">
        <f>#REF!+#REF!+#REF!+#REF!+#REF!+#REF!+#REF!+#REF!+#REF!+#REF!+#REF!+#REF!+#REF!+#REF!+#REF!+#REF!+#REF!+#REF!+#REF!+#REF!+V118+V114+V111+V110+V105+#REF!+#REF!+#REF!+#REF!+#REF!</f>
        <v>#REF!</v>
      </c>
      <c r="Y144" s="29" t="e">
        <f>#REF!+#REF!+#REF!+#REF!+#REF!+#REF!+#REF!+#REF!+#REF!+#REF!+#REF!+#REF!+#REF!+#REF!+#REF!+#REF!+#REF!+#REF!+#REF!+#REF!+Y118+Y114+Y111+Y110+Y105+#REF!+#REF!+#REF!+#REF!+#REF!</f>
        <v>#REF!</v>
      </c>
      <c r="Z144" s="29" t="e">
        <f>#REF!+#REF!+#REF!+#REF!+#REF!+#REF!+#REF!+#REF!+#REF!+#REF!+#REF!+#REF!+#REF!+#REF!+#REF!+#REF!+#REF!+#REF!+#REF!+#REF!+Z118+Z114+Z111+Z110+Z105+#REF!+#REF!+#REF!+#REF!+#REF!</f>
        <v>#REF!</v>
      </c>
      <c r="AA144" s="29" t="e">
        <f>#REF!+#REF!+#REF!+#REF!+#REF!+#REF!+#REF!+#REF!+#REF!+#REF!+#REF!+#REF!+#REF!+#REF!+#REF!+#REF!+#REF!+#REF!+#REF!+#REF!+AA118+AA114+AA111+AA110+AA105+#REF!+#REF!+#REF!+#REF!+#REF!</f>
        <v>#REF!</v>
      </c>
      <c r="AD144" s="30" t="e">
        <f>#REF!+#REF!+#REF!+#REF!+#REF!+#REF!+#REF!+#REF!+#REF!+#REF!+#REF!+#REF!+#REF!+#REF!+#REF!+#REF!+#REF!+#REF!+#REF!+#REF!+AD118+AD114+AD111+AD110+AD105+#REF!+#REF!+#REF!+#REF!+#REF!</f>
        <v>#REF!</v>
      </c>
      <c r="AE144" s="29" t="e">
        <f>#REF!+#REF!+#REF!+#REF!+#REF!+#REF!+#REF!+#REF!+#REF!+#REF!+#REF!+#REF!+#REF!+#REF!+#REF!+#REF!+#REF!+#REF!+#REF!+#REF!+AE118+AE114+AE111+AE110+AE105+#REF!+#REF!+#REF!+#REF!+#REF!</f>
        <v>#REF!</v>
      </c>
      <c r="AF144" s="29" t="e">
        <f>#REF!+#REF!+#REF!+#REF!+#REF!+#REF!+#REF!+#REF!+#REF!+#REF!+#REF!+#REF!+#REF!+#REF!+#REF!+#REF!+#REF!+#REF!+#REF!+#REF!+AF118+AF114+AF111+AF110+AF105+#REF!+#REF!+#REF!+#REF!+#REF!</f>
        <v>#REF!</v>
      </c>
      <c r="AI144" s="30" t="e">
        <f>#REF!+#REF!+#REF!+#REF!+#REF!+#REF!+#REF!+#REF!+#REF!+#REF!+#REF!+#REF!+#REF!+#REF!+#REF!+#REF!+#REF!+#REF!+#REF!+#REF!+AI118+AI114+AI111+AI110+AI105+#REF!+#REF!+#REF!+#REF!+#REF!</f>
        <v>#REF!</v>
      </c>
      <c r="AJ144" s="29" t="e">
        <f>#REF!+#REF!+#REF!+#REF!+#REF!+#REF!+#REF!+#REF!+#REF!+#REF!+#REF!+#REF!+#REF!+#REF!+#REF!+#REF!+#REF!+#REF!+#REF!+#REF!+AJ118+AJ114+AJ111+AJ110+AJ105+#REF!+#REF!+#REF!+#REF!+#REF!</f>
        <v>#REF!</v>
      </c>
      <c r="AK144" s="29" t="e">
        <f>#REF!+#REF!+#REF!+#REF!+#REF!+#REF!+#REF!+#REF!+#REF!+#REF!+#REF!+#REF!+#REF!+#REF!+#REF!+#REF!+#REF!+#REF!+#REF!+#REF!+AK118+AK114+AK111+AK110+AK105+#REF!+#REF!+#REF!+#REF!+#REF!</f>
        <v>#REF!</v>
      </c>
      <c r="AN144" s="31" t="e">
        <f>#REF!+#REF!+#REF!+#REF!+#REF!+#REF!+#REF!+#REF!+#REF!+#REF!+#REF!+#REF!+#REF!+#REF!+#REF!+#REF!+#REF!+#REF!+#REF!+#REF!+AN118+AN114+AN111+AN110+AN105+#REF!+#REF!+#REF!+#REF!+#REF!</f>
        <v>#REF!</v>
      </c>
    </row>
    <row r="145" spans="1:40" s="27" customFormat="1" ht="42" customHeight="1" x14ac:dyDescent="0.2">
      <c r="B145" s="32"/>
      <c r="C145" s="34"/>
      <c r="D145" s="33"/>
      <c r="E145" s="28"/>
      <c r="J145" s="28"/>
      <c r="K145" s="29" t="e">
        <f>K138+K139+K140+K141+K143+K144</f>
        <v>#REF!</v>
      </c>
      <c r="O145" s="29" t="e">
        <f>O138+O139+O140+O141+O143+O144</f>
        <v>#REF!</v>
      </c>
      <c r="P145" s="29" t="e">
        <f>P138+P139+P140+P141+P143+P144</f>
        <v>#REF!</v>
      </c>
      <c r="T145" s="29" t="e">
        <f>T138+T139+T140+T141+T143+T144</f>
        <v>#REF!</v>
      </c>
      <c r="U145" s="29" t="e">
        <f>U138+U139+U140+U141+U143+U144</f>
        <v>#REF!</v>
      </c>
      <c r="Y145" s="29" t="e">
        <f>Y138+Y139+Y140+Y141+Y143+Y144</f>
        <v>#REF!</v>
      </c>
      <c r="Z145" s="29" t="e">
        <f>Z138+Z139+Z140+Z141+Z143+Z144</f>
        <v>#REF!</v>
      </c>
      <c r="AD145" s="30" t="e">
        <f>AD138+AD139+AD140+AD141+AD143+AD144</f>
        <v>#REF!</v>
      </c>
      <c r="AE145" s="29" t="e">
        <f>AE138+AE139+AE140+AE141+AE143+AE144</f>
        <v>#REF!</v>
      </c>
      <c r="AI145" s="30" t="e">
        <f>AI138+AI139+AI140+AI141+AI143+AI144</f>
        <v>#REF!</v>
      </c>
      <c r="AJ145" s="29" t="e">
        <f>AJ138+AJ139+AJ140+AJ141+AJ143+AJ144</f>
        <v>#REF!</v>
      </c>
      <c r="AK145" s="29" t="e">
        <f>AK138+AK139+AK140+AK141+AK143+AK144</f>
        <v>#REF!</v>
      </c>
      <c r="AN145" s="31" t="e">
        <f>AN138+AN139+AN140+AN141+AN143+AN144</f>
        <v>#REF!</v>
      </c>
    </row>
    <row r="146" spans="1:40" s="27" customFormat="1" ht="42" customHeight="1" x14ac:dyDescent="0.2">
      <c r="A146" s="35"/>
      <c r="B146" s="36"/>
      <c r="C146" s="37" t="e">
        <f>U146+B141+B142+B143</f>
        <v>#REF!</v>
      </c>
      <c r="D146" s="38"/>
      <c r="E146" s="28"/>
      <c r="J146" s="28"/>
      <c r="O146" s="28"/>
      <c r="T146" s="28"/>
      <c r="U146" s="29" t="e">
        <f>K145+P145+U145+Z145+AE145+AJ145</f>
        <v>#REF!</v>
      </c>
      <c r="Y146" s="28"/>
      <c r="AD146" s="28"/>
      <c r="AI146" s="28"/>
      <c r="AN146" s="39"/>
    </row>
    <row r="147" spans="1:40" s="27" customFormat="1" ht="42" customHeight="1" x14ac:dyDescent="0.2">
      <c r="A147" s="40"/>
      <c r="B147" s="41"/>
      <c r="C147" s="42"/>
      <c r="D147" s="43"/>
      <c r="E147" s="28"/>
      <c r="J147" s="28"/>
      <c r="O147" s="28"/>
      <c r="T147" s="28"/>
      <c r="Y147" s="28"/>
      <c r="AD147" s="28"/>
      <c r="AI147" s="28"/>
      <c r="AN147" s="39"/>
    </row>
    <row r="148" spans="1:40" s="28" customFormat="1" ht="42" customHeight="1" x14ac:dyDescent="0.25">
      <c r="B148" s="141"/>
      <c r="C148" s="142"/>
      <c r="D148" s="28" t="s">
        <v>154</v>
      </c>
      <c r="T148" s="44">
        <v>2462004</v>
      </c>
      <c r="U148" s="44"/>
      <c r="Y148" s="44">
        <v>1068566</v>
      </c>
      <c r="AD148" s="44">
        <v>917685</v>
      </c>
      <c r="AN148" s="39"/>
    </row>
    <row r="149" spans="1:40" s="28" customFormat="1" ht="42" customHeight="1" x14ac:dyDescent="0.25">
      <c r="B149" s="141"/>
      <c r="C149" s="142"/>
      <c r="D149" s="28" t="s">
        <v>153</v>
      </c>
      <c r="T149" s="45">
        <f>T133-X133</f>
        <v>2462003.25</v>
      </c>
      <c r="Y149" s="45">
        <f>Y133-AC133</f>
        <v>1943464</v>
      </c>
      <c r="AD149" s="45">
        <f>AD133-AH133</f>
        <v>2115645.2000000002</v>
      </c>
      <c r="AN149" s="39"/>
    </row>
    <row r="150" spans="1:40" s="27" customFormat="1" ht="42" customHeight="1" x14ac:dyDescent="0.2">
      <c r="B150" s="32"/>
      <c r="C150" s="34"/>
      <c r="D150" s="27" t="s">
        <v>155</v>
      </c>
      <c r="E150" s="28"/>
      <c r="J150" s="28"/>
      <c r="O150" s="28"/>
      <c r="T150" s="45">
        <f>T149-T148</f>
        <v>-0.75</v>
      </c>
      <c r="Y150" s="45">
        <f>Y149-Y148</f>
        <v>874898</v>
      </c>
      <c r="AD150" s="45">
        <f>AD149-AD148</f>
        <v>1197960.2000000002</v>
      </c>
      <c r="AI150" s="28"/>
      <c r="AN150" s="39"/>
    </row>
    <row r="151" spans="1:40" s="27" customFormat="1" ht="42" customHeight="1" x14ac:dyDescent="0.2">
      <c r="B151" s="32"/>
      <c r="C151" s="34"/>
      <c r="E151" s="28"/>
      <c r="J151" s="28"/>
      <c r="O151" s="28"/>
      <c r="T151" s="28"/>
      <c r="Y151" s="28"/>
      <c r="AD151" s="28"/>
      <c r="AI151" s="28"/>
      <c r="AN151" s="39"/>
    </row>
    <row r="152" spans="1:40" s="27" customFormat="1" ht="42" customHeight="1" x14ac:dyDescent="0.2">
      <c r="B152" s="32"/>
      <c r="C152" s="34"/>
      <c r="E152" s="28"/>
      <c r="J152" s="28"/>
      <c r="O152" s="28"/>
      <c r="T152" s="28"/>
      <c r="Y152" s="28"/>
      <c r="AD152" s="28"/>
      <c r="AI152" s="28"/>
      <c r="AN152" s="39"/>
    </row>
    <row r="153" spans="1:40" s="27" customFormat="1" ht="42" customHeight="1" x14ac:dyDescent="0.2">
      <c r="B153" s="32"/>
      <c r="C153" s="34"/>
      <c r="E153" s="28"/>
      <c r="J153" s="28"/>
      <c r="O153" s="28"/>
      <c r="T153" s="28"/>
      <c r="Y153" s="28"/>
      <c r="AD153" s="28"/>
      <c r="AI153" s="28"/>
      <c r="AN153" s="39"/>
    </row>
    <row r="154" spans="1:40" s="27" customFormat="1" ht="42" customHeight="1" x14ac:dyDescent="0.2">
      <c r="B154" s="32"/>
      <c r="C154" s="34"/>
      <c r="E154" s="28"/>
      <c r="J154" s="28"/>
      <c r="O154" s="28"/>
      <c r="T154" s="28"/>
      <c r="Y154" s="28"/>
      <c r="AD154" s="28"/>
      <c r="AI154" s="28"/>
      <c r="AN154" s="39"/>
    </row>
    <row r="155" spans="1:40" s="27" customFormat="1" ht="42" customHeight="1" x14ac:dyDescent="0.2">
      <c r="B155" s="32"/>
      <c r="C155" s="34"/>
      <c r="E155" s="28"/>
      <c r="J155" s="28"/>
      <c r="O155" s="28"/>
      <c r="T155" s="28"/>
      <c r="Y155" s="28"/>
      <c r="AD155" s="28"/>
      <c r="AI155" s="28"/>
      <c r="AN155" s="39"/>
    </row>
    <row r="156" spans="1:40" s="27" customFormat="1" ht="42" customHeight="1" x14ac:dyDescent="0.2">
      <c r="B156" s="32"/>
      <c r="C156" s="34"/>
      <c r="E156" s="28"/>
      <c r="J156" s="28"/>
      <c r="O156" s="28"/>
      <c r="T156" s="28"/>
      <c r="Y156" s="28"/>
      <c r="AD156" s="28"/>
      <c r="AI156" s="28"/>
      <c r="AN156" s="39"/>
    </row>
    <row r="157" spans="1:40" s="27" customFormat="1" ht="42" customHeight="1" x14ac:dyDescent="0.2">
      <c r="B157" s="32"/>
      <c r="C157" s="34"/>
      <c r="E157" s="28"/>
      <c r="J157" s="28"/>
      <c r="O157" s="28"/>
      <c r="T157" s="28"/>
      <c r="Y157" s="28"/>
      <c r="AD157" s="28"/>
      <c r="AI157" s="28"/>
      <c r="AN157" s="39"/>
    </row>
    <row r="158" spans="1:40" s="27" customFormat="1" ht="42" customHeight="1" x14ac:dyDescent="0.2">
      <c r="B158" s="32"/>
      <c r="C158" s="34"/>
      <c r="E158" s="28"/>
      <c r="J158" s="28"/>
      <c r="O158" s="28"/>
      <c r="T158" s="28"/>
      <c r="Y158" s="28"/>
      <c r="AD158" s="28"/>
      <c r="AI158" s="28"/>
      <c r="AN158" s="39"/>
    </row>
    <row r="159" spans="1:40" s="27" customFormat="1" ht="42" customHeight="1" x14ac:dyDescent="0.2">
      <c r="B159" s="32"/>
      <c r="C159" s="34"/>
      <c r="E159" s="28"/>
      <c r="J159" s="28"/>
      <c r="O159" s="28"/>
      <c r="T159" s="28"/>
      <c r="Y159" s="28"/>
      <c r="AD159" s="28"/>
      <c r="AI159" s="28"/>
      <c r="AN159" s="39"/>
    </row>
    <row r="160" spans="1:40" s="27" customFormat="1" ht="42" customHeight="1" x14ac:dyDescent="0.2">
      <c r="B160" s="32"/>
      <c r="C160" s="34"/>
      <c r="E160" s="28"/>
      <c r="J160" s="28"/>
      <c r="O160" s="28"/>
      <c r="T160" s="28"/>
      <c r="Y160" s="28"/>
      <c r="AD160" s="28"/>
      <c r="AI160" s="28"/>
      <c r="AN160" s="39"/>
    </row>
    <row r="161" spans="2:41" s="27" customFormat="1" ht="42" customHeight="1" x14ac:dyDescent="0.2">
      <c r="B161" s="32"/>
      <c r="C161" s="34"/>
      <c r="E161" s="28"/>
      <c r="J161" s="28"/>
      <c r="O161" s="28"/>
      <c r="T161" s="28"/>
      <c r="Y161" s="28"/>
      <c r="AD161" s="28"/>
      <c r="AI161" s="28"/>
      <c r="AN161" s="39"/>
    </row>
    <row r="162" spans="2:41" s="27" customFormat="1" ht="42" customHeight="1" x14ac:dyDescent="0.2">
      <c r="B162" s="32"/>
      <c r="C162" s="34"/>
      <c r="E162" s="28"/>
      <c r="J162" s="28"/>
      <c r="O162" s="28"/>
      <c r="T162" s="28"/>
      <c r="Y162" s="28"/>
      <c r="AD162" s="28"/>
      <c r="AI162" s="28"/>
      <c r="AN162" s="39"/>
    </row>
    <row r="163" spans="2:41" s="27" customFormat="1" ht="42" customHeight="1" x14ac:dyDescent="0.2">
      <c r="B163" s="32"/>
      <c r="C163" s="34"/>
      <c r="E163" s="28"/>
      <c r="J163" s="28"/>
      <c r="O163" s="28"/>
      <c r="T163" s="28"/>
      <c r="Y163" s="28"/>
      <c r="AD163" s="6"/>
      <c r="AE163" s="1"/>
      <c r="AF163" s="1"/>
      <c r="AG163" s="1"/>
      <c r="AH163" s="1"/>
      <c r="AI163" s="6"/>
      <c r="AJ163" s="1"/>
      <c r="AK163" s="1"/>
      <c r="AL163" s="1"/>
      <c r="AM163" s="1"/>
      <c r="AN163" s="12"/>
    </row>
    <row r="164" spans="2:41" s="27" customFormat="1" ht="42" customHeight="1" x14ac:dyDescent="0.2">
      <c r="B164" s="32"/>
      <c r="C164" s="34"/>
      <c r="E164" s="28"/>
      <c r="J164" s="28"/>
      <c r="O164" s="28"/>
      <c r="T164" s="28"/>
      <c r="Y164" s="28"/>
      <c r="AD164" s="6"/>
      <c r="AE164" s="1"/>
      <c r="AF164" s="1"/>
      <c r="AG164" s="1"/>
      <c r="AH164" s="1"/>
      <c r="AI164" s="6"/>
      <c r="AJ164" s="1"/>
      <c r="AK164" s="1"/>
      <c r="AL164" s="1"/>
      <c r="AM164" s="1"/>
      <c r="AN164" s="12"/>
    </row>
    <row r="165" spans="2:41" s="27" customFormat="1" ht="42" customHeight="1" x14ac:dyDescent="0.2">
      <c r="B165" s="32"/>
      <c r="C165" s="34"/>
      <c r="E165" s="28"/>
      <c r="J165" s="28"/>
      <c r="O165" s="28"/>
      <c r="T165" s="28"/>
      <c r="Y165" s="28"/>
      <c r="AD165" s="6"/>
      <c r="AE165" s="1"/>
      <c r="AF165" s="1"/>
      <c r="AG165" s="1"/>
      <c r="AH165" s="1"/>
      <c r="AI165" s="6"/>
      <c r="AJ165" s="1"/>
      <c r="AK165" s="1"/>
      <c r="AL165" s="1"/>
      <c r="AM165" s="1"/>
      <c r="AN165" s="12"/>
    </row>
    <row r="166" spans="2:41" s="27" customFormat="1" ht="42" customHeight="1" x14ac:dyDescent="0.2">
      <c r="B166" s="32"/>
      <c r="C166" s="34"/>
      <c r="E166" s="28"/>
      <c r="J166" s="28"/>
      <c r="O166" s="28"/>
      <c r="T166" s="28"/>
      <c r="Y166" s="28"/>
      <c r="AD166" s="6"/>
      <c r="AE166" s="1"/>
      <c r="AF166" s="1"/>
      <c r="AG166" s="1"/>
      <c r="AH166" s="1"/>
      <c r="AI166" s="6"/>
      <c r="AJ166" s="1"/>
      <c r="AK166" s="1"/>
      <c r="AL166" s="1"/>
      <c r="AM166" s="1"/>
      <c r="AN166" s="12"/>
    </row>
    <row r="167" spans="2:41" s="27" customFormat="1" ht="42" customHeight="1" x14ac:dyDescent="0.2">
      <c r="B167" s="32"/>
      <c r="C167" s="34"/>
      <c r="E167" s="28"/>
      <c r="J167" s="28"/>
      <c r="O167" s="28"/>
      <c r="T167" s="28"/>
      <c r="Y167" s="28"/>
      <c r="AD167" s="6"/>
      <c r="AE167" s="1"/>
      <c r="AF167" s="1"/>
      <c r="AG167" s="1"/>
      <c r="AH167" s="1"/>
      <c r="AI167" s="6"/>
      <c r="AJ167" s="1"/>
      <c r="AK167" s="1"/>
      <c r="AL167" s="1"/>
      <c r="AM167" s="1"/>
      <c r="AN167" s="12"/>
    </row>
    <row r="168" spans="2:41" s="27" customFormat="1" ht="42" customHeight="1" x14ac:dyDescent="0.2">
      <c r="B168" s="32"/>
      <c r="C168" s="34"/>
      <c r="E168" s="28"/>
      <c r="J168" s="28"/>
      <c r="O168" s="28"/>
      <c r="T168" s="28"/>
      <c r="Y168" s="28"/>
      <c r="AD168" s="6"/>
      <c r="AE168" s="1"/>
      <c r="AF168" s="1"/>
      <c r="AG168" s="1"/>
      <c r="AH168" s="1"/>
      <c r="AI168" s="6"/>
      <c r="AJ168" s="1"/>
      <c r="AK168" s="1"/>
      <c r="AL168" s="1"/>
      <c r="AM168" s="1"/>
      <c r="AN168" s="12"/>
    </row>
    <row r="169" spans="2:41" s="27" customFormat="1" ht="42" customHeight="1" x14ac:dyDescent="0.2">
      <c r="B169" s="32"/>
      <c r="C169" s="34"/>
      <c r="E169" s="28"/>
      <c r="J169" s="28"/>
      <c r="O169" s="28"/>
      <c r="T169" s="28"/>
      <c r="Y169" s="28"/>
      <c r="AD169" s="6"/>
      <c r="AE169" s="1"/>
      <c r="AF169" s="1"/>
      <c r="AG169" s="1"/>
      <c r="AH169" s="1"/>
      <c r="AI169" s="6"/>
      <c r="AJ169" s="1"/>
      <c r="AK169" s="1"/>
      <c r="AL169" s="1"/>
      <c r="AM169" s="1"/>
      <c r="AN169" s="12"/>
    </row>
    <row r="170" spans="2:41" s="27" customFormat="1" ht="42" customHeight="1" x14ac:dyDescent="0.2">
      <c r="B170" s="32"/>
      <c r="C170" s="34"/>
      <c r="E170" s="28"/>
      <c r="J170" s="28"/>
      <c r="O170" s="28"/>
      <c r="T170" s="28"/>
      <c r="Y170" s="28"/>
      <c r="AD170" s="6"/>
      <c r="AE170" s="1"/>
      <c r="AF170" s="1"/>
      <c r="AG170" s="1"/>
      <c r="AH170" s="1"/>
      <c r="AI170" s="6"/>
      <c r="AJ170" s="1"/>
      <c r="AK170" s="1"/>
      <c r="AL170" s="1"/>
      <c r="AM170" s="1"/>
      <c r="AN170" s="12"/>
    </row>
    <row r="171" spans="2:41" s="27" customFormat="1" ht="42" customHeight="1" x14ac:dyDescent="0.2">
      <c r="B171" s="32"/>
      <c r="C171" s="34"/>
      <c r="E171" s="28"/>
      <c r="J171" s="28"/>
      <c r="O171" s="28"/>
      <c r="T171" s="28"/>
      <c r="Y171" s="28"/>
      <c r="AD171" s="6"/>
      <c r="AE171" s="1"/>
      <c r="AF171" s="1"/>
      <c r="AG171" s="1"/>
      <c r="AH171" s="1"/>
      <c r="AI171" s="6"/>
      <c r="AJ171" s="1"/>
      <c r="AK171" s="1"/>
      <c r="AL171" s="1"/>
      <c r="AM171" s="1"/>
      <c r="AN171" s="12"/>
    </row>
    <row r="172" spans="2:41" s="27" customFormat="1" ht="42" customHeight="1" x14ac:dyDescent="0.2">
      <c r="B172" s="32"/>
      <c r="C172" s="34"/>
      <c r="E172" s="28"/>
      <c r="J172" s="28"/>
      <c r="O172" s="28"/>
      <c r="T172" s="28"/>
      <c r="Y172" s="28"/>
      <c r="AD172" s="6"/>
      <c r="AE172" s="1"/>
      <c r="AF172" s="1"/>
      <c r="AG172" s="1"/>
      <c r="AH172" s="1"/>
      <c r="AI172" s="6"/>
      <c r="AJ172" s="1"/>
      <c r="AK172" s="1"/>
      <c r="AL172" s="1"/>
      <c r="AM172" s="1"/>
      <c r="AN172" s="12"/>
    </row>
    <row r="173" spans="2:41" s="27" customFormat="1" ht="42" customHeight="1" x14ac:dyDescent="0.2">
      <c r="B173" s="32"/>
      <c r="C173" s="34"/>
      <c r="E173" s="28"/>
      <c r="J173" s="28"/>
      <c r="O173" s="28"/>
      <c r="T173" s="28"/>
      <c r="Y173" s="28"/>
      <c r="AD173" s="6"/>
      <c r="AE173" s="1"/>
      <c r="AF173" s="1"/>
      <c r="AG173" s="1"/>
      <c r="AH173" s="1"/>
      <c r="AI173" s="6"/>
      <c r="AJ173" s="1"/>
      <c r="AK173" s="1"/>
      <c r="AL173" s="1"/>
      <c r="AM173" s="1"/>
      <c r="AN173" s="12"/>
    </row>
    <row r="174" spans="2:41" s="27" customFormat="1" ht="42" customHeight="1" x14ac:dyDescent="0.2">
      <c r="B174" s="32"/>
      <c r="C174" s="34"/>
      <c r="E174" s="28"/>
      <c r="J174" s="28"/>
      <c r="O174" s="28"/>
      <c r="T174" s="28"/>
      <c r="Y174" s="28"/>
      <c r="AD174" s="6"/>
      <c r="AE174" s="1"/>
      <c r="AF174" s="1"/>
      <c r="AG174" s="1"/>
      <c r="AH174" s="1"/>
      <c r="AI174" s="6"/>
      <c r="AJ174" s="1"/>
      <c r="AK174" s="1"/>
      <c r="AL174" s="1"/>
      <c r="AM174" s="1"/>
      <c r="AN174" s="12"/>
    </row>
    <row r="175" spans="2:41" s="4" customFormat="1" ht="42" customHeight="1" x14ac:dyDescent="0.2">
      <c r="B175" s="2"/>
      <c r="C175" s="3"/>
      <c r="E175" s="5"/>
      <c r="J175" s="5"/>
      <c r="O175" s="5"/>
      <c r="T175" s="5"/>
      <c r="Y175" s="5"/>
      <c r="AD175" s="6"/>
      <c r="AE175" s="1"/>
      <c r="AF175" s="1"/>
      <c r="AG175" s="1"/>
      <c r="AH175" s="1"/>
      <c r="AI175" s="6"/>
      <c r="AJ175" s="1"/>
      <c r="AK175" s="1"/>
      <c r="AL175" s="1"/>
      <c r="AM175" s="1"/>
      <c r="AN175" s="12"/>
      <c r="AO175" s="27"/>
    </row>
    <row r="176" spans="2:41" s="4" customFormat="1" ht="42" customHeight="1" x14ac:dyDescent="0.2">
      <c r="B176" s="2"/>
      <c r="C176" s="3"/>
      <c r="E176" s="5"/>
      <c r="J176" s="5"/>
      <c r="O176" s="5"/>
      <c r="T176" s="5"/>
      <c r="Y176" s="5"/>
      <c r="AD176" s="6"/>
      <c r="AE176" s="1"/>
      <c r="AF176" s="1"/>
      <c r="AG176" s="1"/>
      <c r="AH176" s="1"/>
      <c r="AI176" s="6"/>
      <c r="AJ176" s="1"/>
      <c r="AK176" s="1"/>
      <c r="AL176" s="1"/>
      <c r="AM176" s="1"/>
      <c r="AN176" s="12"/>
      <c r="AO176" s="27"/>
    </row>
    <row r="177" spans="1:41" s="4" customFormat="1" ht="42" customHeight="1" x14ac:dyDescent="0.2">
      <c r="B177" s="2"/>
      <c r="C177" s="3"/>
      <c r="E177" s="5"/>
      <c r="J177" s="5"/>
      <c r="O177" s="5"/>
      <c r="T177" s="5"/>
      <c r="Y177" s="5"/>
      <c r="AD177" s="6"/>
      <c r="AE177" s="1"/>
      <c r="AF177" s="1"/>
      <c r="AG177" s="1"/>
      <c r="AH177" s="1"/>
      <c r="AI177" s="6"/>
      <c r="AJ177" s="1"/>
      <c r="AK177" s="1"/>
      <c r="AL177" s="1"/>
      <c r="AM177" s="1"/>
      <c r="AN177" s="12"/>
      <c r="AO177" s="27"/>
    </row>
    <row r="178" spans="1:41" s="4" customFormat="1" ht="42" customHeight="1" x14ac:dyDescent="0.2">
      <c r="B178" s="2"/>
      <c r="C178" s="3"/>
      <c r="E178" s="5"/>
      <c r="J178" s="5"/>
      <c r="O178" s="5"/>
      <c r="T178" s="5"/>
      <c r="Y178" s="5"/>
      <c r="AD178" s="6"/>
      <c r="AE178" s="1"/>
      <c r="AF178" s="1"/>
      <c r="AG178" s="1"/>
      <c r="AH178" s="1"/>
      <c r="AI178" s="6"/>
      <c r="AJ178" s="1"/>
      <c r="AK178" s="1"/>
      <c r="AL178" s="1"/>
      <c r="AM178" s="1"/>
      <c r="AN178" s="12"/>
      <c r="AO178" s="27"/>
    </row>
    <row r="179" spans="1:41" s="4" customFormat="1" ht="42" customHeight="1" x14ac:dyDescent="0.2">
      <c r="B179" s="2"/>
      <c r="C179" s="3"/>
      <c r="E179" s="5"/>
      <c r="J179" s="5"/>
      <c r="O179" s="5"/>
      <c r="T179" s="5"/>
      <c r="Y179" s="5"/>
      <c r="AD179" s="6"/>
      <c r="AE179" s="1"/>
      <c r="AF179" s="1"/>
      <c r="AG179" s="1"/>
      <c r="AH179" s="1"/>
      <c r="AI179" s="6"/>
      <c r="AJ179" s="1"/>
      <c r="AK179" s="1"/>
      <c r="AL179" s="1"/>
      <c r="AM179" s="1"/>
      <c r="AN179" s="12"/>
      <c r="AO179" s="27"/>
    </row>
    <row r="180" spans="1:41" s="14" customFormat="1" ht="42" customHeight="1" x14ac:dyDescent="0.2">
      <c r="A180" s="4"/>
      <c r="B180" s="2"/>
      <c r="C180" s="3"/>
      <c r="D180" s="4"/>
      <c r="E180" s="5"/>
      <c r="F180" s="4"/>
      <c r="G180" s="4"/>
      <c r="H180" s="4"/>
      <c r="I180" s="4"/>
      <c r="J180" s="5"/>
      <c r="K180" s="4"/>
      <c r="L180" s="4"/>
      <c r="M180" s="4"/>
      <c r="N180" s="4"/>
      <c r="O180" s="5"/>
      <c r="P180" s="4"/>
      <c r="Q180" s="4"/>
      <c r="R180" s="4"/>
      <c r="S180" s="4"/>
      <c r="T180" s="5"/>
      <c r="U180" s="4"/>
      <c r="V180" s="4"/>
      <c r="W180" s="4"/>
      <c r="X180" s="4"/>
      <c r="Y180" s="5"/>
      <c r="Z180" s="4"/>
      <c r="AA180" s="4"/>
      <c r="AB180" s="4"/>
      <c r="AC180" s="4"/>
      <c r="AD180" s="6"/>
      <c r="AE180" s="1"/>
      <c r="AF180" s="1"/>
      <c r="AG180" s="1"/>
      <c r="AH180" s="1"/>
      <c r="AI180" s="6"/>
      <c r="AJ180" s="1"/>
      <c r="AK180" s="1"/>
      <c r="AL180" s="1"/>
      <c r="AM180" s="1"/>
      <c r="AN180" s="12"/>
      <c r="AO180" s="27"/>
    </row>
    <row r="181" spans="1:41" s="14" customFormat="1" ht="42" customHeight="1" x14ac:dyDescent="0.2">
      <c r="A181" s="4"/>
      <c r="B181" s="2"/>
      <c r="C181" s="3"/>
      <c r="D181" s="4"/>
      <c r="E181" s="5"/>
      <c r="F181" s="4"/>
      <c r="G181" s="4"/>
      <c r="H181" s="4"/>
      <c r="I181" s="4"/>
      <c r="J181" s="5"/>
      <c r="K181" s="4"/>
      <c r="L181" s="4"/>
      <c r="M181" s="4"/>
      <c r="N181" s="4"/>
      <c r="O181" s="5"/>
      <c r="P181" s="4"/>
      <c r="Q181" s="4"/>
      <c r="R181" s="4"/>
      <c r="S181" s="4"/>
      <c r="T181" s="5"/>
      <c r="U181" s="4"/>
      <c r="V181" s="4"/>
      <c r="W181" s="4"/>
      <c r="X181" s="4"/>
      <c r="Y181" s="5"/>
      <c r="Z181" s="4"/>
      <c r="AA181" s="4"/>
      <c r="AB181" s="4"/>
      <c r="AC181" s="4"/>
      <c r="AD181" s="6"/>
      <c r="AE181" s="1"/>
      <c r="AF181" s="1"/>
      <c r="AG181" s="1"/>
      <c r="AH181" s="1"/>
      <c r="AI181" s="6"/>
      <c r="AJ181" s="1"/>
      <c r="AK181" s="1"/>
      <c r="AL181" s="1"/>
      <c r="AM181" s="1"/>
      <c r="AN181" s="12"/>
      <c r="AO181" s="27"/>
    </row>
    <row r="182" spans="1:41" s="14" customFormat="1" ht="42" customHeight="1" x14ac:dyDescent="0.2">
      <c r="A182" s="4"/>
      <c r="B182" s="2"/>
      <c r="C182" s="3"/>
      <c r="D182" s="4"/>
      <c r="E182" s="5"/>
      <c r="F182" s="4"/>
      <c r="G182" s="4"/>
      <c r="H182" s="4"/>
      <c r="I182" s="4"/>
      <c r="J182" s="5"/>
      <c r="K182" s="4"/>
      <c r="L182" s="4"/>
      <c r="M182" s="4"/>
      <c r="N182" s="4"/>
      <c r="O182" s="5"/>
      <c r="P182" s="4"/>
      <c r="Q182" s="4"/>
      <c r="R182" s="4"/>
      <c r="S182" s="4"/>
      <c r="T182" s="5"/>
      <c r="U182" s="4"/>
      <c r="V182" s="4"/>
      <c r="W182" s="4"/>
      <c r="X182" s="4"/>
      <c r="Y182" s="5"/>
      <c r="Z182" s="4"/>
      <c r="AA182" s="4"/>
      <c r="AB182" s="4"/>
      <c r="AC182" s="4"/>
      <c r="AD182" s="6"/>
      <c r="AE182" s="1"/>
      <c r="AF182" s="1"/>
      <c r="AG182" s="1"/>
      <c r="AH182" s="1"/>
      <c r="AI182" s="6"/>
      <c r="AJ182" s="1"/>
      <c r="AK182" s="1"/>
      <c r="AL182" s="1"/>
      <c r="AM182" s="1"/>
      <c r="AN182" s="12"/>
      <c r="AO182" s="27"/>
    </row>
    <row r="183" spans="1:41" s="14" customFormat="1" ht="42" customHeight="1" x14ac:dyDescent="0.2">
      <c r="A183" s="4"/>
      <c r="B183" s="2"/>
      <c r="C183" s="3"/>
      <c r="D183" s="4"/>
      <c r="E183" s="5"/>
      <c r="F183" s="4"/>
      <c r="G183" s="4"/>
      <c r="H183" s="4"/>
      <c r="I183" s="4"/>
      <c r="J183" s="5"/>
      <c r="K183" s="4"/>
      <c r="L183" s="4"/>
      <c r="M183" s="4"/>
      <c r="N183" s="4"/>
      <c r="O183" s="5"/>
      <c r="P183" s="4"/>
      <c r="Q183" s="4"/>
      <c r="R183" s="4"/>
      <c r="S183" s="4"/>
      <c r="T183" s="5"/>
      <c r="U183" s="4"/>
      <c r="V183" s="4"/>
      <c r="W183" s="4"/>
      <c r="X183" s="4"/>
      <c r="Y183" s="5"/>
      <c r="Z183" s="4"/>
      <c r="AA183" s="4"/>
      <c r="AB183" s="4"/>
      <c r="AC183" s="4"/>
      <c r="AD183" s="6"/>
      <c r="AE183" s="1"/>
      <c r="AF183" s="1"/>
      <c r="AG183" s="1"/>
      <c r="AH183" s="1"/>
      <c r="AI183" s="6"/>
      <c r="AJ183" s="1"/>
      <c r="AK183" s="1"/>
      <c r="AL183" s="1"/>
      <c r="AM183" s="1"/>
      <c r="AN183" s="12"/>
      <c r="AO183" s="27"/>
    </row>
    <row r="184" spans="1:41" s="14" customFormat="1" ht="42" customHeight="1" x14ac:dyDescent="0.2">
      <c r="A184" s="4"/>
      <c r="B184" s="2"/>
      <c r="C184" s="3"/>
      <c r="D184" s="4"/>
      <c r="E184" s="5"/>
      <c r="F184" s="4"/>
      <c r="G184" s="4"/>
      <c r="H184" s="4"/>
      <c r="I184" s="4"/>
      <c r="J184" s="5"/>
      <c r="K184" s="4"/>
      <c r="L184" s="4"/>
      <c r="M184" s="4"/>
      <c r="N184" s="4"/>
      <c r="O184" s="5"/>
      <c r="P184" s="4"/>
      <c r="Q184" s="4"/>
      <c r="R184" s="4"/>
      <c r="S184" s="4"/>
      <c r="T184" s="5"/>
      <c r="U184" s="4"/>
      <c r="V184" s="4"/>
      <c r="W184" s="4"/>
      <c r="X184" s="4"/>
      <c r="Y184" s="5"/>
      <c r="Z184" s="4"/>
      <c r="AA184" s="4"/>
      <c r="AB184" s="4"/>
      <c r="AC184" s="4"/>
      <c r="AD184" s="6"/>
      <c r="AE184" s="1"/>
      <c r="AF184" s="1"/>
      <c r="AG184" s="1"/>
      <c r="AH184" s="1"/>
      <c r="AI184" s="6"/>
      <c r="AJ184" s="1"/>
      <c r="AK184" s="1"/>
      <c r="AL184" s="1"/>
      <c r="AM184" s="1"/>
      <c r="AN184" s="12"/>
      <c r="AO184" s="27"/>
    </row>
    <row r="185" spans="1:41" s="14" customFormat="1" ht="42" customHeight="1" x14ac:dyDescent="0.2">
      <c r="A185" s="4"/>
      <c r="B185" s="2"/>
      <c r="C185" s="3"/>
      <c r="D185" s="4"/>
      <c r="E185" s="5"/>
      <c r="F185" s="4"/>
      <c r="G185" s="4"/>
      <c r="H185" s="4"/>
      <c r="I185" s="4"/>
      <c r="J185" s="5"/>
      <c r="K185" s="4"/>
      <c r="L185" s="4"/>
      <c r="M185" s="4"/>
      <c r="N185" s="4"/>
      <c r="O185" s="5"/>
      <c r="P185" s="4"/>
      <c r="Q185" s="4"/>
      <c r="R185" s="4"/>
      <c r="S185" s="4"/>
      <c r="T185" s="5"/>
      <c r="U185" s="4"/>
      <c r="V185" s="4"/>
      <c r="W185" s="4"/>
      <c r="X185" s="4"/>
      <c r="Y185" s="5"/>
      <c r="Z185" s="4"/>
      <c r="AA185" s="4"/>
      <c r="AB185" s="4"/>
      <c r="AC185" s="4"/>
      <c r="AD185" s="6"/>
      <c r="AE185" s="1"/>
      <c r="AF185" s="1"/>
      <c r="AG185" s="1"/>
      <c r="AH185" s="1"/>
      <c r="AI185" s="6"/>
      <c r="AJ185" s="1"/>
      <c r="AK185" s="1"/>
      <c r="AL185" s="1"/>
      <c r="AM185" s="1"/>
      <c r="AN185" s="12"/>
      <c r="AO185" s="27"/>
    </row>
    <row r="186" spans="1:41" s="14" customFormat="1" ht="42" customHeight="1" x14ac:dyDescent="0.2">
      <c r="A186" s="4"/>
      <c r="B186" s="2"/>
      <c r="C186" s="3"/>
      <c r="D186" s="4"/>
      <c r="E186" s="5"/>
      <c r="F186" s="4"/>
      <c r="G186" s="4"/>
      <c r="H186" s="4"/>
      <c r="I186" s="4"/>
      <c r="J186" s="5"/>
      <c r="K186" s="4"/>
      <c r="L186" s="4"/>
      <c r="M186" s="4"/>
      <c r="N186" s="4"/>
      <c r="O186" s="5"/>
      <c r="P186" s="4"/>
      <c r="Q186" s="4"/>
      <c r="R186" s="4"/>
      <c r="S186" s="4"/>
      <c r="T186" s="5"/>
      <c r="U186" s="4"/>
      <c r="V186" s="4"/>
      <c r="W186" s="4"/>
      <c r="X186" s="4"/>
      <c r="Y186" s="5"/>
      <c r="Z186" s="4"/>
      <c r="AA186" s="4"/>
      <c r="AB186" s="4"/>
      <c r="AC186" s="4"/>
      <c r="AD186" s="6"/>
      <c r="AE186" s="1"/>
      <c r="AF186" s="1"/>
      <c r="AG186" s="1"/>
      <c r="AH186" s="1"/>
      <c r="AI186" s="6"/>
      <c r="AJ186" s="1"/>
      <c r="AK186" s="1"/>
      <c r="AL186" s="1"/>
      <c r="AM186" s="1"/>
      <c r="AN186" s="12"/>
      <c r="AO186" s="27"/>
    </row>
    <row r="187" spans="1:41" s="14" customFormat="1" ht="42" customHeight="1" x14ac:dyDescent="0.2">
      <c r="A187" s="4"/>
      <c r="B187" s="2"/>
      <c r="C187" s="3"/>
      <c r="D187" s="4"/>
      <c r="E187" s="5"/>
      <c r="F187" s="4"/>
      <c r="G187" s="4"/>
      <c r="H187" s="4"/>
      <c r="I187" s="4"/>
      <c r="J187" s="5"/>
      <c r="K187" s="4"/>
      <c r="L187" s="4"/>
      <c r="M187" s="4"/>
      <c r="N187" s="4"/>
      <c r="O187" s="5"/>
      <c r="P187" s="4"/>
      <c r="Q187" s="4"/>
      <c r="R187" s="4"/>
      <c r="S187" s="4"/>
      <c r="T187" s="5"/>
      <c r="U187" s="4"/>
      <c r="V187" s="4"/>
      <c r="W187" s="4"/>
      <c r="X187" s="4"/>
      <c r="Y187" s="5"/>
      <c r="Z187" s="4"/>
      <c r="AA187" s="4"/>
      <c r="AB187" s="4"/>
      <c r="AC187" s="4"/>
      <c r="AD187" s="6"/>
      <c r="AE187" s="1"/>
      <c r="AF187" s="1"/>
      <c r="AG187" s="1"/>
      <c r="AH187" s="1"/>
      <c r="AI187" s="6"/>
      <c r="AJ187" s="1"/>
      <c r="AK187" s="1"/>
      <c r="AL187" s="1"/>
      <c r="AM187" s="1"/>
      <c r="AN187" s="12"/>
      <c r="AO187" s="27"/>
    </row>
    <row r="188" spans="1:41" s="14" customFormat="1" ht="42" customHeight="1" x14ac:dyDescent="0.2">
      <c r="A188" s="4"/>
      <c r="B188" s="2"/>
      <c r="C188" s="3"/>
      <c r="D188" s="4"/>
      <c r="E188" s="5"/>
      <c r="F188" s="4"/>
      <c r="G188" s="4"/>
      <c r="H188" s="4"/>
      <c r="I188" s="4"/>
      <c r="J188" s="5"/>
      <c r="K188" s="4"/>
      <c r="L188" s="4"/>
      <c r="M188" s="4"/>
      <c r="N188" s="4"/>
      <c r="O188" s="5"/>
      <c r="P188" s="4"/>
      <c r="Q188" s="4"/>
      <c r="R188" s="4"/>
      <c r="S188" s="4"/>
      <c r="T188" s="5"/>
      <c r="U188" s="4"/>
      <c r="V188" s="4"/>
      <c r="W188" s="4"/>
      <c r="X188" s="4"/>
      <c r="Y188" s="5"/>
      <c r="Z188" s="4"/>
      <c r="AA188" s="4"/>
      <c r="AB188" s="4"/>
      <c r="AC188" s="4"/>
      <c r="AD188" s="6"/>
      <c r="AE188" s="1"/>
      <c r="AF188" s="1"/>
      <c r="AG188" s="1"/>
      <c r="AH188" s="1"/>
      <c r="AI188" s="6"/>
      <c r="AJ188" s="1"/>
      <c r="AK188" s="1"/>
      <c r="AL188" s="1"/>
      <c r="AM188" s="1"/>
      <c r="AN188" s="12"/>
      <c r="AO188" s="27"/>
    </row>
    <row r="189" spans="1:41" s="14" customFormat="1" ht="42" customHeight="1" x14ac:dyDescent="0.2">
      <c r="A189" s="4"/>
      <c r="B189" s="2"/>
      <c r="C189" s="3"/>
      <c r="D189" s="4"/>
      <c r="E189" s="5"/>
      <c r="F189" s="4"/>
      <c r="G189" s="4"/>
      <c r="H189" s="4"/>
      <c r="I189" s="4"/>
      <c r="J189" s="5"/>
      <c r="K189" s="4"/>
      <c r="L189" s="4"/>
      <c r="M189" s="4"/>
      <c r="N189" s="4"/>
      <c r="O189" s="5"/>
      <c r="P189" s="4"/>
      <c r="Q189" s="4"/>
      <c r="R189" s="4"/>
      <c r="S189" s="4"/>
      <c r="T189" s="5"/>
      <c r="U189" s="4"/>
      <c r="V189" s="4"/>
      <c r="W189" s="4"/>
      <c r="X189" s="4"/>
      <c r="Y189" s="5"/>
      <c r="Z189" s="4"/>
      <c r="AA189" s="4"/>
      <c r="AB189" s="4"/>
      <c r="AC189" s="4"/>
      <c r="AD189" s="6"/>
      <c r="AE189" s="1"/>
      <c r="AF189" s="1"/>
      <c r="AG189" s="1"/>
      <c r="AH189" s="1"/>
      <c r="AI189" s="6"/>
      <c r="AJ189" s="1"/>
      <c r="AK189" s="1"/>
      <c r="AL189" s="1"/>
      <c r="AM189" s="1"/>
      <c r="AN189" s="12"/>
      <c r="AO189" s="27"/>
    </row>
    <row r="190" spans="1:41" s="14" customFormat="1" ht="42" customHeight="1" x14ac:dyDescent="0.2">
      <c r="A190" s="4"/>
      <c r="B190" s="2"/>
      <c r="C190" s="3"/>
      <c r="D190" s="4"/>
      <c r="E190" s="5"/>
      <c r="F190" s="4"/>
      <c r="G190" s="4"/>
      <c r="H190" s="4"/>
      <c r="I190" s="4"/>
      <c r="J190" s="5"/>
      <c r="K190" s="4"/>
      <c r="L190" s="4"/>
      <c r="M190" s="4"/>
      <c r="N190" s="4"/>
      <c r="O190" s="5"/>
      <c r="P190" s="4"/>
      <c r="Q190" s="4"/>
      <c r="R190" s="4"/>
      <c r="S190" s="4"/>
      <c r="T190" s="5"/>
      <c r="U190" s="4"/>
      <c r="V190" s="4"/>
      <c r="W190" s="4"/>
      <c r="X190" s="4"/>
      <c r="Y190" s="5"/>
      <c r="Z190" s="4"/>
      <c r="AA190" s="4"/>
      <c r="AB190" s="4"/>
      <c r="AC190" s="4"/>
      <c r="AD190" s="6"/>
      <c r="AE190" s="1"/>
      <c r="AF190" s="1"/>
      <c r="AG190" s="1"/>
      <c r="AH190" s="1"/>
      <c r="AI190" s="6"/>
      <c r="AJ190" s="1"/>
      <c r="AK190" s="1"/>
      <c r="AL190" s="1"/>
      <c r="AM190" s="1"/>
      <c r="AN190" s="12"/>
      <c r="AO190" s="27"/>
    </row>
    <row r="191" spans="1:41" s="14" customFormat="1" ht="42" customHeight="1" x14ac:dyDescent="0.2">
      <c r="A191" s="4"/>
      <c r="B191" s="2"/>
      <c r="C191" s="3"/>
      <c r="D191" s="4"/>
      <c r="E191" s="5"/>
      <c r="F191" s="4"/>
      <c r="G191" s="4"/>
      <c r="H191" s="4"/>
      <c r="I191" s="4"/>
      <c r="J191" s="5"/>
      <c r="K191" s="4"/>
      <c r="L191" s="4"/>
      <c r="M191" s="4"/>
      <c r="N191" s="4"/>
      <c r="O191" s="5"/>
      <c r="P191" s="4"/>
      <c r="Q191" s="4"/>
      <c r="R191" s="4"/>
      <c r="S191" s="4"/>
      <c r="T191" s="5"/>
      <c r="U191" s="4"/>
      <c r="V191" s="4"/>
      <c r="W191" s="4"/>
      <c r="X191" s="4"/>
      <c r="Y191" s="5"/>
      <c r="Z191" s="4"/>
      <c r="AA191" s="4"/>
      <c r="AB191" s="4"/>
      <c r="AC191" s="4"/>
      <c r="AD191" s="6"/>
      <c r="AE191" s="1"/>
      <c r="AF191" s="1"/>
      <c r="AG191" s="1"/>
      <c r="AH191" s="1"/>
      <c r="AI191" s="6"/>
      <c r="AJ191" s="1"/>
      <c r="AK191" s="1"/>
      <c r="AL191" s="1"/>
      <c r="AM191" s="1"/>
      <c r="AN191" s="12"/>
      <c r="AO191" s="27"/>
    </row>
    <row r="192" spans="1:41" s="14" customFormat="1" ht="42" customHeight="1" x14ac:dyDescent="0.2">
      <c r="A192" s="4"/>
      <c r="B192" s="2"/>
      <c r="C192" s="3"/>
      <c r="D192" s="4"/>
      <c r="E192" s="5"/>
      <c r="F192" s="4"/>
      <c r="G192" s="4"/>
      <c r="H192" s="4"/>
      <c r="I192" s="4"/>
      <c r="J192" s="5"/>
      <c r="K192" s="4"/>
      <c r="L192" s="4"/>
      <c r="M192" s="4"/>
      <c r="N192" s="4"/>
      <c r="O192" s="5"/>
      <c r="P192" s="4"/>
      <c r="Q192" s="4"/>
      <c r="R192" s="4"/>
      <c r="S192" s="4"/>
      <c r="T192" s="5"/>
      <c r="U192" s="4"/>
      <c r="V192" s="4"/>
      <c r="W192" s="4"/>
      <c r="X192" s="4"/>
      <c r="Y192" s="5"/>
      <c r="Z192" s="4"/>
      <c r="AA192" s="4"/>
      <c r="AB192" s="4"/>
      <c r="AC192" s="4"/>
      <c r="AD192" s="6"/>
      <c r="AE192" s="1"/>
      <c r="AF192" s="1"/>
      <c r="AG192" s="1"/>
      <c r="AH192" s="1"/>
      <c r="AI192" s="6"/>
      <c r="AJ192" s="1"/>
      <c r="AK192" s="1"/>
      <c r="AL192" s="1"/>
      <c r="AM192" s="1"/>
      <c r="AN192" s="12"/>
      <c r="AO192" s="27"/>
    </row>
    <row r="193" spans="1:41" s="14" customFormat="1" ht="42" customHeight="1" x14ac:dyDescent="0.2">
      <c r="A193" s="4"/>
      <c r="B193" s="2"/>
      <c r="C193" s="3"/>
      <c r="D193" s="4"/>
      <c r="E193" s="5"/>
      <c r="F193" s="4"/>
      <c r="G193" s="4"/>
      <c r="H193" s="4"/>
      <c r="I193" s="4"/>
      <c r="J193" s="5"/>
      <c r="K193" s="4"/>
      <c r="L193" s="4"/>
      <c r="M193" s="4"/>
      <c r="N193" s="4"/>
      <c r="O193" s="5"/>
      <c r="P193" s="4"/>
      <c r="Q193" s="4"/>
      <c r="R193" s="4"/>
      <c r="S193" s="4"/>
      <c r="T193" s="5"/>
      <c r="U193" s="4"/>
      <c r="V193" s="4"/>
      <c r="W193" s="4"/>
      <c r="X193" s="4"/>
      <c r="Y193" s="5"/>
      <c r="Z193" s="4"/>
      <c r="AA193" s="4"/>
      <c r="AB193" s="4"/>
      <c r="AC193" s="4"/>
      <c r="AD193" s="6"/>
      <c r="AE193" s="1"/>
      <c r="AF193" s="1"/>
      <c r="AG193" s="1"/>
      <c r="AH193" s="1"/>
      <c r="AI193" s="6"/>
      <c r="AJ193" s="1"/>
      <c r="AK193" s="1"/>
      <c r="AL193" s="1"/>
      <c r="AM193" s="1"/>
      <c r="AN193" s="12"/>
      <c r="AO193" s="27"/>
    </row>
    <row r="194" spans="1:41" s="14" customFormat="1" ht="42" customHeight="1" x14ac:dyDescent="0.2">
      <c r="A194" s="4"/>
      <c r="B194" s="2"/>
      <c r="C194" s="3"/>
      <c r="D194" s="4"/>
      <c r="E194" s="5"/>
      <c r="F194" s="4"/>
      <c r="G194" s="4"/>
      <c r="H194" s="4"/>
      <c r="I194" s="4"/>
      <c r="J194" s="5"/>
      <c r="K194" s="4"/>
      <c r="L194" s="4"/>
      <c r="M194" s="4"/>
      <c r="N194" s="4"/>
      <c r="O194" s="5"/>
      <c r="P194" s="4"/>
      <c r="Q194" s="4"/>
      <c r="R194" s="4"/>
      <c r="S194" s="4"/>
      <c r="T194" s="5"/>
      <c r="U194" s="4"/>
      <c r="V194" s="4"/>
      <c r="W194" s="4"/>
      <c r="X194" s="4"/>
      <c r="Y194" s="5"/>
      <c r="Z194" s="4"/>
      <c r="AA194" s="4"/>
      <c r="AB194" s="4"/>
      <c r="AC194" s="4"/>
      <c r="AD194" s="6"/>
      <c r="AE194" s="1"/>
      <c r="AF194" s="1"/>
      <c r="AG194" s="1"/>
      <c r="AH194" s="1"/>
      <c r="AI194" s="6"/>
      <c r="AJ194" s="1"/>
      <c r="AK194" s="1"/>
      <c r="AL194" s="1"/>
      <c r="AM194" s="1"/>
      <c r="AN194" s="12"/>
      <c r="AO194" s="27"/>
    </row>
    <row r="195" spans="1:41" s="14" customFormat="1" ht="42" customHeight="1" x14ac:dyDescent="0.2">
      <c r="A195" s="4"/>
      <c r="B195" s="2"/>
      <c r="C195" s="3"/>
      <c r="D195" s="4"/>
      <c r="E195" s="5"/>
      <c r="F195" s="4"/>
      <c r="G195" s="4"/>
      <c r="H195" s="4"/>
      <c r="I195" s="4"/>
      <c r="J195" s="5"/>
      <c r="K195" s="4"/>
      <c r="L195" s="4"/>
      <c r="M195" s="4"/>
      <c r="N195" s="4"/>
      <c r="O195" s="5"/>
      <c r="P195" s="4"/>
      <c r="Q195" s="4"/>
      <c r="R195" s="4"/>
      <c r="S195" s="4"/>
      <c r="T195" s="5"/>
      <c r="U195" s="4"/>
      <c r="V195" s="4"/>
      <c r="W195" s="4"/>
      <c r="X195" s="4"/>
      <c r="Y195" s="5"/>
      <c r="Z195" s="4"/>
      <c r="AA195" s="4"/>
      <c r="AB195" s="4"/>
      <c r="AC195" s="4"/>
      <c r="AD195" s="6"/>
      <c r="AE195" s="1"/>
      <c r="AF195" s="1"/>
      <c r="AG195" s="1"/>
      <c r="AH195" s="1"/>
      <c r="AI195" s="6"/>
      <c r="AJ195" s="1"/>
      <c r="AK195" s="1"/>
      <c r="AL195" s="1"/>
      <c r="AM195" s="1"/>
      <c r="AN195" s="12"/>
      <c r="AO195" s="27"/>
    </row>
    <row r="196" spans="1:41" s="14" customFormat="1" ht="42" customHeight="1" x14ac:dyDescent="0.2">
      <c r="B196" s="46"/>
      <c r="C196" s="47"/>
      <c r="E196" s="48"/>
      <c r="J196" s="48"/>
      <c r="O196" s="48"/>
      <c r="T196" s="48"/>
      <c r="Y196" s="48"/>
      <c r="AD196" s="6"/>
      <c r="AE196" s="1"/>
      <c r="AF196" s="1"/>
      <c r="AG196" s="1"/>
      <c r="AH196" s="1"/>
      <c r="AI196" s="6"/>
      <c r="AJ196" s="1"/>
      <c r="AK196" s="1"/>
      <c r="AL196" s="1"/>
      <c r="AM196" s="1"/>
      <c r="AN196" s="12"/>
      <c r="AO196" s="27"/>
    </row>
    <row r="197" spans="1:41" s="14" customFormat="1" ht="42" customHeight="1" x14ac:dyDescent="0.2">
      <c r="B197" s="46"/>
      <c r="C197" s="47"/>
      <c r="E197" s="48"/>
      <c r="J197" s="48"/>
      <c r="O197" s="48"/>
      <c r="T197" s="48"/>
      <c r="Y197" s="48"/>
      <c r="AD197" s="6"/>
      <c r="AE197" s="1"/>
      <c r="AF197" s="1"/>
      <c r="AG197" s="1"/>
      <c r="AH197" s="1"/>
      <c r="AI197" s="6"/>
      <c r="AJ197" s="1"/>
      <c r="AK197" s="1"/>
      <c r="AL197" s="1"/>
      <c r="AM197" s="1"/>
      <c r="AN197" s="12"/>
      <c r="AO197" s="27"/>
    </row>
    <row r="198" spans="1:41" s="14" customFormat="1" ht="42" customHeight="1" x14ac:dyDescent="0.2">
      <c r="B198" s="46"/>
      <c r="C198" s="47"/>
      <c r="E198" s="48"/>
      <c r="J198" s="48"/>
      <c r="O198" s="48"/>
      <c r="T198" s="48"/>
      <c r="Y198" s="48"/>
      <c r="AD198" s="6"/>
      <c r="AE198" s="1"/>
      <c r="AF198" s="1"/>
      <c r="AG198" s="1"/>
      <c r="AH198" s="1"/>
      <c r="AI198" s="6"/>
      <c r="AJ198" s="1"/>
      <c r="AK198" s="1"/>
      <c r="AL198" s="1"/>
      <c r="AM198" s="1"/>
      <c r="AN198" s="12"/>
      <c r="AO198" s="27"/>
    </row>
    <row r="199" spans="1:41" s="14" customFormat="1" ht="42" customHeight="1" x14ac:dyDescent="0.2">
      <c r="B199" s="46"/>
      <c r="C199" s="47"/>
      <c r="E199" s="48"/>
      <c r="J199" s="48"/>
      <c r="O199" s="48"/>
      <c r="T199" s="48"/>
      <c r="Y199" s="48"/>
      <c r="AD199" s="6"/>
      <c r="AE199" s="1"/>
      <c r="AF199" s="1"/>
      <c r="AG199" s="1"/>
      <c r="AH199" s="1"/>
      <c r="AI199" s="6"/>
      <c r="AJ199" s="1"/>
      <c r="AK199" s="1"/>
      <c r="AL199" s="1"/>
      <c r="AM199" s="1"/>
      <c r="AN199" s="12"/>
      <c r="AO199" s="27"/>
    </row>
    <row r="200" spans="1:41" s="14" customFormat="1" ht="42" customHeight="1" x14ac:dyDescent="0.2">
      <c r="B200" s="46"/>
      <c r="C200" s="47"/>
      <c r="E200" s="48"/>
      <c r="J200" s="48"/>
      <c r="O200" s="48"/>
      <c r="T200" s="48"/>
      <c r="Y200" s="48"/>
      <c r="AD200" s="6"/>
      <c r="AE200" s="1"/>
      <c r="AF200" s="1"/>
      <c r="AG200" s="1"/>
      <c r="AH200" s="1"/>
      <c r="AI200" s="6"/>
      <c r="AJ200" s="1"/>
      <c r="AK200" s="1"/>
      <c r="AL200" s="1"/>
      <c r="AM200" s="1"/>
      <c r="AN200" s="12"/>
      <c r="AO200" s="27"/>
    </row>
    <row r="201" spans="1:41" s="14" customFormat="1" ht="42" customHeight="1" x14ac:dyDescent="0.2">
      <c r="B201" s="46"/>
      <c r="C201" s="47"/>
      <c r="E201" s="48"/>
      <c r="J201" s="48"/>
      <c r="O201" s="48"/>
      <c r="T201" s="48"/>
      <c r="Y201" s="48"/>
      <c r="AD201" s="6"/>
      <c r="AE201" s="1"/>
      <c r="AF201" s="1"/>
      <c r="AG201" s="1"/>
      <c r="AH201" s="1"/>
      <c r="AI201" s="6"/>
      <c r="AJ201" s="1"/>
      <c r="AK201" s="1"/>
      <c r="AL201" s="1"/>
      <c r="AM201" s="1"/>
      <c r="AN201" s="12"/>
      <c r="AO201" s="27"/>
    </row>
    <row r="202" spans="1:41" s="14" customFormat="1" ht="42" customHeight="1" x14ac:dyDescent="0.2">
      <c r="B202" s="46"/>
      <c r="C202" s="47"/>
      <c r="E202" s="48"/>
      <c r="J202" s="48"/>
      <c r="O202" s="48"/>
      <c r="T202" s="48"/>
      <c r="Y202" s="48"/>
      <c r="AD202" s="6"/>
      <c r="AE202" s="1"/>
      <c r="AF202" s="1"/>
      <c r="AG202" s="1"/>
      <c r="AH202" s="1"/>
      <c r="AI202" s="6"/>
      <c r="AJ202" s="1"/>
      <c r="AK202" s="1"/>
      <c r="AL202" s="1"/>
      <c r="AM202" s="1"/>
      <c r="AN202" s="12"/>
      <c r="AO202" s="27"/>
    </row>
    <row r="203" spans="1:41" s="14" customFormat="1" ht="42" customHeight="1" x14ac:dyDescent="0.2">
      <c r="B203" s="46"/>
      <c r="C203" s="47"/>
      <c r="E203" s="48"/>
      <c r="J203" s="48"/>
      <c r="O203" s="48"/>
      <c r="T203" s="48"/>
      <c r="Y203" s="48"/>
      <c r="AD203" s="6"/>
      <c r="AE203" s="1"/>
      <c r="AF203" s="1"/>
      <c r="AG203" s="1"/>
      <c r="AH203" s="1"/>
      <c r="AI203" s="6"/>
      <c r="AJ203" s="1"/>
      <c r="AK203" s="1"/>
      <c r="AL203" s="1"/>
      <c r="AM203" s="1"/>
      <c r="AN203" s="12"/>
      <c r="AO203" s="27"/>
    </row>
    <row r="204" spans="1:41" s="14" customFormat="1" ht="42" customHeight="1" x14ac:dyDescent="0.2">
      <c r="B204" s="46"/>
      <c r="C204" s="47"/>
      <c r="E204" s="48"/>
      <c r="J204" s="48"/>
      <c r="O204" s="48"/>
      <c r="T204" s="48"/>
      <c r="Y204" s="48"/>
      <c r="AD204" s="6"/>
      <c r="AE204" s="1"/>
      <c r="AF204" s="1"/>
      <c r="AG204" s="1"/>
      <c r="AH204" s="1"/>
      <c r="AI204" s="6"/>
      <c r="AJ204" s="1"/>
      <c r="AK204" s="1"/>
      <c r="AL204" s="1"/>
      <c r="AM204" s="1"/>
      <c r="AN204" s="12"/>
      <c r="AO204" s="27"/>
    </row>
    <row r="205" spans="1:41" s="14" customFormat="1" ht="42" customHeight="1" x14ac:dyDescent="0.2">
      <c r="B205" s="46"/>
      <c r="C205" s="47"/>
      <c r="E205" s="48"/>
      <c r="J205" s="48"/>
      <c r="O205" s="48"/>
      <c r="T205" s="48"/>
      <c r="Y205" s="48"/>
      <c r="AD205" s="6"/>
      <c r="AE205" s="1"/>
      <c r="AF205" s="1"/>
      <c r="AG205" s="1"/>
      <c r="AH205" s="1"/>
      <c r="AI205" s="6"/>
      <c r="AJ205" s="1"/>
      <c r="AK205" s="1"/>
      <c r="AL205" s="1"/>
      <c r="AM205" s="1"/>
      <c r="AN205" s="12"/>
      <c r="AO205" s="27"/>
    </row>
    <row r="206" spans="1:41" s="14" customFormat="1" ht="42" customHeight="1" x14ac:dyDescent="0.2">
      <c r="B206" s="46"/>
      <c r="C206" s="47"/>
      <c r="E206" s="48"/>
      <c r="J206" s="48"/>
      <c r="O206" s="48"/>
      <c r="T206" s="48"/>
      <c r="Y206" s="48"/>
      <c r="AD206" s="6"/>
      <c r="AE206" s="1"/>
      <c r="AF206" s="1"/>
      <c r="AG206" s="1"/>
      <c r="AH206" s="1"/>
      <c r="AI206" s="6"/>
      <c r="AJ206" s="1"/>
      <c r="AK206" s="1"/>
      <c r="AL206" s="1"/>
      <c r="AM206" s="1"/>
      <c r="AN206" s="12"/>
      <c r="AO206" s="27"/>
    </row>
    <row r="207" spans="1:41" s="14" customFormat="1" ht="42" customHeight="1" x14ac:dyDescent="0.2">
      <c r="B207" s="46"/>
      <c r="C207" s="47"/>
      <c r="E207" s="48"/>
      <c r="J207" s="48"/>
      <c r="O207" s="48"/>
      <c r="T207" s="48"/>
      <c r="Y207" s="48"/>
      <c r="AD207" s="6"/>
      <c r="AE207" s="1"/>
      <c r="AF207" s="1"/>
      <c r="AG207" s="1"/>
      <c r="AH207" s="1"/>
      <c r="AI207" s="6"/>
      <c r="AJ207" s="1"/>
      <c r="AK207" s="1"/>
      <c r="AL207" s="1"/>
      <c r="AM207" s="1"/>
      <c r="AN207" s="12"/>
      <c r="AO207" s="27"/>
    </row>
    <row r="208" spans="1:41" s="14" customFormat="1" ht="42" customHeight="1" x14ac:dyDescent="0.2">
      <c r="B208" s="46"/>
      <c r="C208" s="47"/>
      <c r="E208" s="48"/>
      <c r="J208" s="48"/>
      <c r="O208" s="48"/>
      <c r="T208" s="48"/>
      <c r="Y208" s="48"/>
      <c r="AD208" s="6"/>
      <c r="AE208" s="1"/>
      <c r="AF208" s="1"/>
      <c r="AG208" s="1"/>
      <c r="AH208" s="1"/>
      <c r="AI208" s="6"/>
      <c r="AJ208" s="1"/>
      <c r="AK208" s="1"/>
      <c r="AL208" s="1"/>
      <c r="AM208" s="1"/>
      <c r="AN208" s="12"/>
      <c r="AO208" s="27"/>
    </row>
    <row r="209" spans="2:41" s="14" customFormat="1" ht="42" customHeight="1" x14ac:dyDescent="0.2">
      <c r="B209" s="46"/>
      <c r="C209" s="47"/>
      <c r="E209" s="48"/>
      <c r="J209" s="48"/>
      <c r="O209" s="48"/>
      <c r="T209" s="48"/>
      <c r="Y209" s="48"/>
      <c r="AD209" s="6"/>
      <c r="AE209" s="1"/>
      <c r="AF209" s="1"/>
      <c r="AG209" s="1"/>
      <c r="AH209" s="1"/>
      <c r="AI209" s="6"/>
      <c r="AJ209" s="1"/>
      <c r="AK209" s="1"/>
      <c r="AL209" s="1"/>
      <c r="AM209" s="1"/>
      <c r="AN209" s="12"/>
      <c r="AO209" s="27"/>
    </row>
    <row r="210" spans="2:41" s="14" customFormat="1" ht="42" customHeight="1" x14ac:dyDescent="0.2">
      <c r="B210" s="46"/>
      <c r="C210" s="47"/>
      <c r="E210" s="48"/>
      <c r="J210" s="48"/>
      <c r="O210" s="48"/>
      <c r="T210" s="48"/>
      <c r="Y210" s="48"/>
      <c r="AD210" s="6"/>
      <c r="AE210" s="1"/>
      <c r="AF210" s="1"/>
      <c r="AG210" s="1"/>
      <c r="AH210" s="1"/>
      <c r="AI210" s="6"/>
      <c r="AJ210" s="1"/>
      <c r="AK210" s="1"/>
      <c r="AL210" s="1"/>
      <c r="AM210" s="1"/>
      <c r="AN210" s="12"/>
      <c r="AO210" s="27"/>
    </row>
    <row r="211" spans="2:41" s="14" customFormat="1" ht="42" customHeight="1" x14ac:dyDescent="0.2">
      <c r="B211" s="46"/>
      <c r="C211" s="47"/>
      <c r="E211" s="48"/>
      <c r="J211" s="48"/>
      <c r="O211" s="48"/>
      <c r="T211" s="48"/>
      <c r="Y211" s="48"/>
      <c r="AD211" s="6"/>
      <c r="AE211" s="1"/>
      <c r="AF211" s="1"/>
      <c r="AG211" s="1"/>
      <c r="AH211" s="1"/>
      <c r="AI211" s="6"/>
      <c r="AJ211" s="1"/>
      <c r="AK211" s="1"/>
      <c r="AL211" s="1"/>
      <c r="AM211" s="1"/>
      <c r="AN211" s="12"/>
      <c r="AO211" s="27"/>
    </row>
    <row r="212" spans="2:41" s="14" customFormat="1" ht="42" customHeight="1" x14ac:dyDescent="0.2">
      <c r="B212" s="46"/>
      <c r="C212" s="47"/>
      <c r="E212" s="48"/>
      <c r="J212" s="48"/>
      <c r="O212" s="48"/>
      <c r="T212" s="48"/>
      <c r="Y212" s="48"/>
      <c r="AD212" s="6"/>
      <c r="AE212" s="1"/>
      <c r="AF212" s="1"/>
      <c r="AG212" s="1"/>
      <c r="AH212" s="1"/>
      <c r="AI212" s="6"/>
      <c r="AJ212" s="1"/>
      <c r="AK212" s="1"/>
      <c r="AL212" s="1"/>
      <c r="AM212" s="1"/>
      <c r="AN212" s="12"/>
      <c r="AO212" s="27"/>
    </row>
    <row r="213" spans="2:41" s="14" customFormat="1" ht="42" customHeight="1" x14ac:dyDescent="0.2">
      <c r="B213" s="46"/>
      <c r="C213" s="47"/>
      <c r="E213" s="48"/>
      <c r="J213" s="48"/>
      <c r="O213" s="48"/>
      <c r="T213" s="48"/>
      <c r="Y213" s="48"/>
      <c r="AD213" s="6"/>
      <c r="AE213" s="1"/>
      <c r="AF213" s="1"/>
      <c r="AG213" s="1"/>
      <c r="AH213" s="1"/>
      <c r="AI213" s="6"/>
      <c r="AJ213" s="1"/>
      <c r="AK213" s="1"/>
      <c r="AL213" s="1"/>
      <c r="AM213" s="1"/>
      <c r="AN213" s="12"/>
      <c r="AO213" s="27"/>
    </row>
    <row r="214" spans="2:41" s="14" customFormat="1" ht="42" customHeight="1" x14ac:dyDescent="0.2">
      <c r="B214" s="46"/>
      <c r="C214" s="47"/>
      <c r="E214" s="48"/>
      <c r="J214" s="48"/>
      <c r="O214" s="48"/>
      <c r="T214" s="48"/>
      <c r="Y214" s="48"/>
      <c r="AD214" s="6"/>
      <c r="AE214" s="1"/>
      <c r="AF214" s="1"/>
      <c r="AG214" s="1"/>
      <c r="AH214" s="1"/>
      <c r="AI214" s="6"/>
      <c r="AJ214" s="1"/>
      <c r="AK214" s="1"/>
      <c r="AL214" s="1"/>
      <c r="AM214" s="1"/>
      <c r="AN214" s="12"/>
      <c r="AO214" s="27"/>
    </row>
    <row r="215" spans="2:41" s="14" customFormat="1" ht="42" customHeight="1" x14ac:dyDescent="0.2">
      <c r="B215" s="46"/>
      <c r="C215" s="47"/>
      <c r="E215" s="48"/>
      <c r="J215" s="48"/>
      <c r="O215" s="48"/>
      <c r="T215" s="48"/>
      <c r="Y215" s="48"/>
      <c r="AD215" s="6"/>
      <c r="AE215" s="1"/>
      <c r="AF215" s="1"/>
      <c r="AG215" s="1"/>
      <c r="AH215" s="1"/>
      <c r="AI215" s="6"/>
      <c r="AJ215" s="1"/>
      <c r="AK215" s="1"/>
      <c r="AL215" s="1"/>
      <c r="AM215" s="1"/>
      <c r="AN215" s="12"/>
      <c r="AO215" s="27"/>
    </row>
    <row r="216" spans="2:41" s="14" customFormat="1" ht="42" customHeight="1" x14ac:dyDescent="0.2">
      <c r="B216" s="46"/>
      <c r="C216" s="47"/>
      <c r="E216" s="48"/>
      <c r="J216" s="48"/>
      <c r="O216" s="48"/>
      <c r="T216" s="48"/>
      <c r="Y216" s="48"/>
      <c r="AD216" s="6"/>
      <c r="AE216" s="1"/>
      <c r="AF216" s="1"/>
      <c r="AG216" s="1"/>
      <c r="AH216" s="1"/>
      <c r="AI216" s="6"/>
      <c r="AJ216" s="1"/>
      <c r="AK216" s="1"/>
      <c r="AL216" s="1"/>
      <c r="AM216" s="1"/>
      <c r="AN216" s="12"/>
      <c r="AO216" s="27"/>
    </row>
    <row r="217" spans="2:41" s="14" customFormat="1" ht="42" customHeight="1" x14ac:dyDescent="0.2">
      <c r="B217" s="46"/>
      <c r="C217" s="47"/>
      <c r="E217" s="48"/>
      <c r="J217" s="48"/>
      <c r="O217" s="48"/>
      <c r="T217" s="48"/>
      <c r="Y217" s="48"/>
      <c r="AD217" s="6"/>
      <c r="AE217" s="1"/>
      <c r="AF217" s="1"/>
      <c r="AG217" s="1"/>
      <c r="AH217" s="1"/>
      <c r="AI217" s="6"/>
      <c r="AJ217" s="1"/>
      <c r="AK217" s="1"/>
      <c r="AL217" s="1"/>
      <c r="AM217" s="1"/>
      <c r="AN217" s="12"/>
      <c r="AO217" s="27"/>
    </row>
    <row r="218" spans="2:41" s="14" customFormat="1" ht="42" customHeight="1" x14ac:dyDescent="0.2">
      <c r="B218" s="46"/>
      <c r="C218" s="47"/>
      <c r="E218" s="48"/>
      <c r="J218" s="48"/>
      <c r="O218" s="48"/>
      <c r="T218" s="48"/>
      <c r="Y218" s="48"/>
      <c r="AD218" s="6"/>
      <c r="AE218" s="1"/>
      <c r="AF218" s="1"/>
      <c r="AG218" s="1"/>
      <c r="AH218" s="1"/>
      <c r="AI218" s="6"/>
      <c r="AJ218" s="1"/>
      <c r="AK218" s="1"/>
      <c r="AL218" s="1"/>
      <c r="AM218" s="1"/>
      <c r="AN218" s="12"/>
      <c r="AO218" s="27"/>
    </row>
    <row r="219" spans="2:41" s="14" customFormat="1" ht="42" customHeight="1" x14ac:dyDescent="0.2">
      <c r="B219" s="46"/>
      <c r="C219" s="47"/>
      <c r="E219" s="48"/>
      <c r="J219" s="48"/>
      <c r="O219" s="48"/>
      <c r="T219" s="48"/>
      <c r="Y219" s="48"/>
      <c r="AD219" s="6"/>
      <c r="AE219" s="1"/>
      <c r="AF219" s="1"/>
      <c r="AG219" s="1"/>
      <c r="AH219" s="1"/>
      <c r="AI219" s="6"/>
      <c r="AJ219" s="1"/>
      <c r="AK219" s="1"/>
      <c r="AL219" s="1"/>
      <c r="AM219" s="1"/>
      <c r="AN219" s="12"/>
      <c r="AO219" s="27"/>
    </row>
    <row r="220" spans="2:41" s="14" customFormat="1" ht="42" customHeight="1" x14ac:dyDescent="0.2">
      <c r="B220" s="46"/>
      <c r="C220" s="47"/>
      <c r="E220" s="48"/>
      <c r="J220" s="48"/>
      <c r="O220" s="48"/>
      <c r="T220" s="48"/>
      <c r="Y220" s="48"/>
      <c r="AD220" s="6"/>
      <c r="AE220" s="1"/>
      <c r="AF220" s="1"/>
      <c r="AG220" s="1"/>
      <c r="AH220" s="1"/>
      <c r="AI220" s="6"/>
      <c r="AJ220" s="1"/>
      <c r="AK220" s="1"/>
      <c r="AL220" s="1"/>
      <c r="AM220" s="1"/>
      <c r="AN220" s="12"/>
      <c r="AO220" s="27"/>
    </row>
    <row r="221" spans="2:41" s="14" customFormat="1" ht="42" customHeight="1" x14ac:dyDescent="0.2">
      <c r="B221" s="46"/>
      <c r="C221" s="47"/>
      <c r="E221" s="48"/>
      <c r="J221" s="48"/>
      <c r="O221" s="48"/>
      <c r="T221" s="48"/>
      <c r="Y221" s="48"/>
      <c r="AD221" s="6"/>
      <c r="AE221" s="1"/>
      <c r="AF221" s="1"/>
      <c r="AG221" s="1"/>
      <c r="AH221" s="1"/>
      <c r="AI221" s="6"/>
      <c r="AJ221" s="1"/>
      <c r="AK221" s="1"/>
      <c r="AL221" s="1"/>
      <c r="AM221" s="1"/>
      <c r="AN221" s="12"/>
      <c r="AO221" s="27"/>
    </row>
    <row r="222" spans="2:41" s="14" customFormat="1" ht="42" customHeight="1" x14ac:dyDescent="0.2">
      <c r="B222" s="46"/>
      <c r="C222" s="47"/>
      <c r="E222" s="48"/>
      <c r="J222" s="48"/>
      <c r="O222" s="48"/>
      <c r="T222" s="48"/>
      <c r="Y222" s="48"/>
      <c r="AD222" s="6"/>
      <c r="AE222" s="1"/>
      <c r="AF222" s="1"/>
      <c r="AG222" s="1"/>
      <c r="AH222" s="1"/>
      <c r="AI222" s="6"/>
      <c r="AJ222" s="1"/>
      <c r="AK222" s="1"/>
      <c r="AL222" s="1"/>
      <c r="AM222" s="1"/>
      <c r="AN222" s="12"/>
      <c r="AO222" s="27"/>
    </row>
    <row r="223" spans="2:41" s="14" customFormat="1" ht="42" customHeight="1" x14ac:dyDescent="0.2">
      <c r="B223" s="46"/>
      <c r="C223" s="47"/>
      <c r="E223" s="48"/>
      <c r="J223" s="48"/>
      <c r="O223" s="48"/>
      <c r="T223" s="48"/>
      <c r="Y223" s="48"/>
      <c r="AD223" s="6"/>
      <c r="AE223" s="1"/>
      <c r="AF223" s="1"/>
      <c r="AG223" s="1"/>
      <c r="AH223" s="1"/>
      <c r="AI223" s="6"/>
      <c r="AJ223" s="1"/>
      <c r="AK223" s="1"/>
      <c r="AL223" s="1"/>
      <c r="AM223" s="1"/>
      <c r="AN223" s="12"/>
      <c r="AO223" s="27"/>
    </row>
    <row r="224" spans="2:41" s="14" customFormat="1" ht="42" customHeight="1" x14ac:dyDescent="0.2">
      <c r="B224" s="46"/>
      <c r="C224" s="47"/>
      <c r="E224" s="48"/>
      <c r="J224" s="48"/>
      <c r="O224" s="48"/>
      <c r="T224" s="48"/>
      <c r="Y224" s="48"/>
      <c r="AD224" s="6"/>
      <c r="AE224" s="1"/>
      <c r="AF224" s="1"/>
      <c r="AG224" s="1"/>
      <c r="AH224" s="1"/>
      <c r="AI224" s="6"/>
      <c r="AJ224" s="1"/>
      <c r="AK224" s="1"/>
      <c r="AL224" s="1"/>
      <c r="AM224" s="1"/>
      <c r="AN224" s="12"/>
      <c r="AO224" s="27"/>
    </row>
    <row r="225" spans="2:41" s="14" customFormat="1" ht="42" customHeight="1" x14ac:dyDescent="0.2">
      <c r="B225" s="46"/>
      <c r="C225" s="47"/>
      <c r="E225" s="48"/>
      <c r="J225" s="48"/>
      <c r="O225" s="48"/>
      <c r="T225" s="48"/>
      <c r="Y225" s="48"/>
      <c r="AD225" s="6"/>
      <c r="AE225" s="1"/>
      <c r="AF225" s="1"/>
      <c r="AG225" s="1"/>
      <c r="AH225" s="1"/>
      <c r="AI225" s="6"/>
      <c r="AJ225" s="1"/>
      <c r="AK225" s="1"/>
      <c r="AL225" s="1"/>
      <c r="AM225" s="1"/>
      <c r="AN225" s="12"/>
      <c r="AO225" s="27"/>
    </row>
    <row r="226" spans="2:41" s="14" customFormat="1" ht="42" customHeight="1" x14ac:dyDescent="0.2">
      <c r="B226" s="46"/>
      <c r="C226" s="47"/>
      <c r="E226" s="48"/>
      <c r="J226" s="48"/>
      <c r="O226" s="48"/>
      <c r="T226" s="48"/>
      <c r="Y226" s="48"/>
      <c r="AD226" s="6"/>
      <c r="AE226" s="1"/>
      <c r="AF226" s="1"/>
      <c r="AG226" s="1"/>
      <c r="AH226" s="1"/>
      <c r="AI226" s="6"/>
      <c r="AJ226" s="1"/>
      <c r="AK226" s="1"/>
      <c r="AL226" s="1"/>
      <c r="AM226" s="1"/>
      <c r="AN226" s="12"/>
      <c r="AO226" s="27"/>
    </row>
    <row r="227" spans="2:41" s="14" customFormat="1" ht="42" customHeight="1" x14ac:dyDescent="0.2">
      <c r="B227" s="46"/>
      <c r="C227" s="47"/>
      <c r="E227" s="48"/>
      <c r="J227" s="48"/>
      <c r="O227" s="48"/>
      <c r="T227" s="48"/>
      <c r="Y227" s="48"/>
      <c r="AD227" s="6"/>
      <c r="AE227" s="1"/>
      <c r="AF227" s="1"/>
      <c r="AG227" s="1"/>
      <c r="AH227" s="1"/>
      <c r="AI227" s="6"/>
      <c r="AJ227" s="1"/>
      <c r="AK227" s="1"/>
      <c r="AL227" s="1"/>
      <c r="AM227" s="1"/>
      <c r="AN227" s="12"/>
      <c r="AO227" s="27"/>
    </row>
    <row r="228" spans="2:41" s="14" customFormat="1" ht="42" customHeight="1" x14ac:dyDescent="0.2">
      <c r="B228" s="46"/>
      <c r="C228" s="47"/>
      <c r="E228" s="48"/>
      <c r="J228" s="48"/>
      <c r="O228" s="48"/>
      <c r="T228" s="48"/>
      <c r="Y228" s="48"/>
      <c r="AD228" s="6"/>
      <c r="AE228" s="1"/>
      <c r="AF228" s="1"/>
      <c r="AG228" s="1"/>
      <c r="AH228" s="1"/>
      <c r="AI228" s="6"/>
      <c r="AJ228" s="1"/>
      <c r="AK228" s="1"/>
      <c r="AL228" s="1"/>
      <c r="AM228" s="1"/>
      <c r="AN228" s="12"/>
      <c r="AO228" s="27"/>
    </row>
    <row r="229" spans="2:41" s="14" customFormat="1" ht="42" customHeight="1" x14ac:dyDescent="0.2">
      <c r="B229" s="46"/>
      <c r="C229" s="47"/>
      <c r="E229" s="48"/>
      <c r="J229" s="48"/>
      <c r="O229" s="48"/>
      <c r="T229" s="48"/>
      <c r="Y229" s="48"/>
      <c r="AD229" s="6"/>
      <c r="AE229" s="1"/>
      <c r="AF229" s="1"/>
      <c r="AG229" s="1"/>
      <c r="AH229" s="1"/>
      <c r="AI229" s="6"/>
      <c r="AJ229" s="1"/>
      <c r="AK229" s="1"/>
      <c r="AL229" s="1"/>
      <c r="AM229" s="1"/>
      <c r="AN229" s="12"/>
      <c r="AO229" s="27"/>
    </row>
    <row r="230" spans="2:41" s="14" customFormat="1" ht="42" customHeight="1" x14ac:dyDescent="0.2">
      <c r="B230" s="46"/>
      <c r="C230" s="47"/>
      <c r="E230" s="48"/>
      <c r="J230" s="48"/>
      <c r="O230" s="48"/>
      <c r="T230" s="48"/>
      <c r="Y230" s="48"/>
      <c r="AD230" s="6"/>
      <c r="AE230" s="1"/>
      <c r="AF230" s="1"/>
      <c r="AG230" s="1"/>
      <c r="AH230" s="1"/>
      <c r="AI230" s="6"/>
      <c r="AJ230" s="1"/>
      <c r="AK230" s="1"/>
      <c r="AL230" s="1"/>
      <c r="AM230" s="1"/>
      <c r="AN230" s="12"/>
      <c r="AO230" s="27"/>
    </row>
    <row r="231" spans="2:41" s="14" customFormat="1" ht="42" customHeight="1" x14ac:dyDescent="0.2">
      <c r="B231" s="46"/>
      <c r="C231" s="47"/>
      <c r="E231" s="48"/>
      <c r="J231" s="48"/>
      <c r="O231" s="48"/>
      <c r="T231" s="48"/>
      <c r="Y231" s="48"/>
      <c r="AD231" s="6"/>
      <c r="AE231" s="1"/>
      <c r="AF231" s="1"/>
      <c r="AG231" s="1"/>
      <c r="AH231" s="1"/>
      <c r="AI231" s="6"/>
      <c r="AJ231" s="1"/>
      <c r="AK231" s="1"/>
      <c r="AL231" s="1"/>
      <c r="AM231" s="1"/>
      <c r="AN231" s="12"/>
      <c r="AO231" s="27"/>
    </row>
    <row r="232" spans="2:41" s="14" customFormat="1" ht="42" customHeight="1" x14ac:dyDescent="0.2">
      <c r="B232" s="46"/>
      <c r="C232" s="47"/>
      <c r="E232" s="48"/>
      <c r="J232" s="48"/>
      <c r="O232" s="48"/>
      <c r="T232" s="48"/>
      <c r="Y232" s="48"/>
      <c r="AD232" s="6"/>
      <c r="AE232" s="1"/>
      <c r="AF232" s="1"/>
      <c r="AG232" s="1"/>
      <c r="AH232" s="1"/>
      <c r="AI232" s="6"/>
      <c r="AJ232" s="1"/>
      <c r="AK232" s="1"/>
      <c r="AL232" s="1"/>
      <c r="AM232" s="1"/>
      <c r="AN232" s="12"/>
      <c r="AO232" s="27"/>
    </row>
    <row r="233" spans="2:41" s="14" customFormat="1" ht="42" customHeight="1" x14ac:dyDescent="0.2">
      <c r="B233" s="46"/>
      <c r="C233" s="47"/>
      <c r="E233" s="48"/>
      <c r="J233" s="48"/>
      <c r="O233" s="48"/>
      <c r="T233" s="48"/>
      <c r="Y233" s="48"/>
      <c r="AD233" s="6"/>
      <c r="AE233" s="1"/>
      <c r="AF233" s="1"/>
      <c r="AG233" s="1"/>
      <c r="AH233" s="1"/>
      <c r="AI233" s="6"/>
      <c r="AJ233" s="1"/>
      <c r="AK233" s="1"/>
      <c r="AL233" s="1"/>
      <c r="AM233" s="1"/>
      <c r="AN233" s="12"/>
      <c r="AO233" s="27"/>
    </row>
    <row r="234" spans="2:41" s="14" customFormat="1" ht="42" customHeight="1" x14ac:dyDescent="0.2">
      <c r="B234" s="46"/>
      <c r="C234" s="47"/>
      <c r="E234" s="48"/>
      <c r="J234" s="48"/>
      <c r="O234" s="48"/>
      <c r="T234" s="48"/>
      <c r="Y234" s="48"/>
      <c r="AD234" s="6"/>
      <c r="AE234" s="1"/>
      <c r="AF234" s="1"/>
      <c r="AG234" s="1"/>
      <c r="AH234" s="1"/>
      <c r="AI234" s="6"/>
      <c r="AJ234" s="1"/>
      <c r="AK234" s="1"/>
      <c r="AL234" s="1"/>
      <c r="AM234" s="1"/>
      <c r="AN234" s="12"/>
      <c r="AO234" s="27"/>
    </row>
    <row r="235" spans="2:41" s="14" customFormat="1" ht="42" customHeight="1" x14ac:dyDescent="0.2">
      <c r="B235" s="46"/>
      <c r="C235" s="47"/>
      <c r="E235" s="48"/>
      <c r="J235" s="48"/>
      <c r="O235" s="48"/>
      <c r="T235" s="48"/>
      <c r="Y235" s="48"/>
      <c r="AD235" s="6"/>
      <c r="AE235" s="1"/>
      <c r="AF235" s="1"/>
      <c r="AG235" s="1"/>
      <c r="AH235" s="1"/>
      <c r="AI235" s="6"/>
      <c r="AJ235" s="1"/>
      <c r="AK235" s="1"/>
      <c r="AL235" s="1"/>
      <c r="AM235" s="1"/>
      <c r="AN235" s="12"/>
      <c r="AO235" s="27"/>
    </row>
    <row r="236" spans="2:41" s="14" customFormat="1" ht="42" customHeight="1" x14ac:dyDescent="0.2">
      <c r="B236" s="46"/>
      <c r="C236" s="47"/>
      <c r="E236" s="48"/>
      <c r="J236" s="48"/>
      <c r="O236" s="48"/>
      <c r="T236" s="48"/>
      <c r="Y236" s="48"/>
      <c r="AD236" s="6"/>
      <c r="AE236" s="1"/>
      <c r="AF236" s="1"/>
      <c r="AG236" s="1"/>
      <c r="AH236" s="1"/>
      <c r="AI236" s="6"/>
      <c r="AJ236" s="1"/>
      <c r="AK236" s="1"/>
      <c r="AL236" s="1"/>
      <c r="AM236" s="1"/>
      <c r="AN236" s="12"/>
      <c r="AO236" s="27"/>
    </row>
    <row r="237" spans="2:41" s="14" customFormat="1" ht="42" customHeight="1" x14ac:dyDescent="0.2">
      <c r="B237" s="46"/>
      <c r="C237" s="47"/>
      <c r="E237" s="48"/>
      <c r="J237" s="48"/>
      <c r="O237" s="48"/>
      <c r="T237" s="48"/>
      <c r="Y237" s="48"/>
      <c r="AD237" s="6"/>
      <c r="AE237" s="1"/>
      <c r="AF237" s="1"/>
      <c r="AG237" s="1"/>
      <c r="AH237" s="1"/>
      <c r="AI237" s="6"/>
      <c r="AJ237" s="1"/>
      <c r="AK237" s="1"/>
      <c r="AL237" s="1"/>
      <c r="AM237" s="1"/>
      <c r="AN237" s="12"/>
      <c r="AO237" s="27"/>
    </row>
    <row r="238" spans="2:41" s="14" customFormat="1" ht="42" customHeight="1" x14ac:dyDescent="0.2">
      <c r="B238" s="46"/>
      <c r="C238" s="47"/>
      <c r="E238" s="48"/>
      <c r="J238" s="48"/>
      <c r="O238" s="48"/>
      <c r="T238" s="48"/>
      <c r="Y238" s="48"/>
      <c r="AD238" s="6"/>
      <c r="AE238" s="1"/>
      <c r="AF238" s="1"/>
      <c r="AG238" s="1"/>
      <c r="AH238" s="1"/>
      <c r="AI238" s="6"/>
      <c r="AJ238" s="1"/>
      <c r="AK238" s="1"/>
      <c r="AL238" s="1"/>
      <c r="AM238" s="1"/>
      <c r="AN238" s="12"/>
      <c r="AO238" s="27"/>
    </row>
    <row r="239" spans="2:41" s="14" customFormat="1" ht="42" customHeight="1" x14ac:dyDescent="0.2">
      <c r="B239" s="46"/>
      <c r="C239" s="47"/>
      <c r="E239" s="48"/>
      <c r="J239" s="48"/>
      <c r="O239" s="48"/>
      <c r="T239" s="48"/>
      <c r="Y239" s="48"/>
      <c r="AD239" s="6"/>
      <c r="AE239" s="1"/>
      <c r="AF239" s="1"/>
      <c r="AG239" s="1"/>
      <c r="AH239" s="1"/>
      <c r="AI239" s="6"/>
      <c r="AJ239" s="1"/>
      <c r="AK239" s="1"/>
      <c r="AL239" s="1"/>
      <c r="AM239" s="1"/>
      <c r="AN239" s="12"/>
      <c r="AO239" s="27"/>
    </row>
    <row r="240" spans="2:41" s="14" customFormat="1" ht="42" customHeight="1" x14ac:dyDescent="0.2">
      <c r="B240" s="46"/>
      <c r="C240" s="47"/>
      <c r="E240" s="48"/>
      <c r="J240" s="48"/>
      <c r="O240" s="48"/>
      <c r="T240" s="48"/>
      <c r="Y240" s="48"/>
      <c r="AD240" s="6"/>
      <c r="AE240" s="1"/>
      <c r="AF240" s="1"/>
      <c r="AG240" s="1"/>
      <c r="AH240" s="1"/>
      <c r="AI240" s="6"/>
      <c r="AJ240" s="1"/>
      <c r="AK240" s="1"/>
      <c r="AL240" s="1"/>
      <c r="AM240" s="1"/>
      <c r="AN240" s="12"/>
      <c r="AO240" s="27"/>
    </row>
    <row r="241" spans="2:41" s="14" customFormat="1" ht="42" customHeight="1" x14ac:dyDescent="0.2">
      <c r="B241" s="46"/>
      <c r="C241" s="47"/>
      <c r="E241" s="48"/>
      <c r="J241" s="48"/>
      <c r="O241" s="48"/>
      <c r="T241" s="48"/>
      <c r="Y241" s="48"/>
      <c r="AD241" s="6"/>
      <c r="AE241" s="1"/>
      <c r="AF241" s="1"/>
      <c r="AG241" s="1"/>
      <c r="AH241" s="1"/>
      <c r="AI241" s="6"/>
      <c r="AJ241" s="1"/>
      <c r="AK241" s="1"/>
      <c r="AL241" s="1"/>
      <c r="AM241" s="1"/>
      <c r="AN241" s="12"/>
      <c r="AO241" s="27"/>
    </row>
    <row r="242" spans="2:41" s="14" customFormat="1" ht="42" customHeight="1" x14ac:dyDescent="0.2">
      <c r="B242" s="46"/>
      <c r="C242" s="47"/>
      <c r="E242" s="48"/>
      <c r="J242" s="48"/>
      <c r="O242" s="48"/>
      <c r="T242" s="48"/>
      <c r="Y242" s="48"/>
      <c r="AD242" s="6"/>
      <c r="AE242" s="1"/>
      <c r="AF242" s="1"/>
      <c r="AG242" s="1"/>
      <c r="AH242" s="1"/>
      <c r="AI242" s="6"/>
      <c r="AJ242" s="1"/>
      <c r="AK242" s="1"/>
      <c r="AL242" s="1"/>
      <c r="AM242" s="1"/>
      <c r="AN242" s="12"/>
      <c r="AO242" s="27"/>
    </row>
    <row r="243" spans="2:41" s="14" customFormat="1" ht="42" customHeight="1" x14ac:dyDescent="0.2">
      <c r="B243" s="46"/>
      <c r="C243" s="47"/>
      <c r="E243" s="48"/>
      <c r="J243" s="48"/>
      <c r="O243" s="48"/>
      <c r="T243" s="48"/>
      <c r="Y243" s="48"/>
      <c r="AD243" s="6"/>
      <c r="AE243" s="1"/>
      <c r="AF243" s="1"/>
      <c r="AG243" s="1"/>
      <c r="AH243" s="1"/>
      <c r="AI243" s="6"/>
      <c r="AJ243" s="1"/>
      <c r="AK243" s="1"/>
      <c r="AL243" s="1"/>
      <c r="AM243" s="1"/>
      <c r="AN243" s="12"/>
      <c r="AO243" s="27"/>
    </row>
    <row r="244" spans="2:41" s="14" customFormat="1" ht="42" customHeight="1" x14ac:dyDescent="0.2">
      <c r="B244" s="46"/>
      <c r="C244" s="47"/>
      <c r="E244" s="48"/>
      <c r="J244" s="48"/>
      <c r="O244" s="48"/>
      <c r="T244" s="48"/>
      <c r="Y244" s="48"/>
      <c r="AD244" s="6"/>
      <c r="AE244" s="1"/>
      <c r="AF244" s="1"/>
      <c r="AG244" s="1"/>
      <c r="AH244" s="1"/>
      <c r="AI244" s="6"/>
      <c r="AJ244" s="1"/>
      <c r="AK244" s="1"/>
      <c r="AL244" s="1"/>
      <c r="AM244" s="1"/>
      <c r="AN244" s="12"/>
      <c r="AO244" s="27"/>
    </row>
    <row r="245" spans="2:41" s="14" customFormat="1" ht="42" customHeight="1" x14ac:dyDescent="0.2">
      <c r="B245" s="46"/>
      <c r="C245" s="47"/>
      <c r="E245" s="48"/>
      <c r="J245" s="48"/>
      <c r="O245" s="48"/>
      <c r="T245" s="48"/>
      <c r="Y245" s="48"/>
      <c r="AD245" s="6"/>
      <c r="AE245" s="1"/>
      <c r="AF245" s="1"/>
      <c r="AG245" s="1"/>
      <c r="AH245" s="1"/>
      <c r="AI245" s="6"/>
      <c r="AJ245" s="1"/>
      <c r="AK245" s="1"/>
      <c r="AL245" s="1"/>
      <c r="AM245" s="1"/>
      <c r="AN245" s="12"/>
      <c r="AO245" s="27"/>
    </row>
    <row r="246" spans="2:41" s="14" customFormat="1" ht="42" customHeight="1" x14ac:dyDescent="0.2">
      <c r="B246" s="46"/>
      <c r="C246" s="47"/>
      <c r="E246" s="48"/>
      <c r="J246" s="48"/>
      <c r="O246" s="48"/>
      <c r="T246" s="48"/>
      <c r="Y246" s="48"/>
      <c r="AD246" s="6"/>
      <c r="AE246" s="1"/>
      <c r="AF246" s="1"/>
      <c r="AG246" s="1"/>
      <c r="AH246" s="1"/>
      <c r="AI246" s="6"/>
      <c r="AJ246" s="1"/>
      <c r="AK246" s="1"/>
      <c r="AL246" s="1"/>
      <c r="AM246" s="1"/>
      <c r="AN246" s="12"/>
      <c r="AO246" s="27"/>
    </row>
    <row r="247" spans="2:41" s="14" customFormat="1" ht="42" customHeight="1" x14ac:dyDescent="0.2">
      <c r="B247" s="46"/>
      <c r="C247" s="47"/>
      <c r="E247" s="48"/>
      <c r="J247" s="48"/>
      <c r="O247" s="48"/>
      <c r="T247" s="48"/>
      <c r="Y247" s="48"/>
      <c r="AD247" s="6"/>
      <c r="AE247" s="1"/>
      <c r="AF247" s="1"/>
      <c r="AG247" s="1"/>
      <c r="AH247" s="1"/>
      <c r="AI247" s="6"/>
      <c r="AJ247" s="1"/>
      <c r="AK247" s="1"/>
      <c r="AL247" s="1"/>
      <c r="AM247" s="1"/>
      <c r="AN247" s="12"/>
      <c r="AO247" s="27"/>
    </row>
    <row r="248" spans="2:41" s="14" customFormat="1" ht="42" customHeight="1" x14ac:dyDescent="0.2">
      <c r="B248" s="46"/>
      <c r="C248" s="47"/>
      <c r="E248" s="48"/>
      <c r="J248" s="48"/>
      <c r="O248" s="48"/>
      <c r="T248" s="48"/>
      <c r="Y248" s="48"/>
      <c r="AD248" s="6"/>
      <c r="AE248" s="1"/>
      <c r="AF248" s="1"/>
      <c r="AG248" s="1"/>
      <c r="AH248" s="1"/>
      <c r="AI248" s="6"/>
      <c r="AJ248" s="1"/>
      <c r="AK248" s="1"/>
      <c r="AL248" s="1"/>
      <c r="AM248" s="1"/>
      <c r="AN248" s="12"/>
      <c r="AO248" s="27"/>
    </row>
    <row r="249" spans="2:41" s="14" customFormat="1" ht="42" customHeight="1" x14ac:dyDescent="0.2">
      <c r="B249" s="46"/>
      <c r="C249" s="47"/>
      <c r="E249" s="48"/>
      <c r="J249" s="48"/>
      <c r="O249" s="48"/>
      <c r="T249" s="48"/>
      <c r="Y249" s="48"/>
      <c r="AD249" s="6"/>
      <c r="AE249" s="1"/>
      <c r="AF249" s="1"/>
      <c r="AG249" s="1"/>
      <c r="AH249" s="1"/>
      <c r="AI249" s="6"/>
      <c r="AJ249" s="1"/>
      <c r="AK249" s="1"/>
      <c r="AL249" s="1"/>
      <c r="AM249" s="1"/>
      <c r="AN249" s="12"/>
      <c r="AO249" s="27"/>
    </row>
    <row r="250" spans="2:41" s="14" customFormat="1" ht="42" customHeight="1" x14ac:dyDescent="0.2">
      <c r="B250" s="46"/>
      <c r="C250" s="47"/>
      <c r="E250" s="48"/>
      <c r="J250" s="48"/>
      <c r="O250" s="48"/>
      <c r="T250" s="48"/>
      <c r="Y250" s="48"/>
      <c r="AD250" s="6"/>
      <c r="AE250" s="1"/>
      <c r="AF250" s="1"/>
      <c r="AG250" s="1"/>
      <c r="AH250" s="1"/>
      <c r="AI250" s="6"/>
      <c r="AJ250" s="1"/>
      <c r="AK250" s="1"/>
      <c r="AL250" s="1"/>
      <c r="AM250" s="1"/>
      <c r="AN250" s="12"/>
      <c r="AO250" s="27"/>
    </row>
    <row r="251" spans="2:41" s="14" customFormat="1" ht="42" customHeight="1" x14ac:dyDescent="0.2">
      <c r="B251" s="46"/>
      <c r="C251" s="47"/>
      <c r="E251" s="48"/>
      <c r="J251" s="48"/>
      <c r="O251" s="48"/>
      <c r="T251" s="48"/>
      <c r="Y251" s="48"/>
      <c r="AD251" s="6"/>
      <c r="AE251" s="1"/>
      <c r="AF251" s="1"/>
      <c r="AG251" s="1"/>
      <c r="AH251" s="1"/>
      <c r="AI251" s="6"/>
      <c r="AJ251" s="1"/>
      <c r="AK251" s="1"/>
      <c r="AL251" s="1"/>
      <c r="AM251" s="1"/>
      <c r="AN251" s="12"/>
      <c r="AO251" s="27"/>
    </row>
    <row r="252" spans="2:41" s="14" customFormat="1" ht="42" customHeight="1" x14ac:dyDescent="0.2">
      <c r="B252" s="46"/>
      <c r="C252" s="47"/>
      <c r="E252" s="48"/>
      <c r="J252" s="48"/>
      <c r="O252" s="48"/>
      <c r="T252" s="48"/>
      <c r="Y252" s="48"/>
      <c r="AD252" s="6"/>
      <c r="AE252" s="1"/>
      <c r="AF252" s="1"/>
      <c r="AG252" s="1"/>
      <c r="AH252" s="1"/>
      <c r="AI252" s="6"/>
      <c r="AJ252" s="1"/>
      <c r="AK252" s="1"/>
      <c r="AL252" s="1"/>
      <c r="AM252" s="1"/>
      <c r="AN252" s="12"/>
      <c r="AO252" s="27"/>
    </row>
    <row r="253" spans="2:41" s="14" customFormat="1" ht="42" customHeight="1" x14ac:dyDescent="0.2">
      <c r="B253" s="46"/>
      <c r="C253" s="47"/>
      <c r="E253" s="48"/>
      <c r="J253" s="48"/>
      <c r="O253" s="48"/>
      <c r="T253" s="48"/>
      <c r="Y253" s="48"/>
      <c r="AD253" s="6"/>
      <c r="AE253" s="1"/>
      <c r="AF253" s="1"/>
      <c r="AG253" s="1"/>
      <c r="AH253" s="1"/>
      <c r="AI253" s="6"/>
      <c r="AJ253" s="1"/>
      <c r="AK253" s="1"/>
      <c r="AL253" s="1"/>
      <c r="AM253" s="1"/>
      <c r="AN253" s="12"/>
      <c r="AO253" s="27"/>
    </row>
    <row r="254" spans="2:41" s="14" customFormat="1" ht="42" customHeight="1" x14ac:dyDescent="0.2">
      <c r="B254" s="46"/>
      <c r="C254" s="47"/>
      <c r="E254" s="48"/>
      <c r="J254" s="48"/>
      <c r="O254" s="48"/>
      <c r="T254" s="48"/>
      <c r="Y254" s="48"/>
      <c r="AD254" s="6"/>
      <c r="AE254" s="1"/>
      <c r="AF254" s="1"/>
      <c r="AG254" s="1"/>
      <c r="AH254" s="1"/>
      <c r="AI254" s="6"/>
      <c r="AJ254" s="1"/>
      <c r="AK254" s="1"/>
      <c r="AL254" s="1"/>
      <c r="AM254" s="1"/>
      <c r="AN254" s="12"/>
      <c r="AO254" s="27"/>
    </row>
    <row r="255" spans="2:41" s="14" customFormat="1" ht="42" customHeight="1" x14ac:dyDescent="0.2">
      <c r="B255" s="46"/>
      <c r="C255" s="47"/>
      <c r="E255" s="48"/>
      <c r="J255" s="48"/>
      <c r="O255" s="48"/>
      <c r="T255" s="48"/>
      <c r="Y255" s="48"/>
      <c r="AD255" s="6"/>
      <c r="AE255" s="1"/>
      <c r="AF255" s="1"/>
      <c r="AG255" s="1"/>
      <c r="AH255" s="1"/>
      <c r="AI255" s="6"/>
      <c r="AJ255" s="1"/>
      <c r="AK255" s="1"/>
      <c r="AL255" s="1"/>
      <c r="AM255" s="1"/>
      <c r="AN255" s="12"/>
      <c r="AO255" s="27"/>
    </row>
    <row r="256" spans="2:41" s="14" customFormat="1" ht="42" customHeight="1" x14ac:dyDescent="0.2">
      <c r="B256" s="46"/>
      <c r="C256" s="47"/>
      <c r="E256" s="48"/>
      <c r="J256" s="48"/>
      <c r="O256" s="48"/>
      <c r="T256" s="48"/>
      <c r="Y256" s="48"/>
      <c r="AD256" s="6"/>
      <c r="AE256" s="1"/>
      <c r="AF256" s="1"/>
      <c r="AG256" s="1"/>
      <c r="AH256" s="1"/>
      <c r="AI256" s="6"/>
      <c r="AJ256" s="1"/>
      <c r="AK256" s="1"/>
      <c r="AL256" s="1"/>
      <c r="AM256" s="1"/>
      <c r="AN256" s="12"/>
      <c r="AO256" s="27"/>
    </row>
    <row r="257" spans="2:41" s="14" customFormat="1" ht="42" customHeight="1" x14ac:dyDescent="0.2">
      <c r="B257" s="46"/>
      <c r="C257" s="47"/>
      <c r="E257" s="48"/>
      <c r="J257" s="48"/>
      <c r="O257" s="48"/>
      <c r="T257" s="48"/>
      <c r="Y257" s="48"/>
      <c r="AD257" s="6"/>
      <c r="AE257" s="1"/>
      <c r="AF257" s="1"/>
      <c r="AG257" s="1"/>
      <c r="AH257" s="1"/>
      <c r="AI257" s="6"/>
      <c r="AJ257" s="1"/>
      <c r="AK257" s="1"/>
      <c r="AL257" s="1"/>
      <c r="AM257" s="1"/>
      <c r="AN257" s="12"/>
      <c r="AO257" s="27"/>
    </row>
    <row r="258" spans="2:41" s="14" customFormat="1" ht="42" customHeight="1" x14ac:dyDescent="0.2">
      <c r="B258" s="46"/>
      <c r="C258" s="47"/>
      <c r="E258" s="48"/>
      <c r="J258" s="48"/>
      <c r="O258" s="48"/>
      <c r="T258" s="48"/>
      <c r="Y258" s="48"/>
      <c r="AD258" s="6"/>
      <c r="AE258" s="1"/>
      <c r="AF258" s="1"/>
      <c r="AG258" s="1"/>
      <c r="AH258" s="1"/>
      <c r="AI258" s="6"/>
      <c r="AJ258" s="1"/>
      <c r="AK258" s="1"/>
      <c r="AL258" s="1"/>
      <c r="AM258" s="1"/>
      <c r="AN258" s="12"/>
      <c r="AO258" s="27"/>
    </row>
    <row r="259" spans="2:41" s="14" customFormat="1" ht="42" customHeight="1" x14ac:dyDescent="0.2">
      <c r="B259" s="46"/>
      <c r="C259" s="47"/>
      <c r="E259" s="48"/>
      <c r="J259" s="48"/>
      <c r="O259" s="48"/>
      <c r="T259" s="48"/>
      <c r="Y259" s="48"/>
      <c r="AD259" s="6"/>
      <c r="AE259" s="1"/>
      <c r="AF259" s="1"/>
      <c r="AG259" s="1"/>
      <c r="AH259" s="1"/>
      <c r="AI259" s="6"/>
      <c r="AJ259" s="1"/>
      <c r="AK259" s="1"/>
      <c r="AL259" s="1"/>
      <c r="AM259" s="1"/>
      <c r="AN259" s="12"/>
      <c r="AO259" s="27"/>
    </row>
    <row r="260" spans="2:41" s="14" customFormat="1" ht="42" customHeight="1" x14ac:dyDescent="0.2">
      <c r="B260" s="46"/>
      <c r="C260" s="47"/>
      <c r="E260" s="48"/>
      <c r="J260" s="48"/>
      <c r="O260" s="48"/>
      <c r="T260" s="48"/>
      <c r="Y260" s="48"/>
      <c r="AD260" s="6"/>
      <c r="AE260" s="1"/>
      <c r="AF260" s="1"/>
      <c r="AG260" s="1"/>
      <c r="AH260" s="1"/>
      <c r="AI260" s="6"/>
      <c r="AJ260" s="1"/>
      <c r="AK260" s="1"/>
      <c r="AL260" s="1"/>
      <c r="AM260" s="1"/>
      <c r="AN260" s="12"/>
      <c r="AO260" s="27"/>
    </row>
    <row r="261" spans="2:41" s="14" customFormat="1" ht="42" customHeight="1" x14ac:dyDescent="0.2">
      <c r="B261" s="46"/>
      <c r="C261" s="47"/>
      <c r="E261" s="48"/>
      <c r="J261" s="48"/>
      <c r="O261" s="48"/>
      <c r="T261" s="48"/>
      <c r="Y261" s="48"/>
      <c r="AD261" s="6"/>
      <c r="AE261" s="1"/>
      <c r="AF261" s="1"/>
      <c r="AG261" s="1"/>
      <c r="AH261" s="1"/>
      <c r="AI261" s="6"/>
      <c r="AJ261" s="1"/>
      <c r="AK261" s="1"/>
      <c r="AL261" s="1"/>
      <c r="AM261" s="1"/>
      <c r="AN261" s="12"/>
      <c r="AO261" s="27"/>
    </row>
    <row r="262" spans="2:41" s="14" customFormat="1" ht="42" customHeight="1" x14ac:dyDescent="0.2">
      <c r="B262" s="46"/>
      <c r="C262" s="47"/>
      <c r="E262" s="48"/>
      <c r="J262" s="48"/>
      <c r="O262" s="48"/>
      <c r="T262" s="48"/>
      <c r="Y262" s="48"/>
      <c r="AD262" s="6"/>
      <c r="AE262" s="1"/>
      <c r="AF262" s="1"/>
      <c r="AG262" s="1"/>
      <c r="AH262" s="1"/>
      <c r="AI262" s="6"/>
      <c r="AJ262" s="1"/>
      <c r="AK262" s="1"/>
      <c r="AL262" s="1"/>
      <c r="AM262" s="1"/>
      <c r="AN262" s="12"/>
      <c r="AO262" s="27"/>
    </row>
    <row r="263" spans="2:41" s="14" customFormat="1" ht="42" customHeight="1" x14ac:dyDescent="0.2">
      <c r="B263" s="46"/>
      <c r="C263" s="47"/>
      <c r="E263" s="48"/>
      <c r="J263" s="48"/>
      <c r="O263" s="48"/>
      <c r="T263" s="48"/>
      <c r="Y263" s="48"/>
      <c r="AD263" s="6"/>
      <c r="AE263" s="1"/>
      <c r="AF263" s="1"/>
      <c r="AG263" s="1"/>
      <c r="AH263" s="1"/>
      <c r="AI263" s="6"/>
      <c r="AJ263" s="1"/>
      <c r="AK263" s="1"/>
      <c r="AL263" s="1"/>
      <c r="AM263" s="1"/>
      <c r="AN263" s="12"/>
      <c r="AO263" s="27"/>
    </row>
    <row r="264" spans="2:41" s="14" customFormat="1" ht="42" customHeight="1" x14ac:dyDescent="0.2">
      <c r="B264" s="46"/>
      <c r="C264" s="47"/>
      <c r="E264" s="48"/>
      <c r="J264" s="48"/>
      <c r="O264" s="48"/>
      <c r="T264" s="48"/>
      <c r="Y264" s="48"/>
      <c r="AD264" s="6"/>
      <c r="AE264" s="1"/>
      <c r="AF264" s="1"/>
      <c r="AG264" s="1"/>
      <c r="AH264" s="1"/>
      <c r="AI264" s="6"/>
      <c r="AJ264" s="1"/>
      <c r="AK264" s="1"/>
      <c r="AL264" s="1"/>
      <c r="AM264" s="1"/>
      <c r="AN264" s="12"/>
      <c r="AO264" s="27"/>
    </row>
    <row r="265" spans="2:41" s="14" customFormat="1" ht="42" customHeight="1" x14ac:dyDescent="0.2">
      <c r="B265" s="46"/>
      <c r="C265" s="47"/>
      <c r="E265" s="48"/>
      <c r="J265" s="48"/>
      <c r="O265" s="48"/>
      <c r="T265" s="48"/>
      <c r="Y265" s="48"/>
      <c r="AD265" s="6"/>
      <c r="AE265" s="1"/>
      <c r="AF265" s="1"/>
      <c r="AG265" s="1"/>
      <c r="AH265" s="1"/>
      <c r="AI265" s="6"/>
      <c r="AJ265" s="1"/>
      <c r="AK265" s="1"/>
      <c r="AL265" s="1"/>
      <c r="AM265" s="1"/>
      <c r="AN265" s="12"/>
      <c r="AO265" s="27"/>
    </row>
    <row r="266" spans="2:41" s="14" customFormat="1" ht="42" customHeight="1" x14ac:dyDescent="0.2">
      <c r="B266" s="46"/>
      <c r="C266" s="47"/>
      <c r="E266" s="48"/>
      <c r="J266" s="48"/>
      <c r="O266" s="48"/>
      <c r="T266" s="48"/>
      <c r="Y266" s="48"/>
      <c r="AD266" s="6"/>
      <c r="AE266" s="1"/>
      <c r="AF266" s="1"/>
      <c r="AG266" s="1"/>
      <c r="AH266" s="1"/>
      <c r="AI266" s="6"/>
      <c r="AJ266" s="1"/>
      <c r="AK266" s="1"/>
      <c r="AL266" s="1"/>
      <c r="AM266" s="1"/>
      <c r="AN266" s="12"/>
      <c r="AO266" s="27"/>
    </row>
    <row r="267" spans="2:41" s="14" customFormat="1" ht="42" customHeight="1" x14ac:dyDescent="0.2">
      <c r="B267" s="46"/>
      <c r="C267" s="47"/>
      <c r="E267" s="48"/>
      <c r="J267" s="48"/>
      <c r="O267" s="48"/>
      <c r="T267" s="48"/>
      <c r="Y267" s="48"/>
      <c r="AD267" s="6"/>
      <c r="AE267" s="1"/>
      <c r="AF267" s="1"/>
      <c r="AG267" s="1"/>
      <c r="AH267" s="1"/>
      <c r="AI267" s="6"/>
      <c r="AJ267" s="1"/>
      <c r="AK267" s="1"/>
      <c r="AL267" s="1"/>
      <c r="AM267" s="1"/>
      <c r="AN267" s="12"/>
      <c r="AO267" s="27"/>
    </row>
    <row r="268" spans="2:41" s="14" customFormat="1" ht="42" customHeight="1" x14ac:dyDescent="0.2">
      <c r="B268" s="46"/>
      <c r="C268" s="47"/>
      <c r="E268" s="48"/>
      <c r="J268" s="48"/>
      <c r="O268" s="48"/>
      <c r="T268" s="48"/>
      <c r="Y268" s="48"/>
      <c r="AD268" s="6"/>
      <c r="AE268" s="1"/>
      <c r="AF268" s="1"/>
      <c r="AG268" s="1"/>
      <c r="AH268" s="1"/>
      <c r="AI268" s="6"/>
      <c r="AJ268" s="1"/>
      <c r="AK268" s="1"/>
      <c r="AL268" s="1"/>
      <c r="AM268" s="1"/>
      <c r="AN268" s="12"/>
      <c r="AO268" s="27"/>
    </row>
    <row r="269" spans="2:41" s="14" customFormat="1" ht="42" customHeight="1" x14ac:dyDescent="0.2">
      <c r="B269" s="46"/>
      <c r="C269" s="47"/>
      <c r="E269" s="48"/>
      <c r="J269" s="48"/>
      <c r="O269" s="48"/>
      <c r="T269" s="48"/>
      <c r="Y269" s="48"/>
      <c r="AD269" s="6"/>
      <c r="AE269" s="1"/>
      <c r="AF269" s="1"/>
      <c r="AG269" s="1"/>
      <c r="AH269" s="1"/>
      <c r="AI269" s="6"/>
      <c r="AJ269" s="1"/>
      <c r="AK269" s="1"/>
      <c r="AL269" s="1"/>
      <c r="AM269" s="1"/>
      <c r="AN269" s="12"/>
      <c r="AO269" s="27"/>
    </row>
    <row r="270" spans="2:41" s="14" customFormat="1" ht="42" customHeight="1" x14ac:dyDescent="0.2">
      <c r="B270" s="46"/>
      <c r="C270" s="47"/>
      <c r="E270" s="48"/>
      <c r="J270" s="48"/>
      <c r="O270" s="48"/>
      <c r="T270" s="48"/>
      <c r="Y270" s="48"/>
      <c r="AD270" s="6"/>
      <c r="AE270" s="1"/>
      <c r="AF270" s="1"/>
      <c r="AG270" s="1"/>
      <c r="AH270" s="1"/>
      <c r="AI270" s="6"/>
      <c r="AJ270" s="1"/>
      <c r="AK270" s="1"/>
      <c r="AL270" s="1"/>
      <c r="AM270" s="1"/>
      <c r="AN270" s="12"/>
      <c r="AO270" s="27"/>
    </row>
    <row r="271" spans="2:41" s="14" customFormat="1" ht="42" customHeight="1" x14ac:dyDescent="0.2">
      <c r="B271" s="46"/>
      <c r="C271" s="47"/>
      <c r="E271" s="48"/>
      <c r="J271" s="48"/>
      <c r="O271" s="48"/>
      <c r="T271" s="48"/>
      <c r="Y271" s="48"/>
      <c r="AD271" s="6"/>
      <c r="AE271" s="1"/>
      <c r="AF271" s="1"/>
      <c r="AG271" s="1"/>
      <c r="AH271" s="1"/>
      <c r="AI271" s="6"/>
      <c r="AJ271" s="1"/>
      <c r="AK271" s="1"/>
      <c r="AL271" s="1"/>
      <c r="AM271" s="1"/>
      <c r="AN271" s="12"/>
      <c r="AO271" s="27"/>
    </row>
    <row r="272" spans="2:41" s="14" customFormat="1" ht="42" customHeight="1" x14ac:dyDescent="0.2">
      <c r="B272" s="46"/>
      <c r="C272" s="47"/>
      <c r="E272" s="48"/>
      <c r="J272" s="48"/>
      <c r="O272" s="48"/>
      <c r="T272" s="48"/>
      <c r="Y272" s="48"/>
      <c r="AD272" s="6"/>
      <c r="AE272" s="1"/>
      <c r="AF272" s="1"/>
      <c r="AG272" s="1"/>
      <c r="AH272" s="1"/>
      <c r="AI272" s="6"/>
      <c r="AJ272" s="1"/>
      <c r="AK272" s="1"/>
      <c r="AL272" s="1"/>
      <c r="AM272" s="1"/>
      <c r="AN272" s="12"/>
      <c r="AO272" s="27"/>
    </row>
    <row r="273" spans="2:41" s="14" customFormat="1" ht="42" customHeight="1" x14ac:dyDescent="0.2">
      <c r="B273" s="46"/>
      <c r="C273" s="47"/>
      <c r="E273" s="48"/>
      <c r="J273" s="48"/>
      <c r="O273" s="48"/>
      <c r="T273" s="48"/>
      <c r="Y273" s="48"/>
      <c r="AD273" s="6"/>
      <c r="AE273" s="1"/>
      <c r="AF273" s="1"/>
      <c r="AG273" s="1"/>
      <c r="AH273" s="1"/>
      <c r="AI273" s="6"/>
      <c r="AJ273" s="1"/>
      <c r="AK273" s="1"/>
      <c r="AL273" s="1"/>
      <c r="AM273" s="1"/>
      <c r="AN273" s="12"/>
      <c r="AO273" s="27"/>
    </row>
    <row r="274" spans="2:41" s="14" customFormat="1" ht="42" customHeight="1" x14ac:dyDescent="0.2">
      <c r="B274" s="46"/>
      <c r="C274" s="47"/>
      <c r="E274" s="48"/>
      <c r="J274" s="48"/>
      <c r="O274" s="48"/>
      <c r="T274" s="48"/>
      <c r="Y274" s="48"/>
      <c r="AD274" s="6"/>
      <c r="AE274" s="1"/>
      <c r="AF274" s="1"/>
      <c r="AG274" s="1"/>
      <c r="AH274" s="1"/>
      <c r="AI274" s="6"/>
      <c r="AJ274" s="1"/>
      <c r="AK274" s="1"/>
      <c r="AL274" s="1"/>
      <c r="AM274" s="1"/>
      <c r="AN274" s="12"/>
      <c r="AO274" s="27"/>
    </row>
    <row r="275" spans="2:41" s="14" customFormat="1" ht="42" customHeight="1" x14ac:dyDescent="0.2">
      <c r="B275" s="46"/>
      <c r="C275" s="47"/>
      <c r="E275" s="48"/>
      <c r="J275" s="48"/>
      <c r="O275" s="48"/>
      <c r="T275" s="48"/>
      <c r="Y275" s="48"/>
      <c r="AD275" s="6"/>
      <c r="AE275" s="1"/>
      <c r="AF275" s="1"/>
      <c r="AG275" s="1"/>
      <c r="AH275" s="1"/>
      <c r="AI275" s="6"/>
      <c r="AJ275" s="1"/>
      <c r="AK275" s="1"/>
      <c r="AL275" s="1"/>
      <c r="AM275" s="1"/>
      <c r="AN275" s="12"/>
      <c r="AO275" s="27"/>
    </row>
    <row r="276" spans="2:41" s="14" customFormat="1" ht="42" customHeight="1" x14ac:dyDescent="0.2">
      <c r="B276" s="46"/>
      <c r="C276" s="47"/>
      <c r="E276" s="48"/>
      <c r="J276" s="48"/>
      <c r="O276" s="48"/>
      <c r="T276" s="48"/>
      <c r="Y276" s="48"/>
      <c r="AD276" s="6"/>
      <c r="AE276" s="1"/>
      <c r="AF276" s="1"/>
      <c r="AG276" s="1"/>
      <c r="AH276" s="1"/>
      <c r="AI276" s="6"/>
      <c r="AJ276" s="1"/>
      <c r="AK276" s="1"/>
      <c r="AL276" s="1"/>
      <c r="AM276" s="1"/>
      <c r="AN276" s="12"/>
      <c r="AO276" s="27"/>
    </row>
    <row r="277" spans="2:41" s="14" customFormat="1" ht="42" customHeight="1" x14ac:dyDescent="0.2">
      <c r="B277" s="46"/>
      <c r="C277" s="47"/>
      <c r="E277" s="48"/>
      <c r="J277" s="48"/>
      <c r="O277" s="48"/>
      <c r="T277" s="48"/>
      <c r="Y277" s="48"/>
      <c r="AD277" s="6"/>
      <c r="AE277" s="1"/>
      <c r="AF277" s="1"/>
      <c r="AG277" s="1"/>
      <c r="AH277" s="1"/>
      <c r="AI277" s="6"/>
      <c r="AJ277" s="1"/>
      <c r="AK277" s="1"/>
      <c r="AL277" s="1"/>
      <c r="AM277" s="1"/>
      <c r="AN277" s="12"/>
      <c r="AO277" s="27"/>
    </row>
    <row r="278" spans="2:41" s="14" customFormat="1" ht="42" customHeight="1" x14ac:dyDescent="0.2">
      <c r="B278" s="46"/>
      <c r="C278" s="47"/>
      <c r="E278" s="48"/>
      <c r="J278" s="48"/>
      <c r="O278" s="48"/>
      <c r="T278" s="48"/>
      <c r="Y278" s="48"/>
      <c r="AD278" s="6"/>
      <c r="AE278" s="1"/>
      <c r="AF278" s="1"/>
      <c r="AG278" s="1"/>
      <c r="AH278" s="1"/>
      <c r="AI278" s="6"/>
      <c r="AJ278" s="1"/>
      <c r="AK278" s="1"/>
      <c r="AL278" s="1"/>
      <c r="AM278" s="1"/>
      <c r="AN278" s="12"/>
      <c r="AO278" s="27"/>
    </row>
    <row r="279" spans="2:41" s="14" customFormat="1" ht="42" customHeight="1" x14ac:dyDescent="0.2">
      <c r="B279" s="46"/>
      <c r="C279" s="47"/>
      <c r="E279" s="48"/>
      <c r="J279" s="48"/>
      <c r="O279" s="48"/>
      <c r="T279" s="48"/>
      <c r="Y279" s="48"/>
      <c r="AD279" s="6"/>
      <c r="AE279" s="1"/>
      <c r="AF279" s="1"/>
      <c r="AG279" s="1"/>
      <c r="AH279" s="1"/>
      <c r="AI279" s="6"/>
      <c r="AJ279" s="1"/>
      <c r="AK279" s="1"/>
      <c r="AL279" s="1"/>
      <c r="AM279" s="1"/>
      <c r="AN279" s="12"/>
      <c r="AO279" s="27"/>
    </row>
    <row r="280" spans="2:41" s="14" customFormat="1" ht="42" customHeight="1" x14ac:dyDescent="0.2">
      <c r="B280" s="46"/>
      <c r="C280" s="47"/>
      <c r="E280" s="48"/>
      <c r="J280" s="48"/>
      <c r="O280" s="48"/>
      <c r="T280" s="48"/>
      <c r="Y280" s="48"/>
      <c r="AD280" s="6"/>
      <c r="AE280" s="1"/>
      <c r="AF280" s="1"/>
      <c r="AG280" s="1"/>
      <c r="AH280" s="1"/>
      <c r="AI280" s="6"/>
      <c r="AJ280" s="1"/>
      <c r="AK280" s="1"/>
      <c r="AL280" s="1"/>
      <c r="AM280" s="1"/>
      <c r="AN280" s="12"/>
      <c r="AO280" s="27"/>
    </row>
    <row r="281" spans="2:41" s="14" customFormat="1" ht="42" customHeight="1" x14ac:dyDescent="0.2">
      <c r="B281" s="46"/>
      <c r="C281" s="47"/>
      <c r="E281" s="48"/>
      <c r="J281" s="48"/>
      <c r="O281" s="48"/>
      <c r="T281" s="48"/>
      <c r="Y281" s="48"/>
      <c r="AD281" s="6"/>
      <c r="AE281" s="1"/>
      <c r="AF281" s="1"/>
      <c r="AG281" s="1"/>
      <c r="AH281" s="1"/>
      <c r="AI281" s="6"/>
      <c r="AJ281" s="1"/>
      <c r="AK281" s="1"/>
      <c r="AL281" s="1"/>
      <c r="AM281" s="1"/>
      <c r="AN281" s="12"/>
      <c r="AO281" s="27"/>
    </row>
    <row r="282" spans="2:41" s="14" customFormat="1" ht="42" customHeight="1" x14ac:dyDescent="0.2">
      <c r="B282" s="46"/>
      <c r="C282" s="47"/>
      <c r="E282" s="48"/>
      <c r="J282" s="48"/>
      <c r="O282" s="48"/>
      <c r="T282" s="48"/>
      <c r="Y282" s="48"/>
      <c r="AD282" s="6"/>
      <c r="AE282" s="1"/>
      <c r="AF282" s="1"/>
      <c r="AG282" s="1"/>
      <c r="AH282" s="1"/>
      <c r="AI282" s="6"/>
      <c r="AJ282" s="1"/>
      <c r="AK282" s="1"/>
      <c r="AL282" s="1"/>
      <c r="AM282" s="1"/>
      <c r="AN282" s="12"/>
      <c r="AO282" s="27"/>
    </row>
    <row r="283" spans="2:41" s="14" customFormat="1" ht="42" customHeight="1" x14ac:dyDescent="0.2">
      <c r="B283" s="46"/>
      <c r="C283" s="47"/>
      <c r="E283" s="48"/>
      <c r="J283" s="48"/>
      <c r="O283" s="48"/>
      <c r="T283" s="48"/>
      <c r="Y283" s="48"/>
      <c r="AD283" s="6"/>
      <c r="AE283" s="1"/>
      <c r="AF283" s="1"/>
      <c r="AG283" s="1"/>
      <c r="AH283" s="1"/>
      <c r="AI283" s="6"/>
      <c r="AJ283" s="1"/>
      <c r="AK283" s="1"/>
      <c r="AL283" s="1"/>
      <c r="AM283" s="1"/>
      <c r="AN283" s="12"/>
      <c r="AO283" s="27"/>
    </row>
    <row r="284" spans="2:41" s="14" customFormat="1" ht="42" customHeight="1" x14ac:dyDescent="0.2">
      <c r="B284" s="46"/>
      <c r="C284" s="47"/>
      <c r="E284" s="48"/>
      <c r="J284" s="48"/>
      <c r="O284" s="48"/>
      <c r="T284" s="48"/>
      <c r="Y284" s="48"/>
      <c r="AD284" s="6"/>
      <c r="AE284" s="1"/>
      <c r="AF284" s="1"/>
      <c r="AG284" s="1"/>
      <c r="AH284" s="1"/>
      <c r="AI284" s="6"/>
      <c r="AJ284" s="1"/>
      <c r="AK284" s="1"/>
      <c r="AL284" s="1"/>
      <c r="AM284" s="1"/>
      <c r="AN284" s="12"/>
      <c r="AO284" s="27"/>
    </row>
    <row r="285" spans="2:41" s="14" customFormat="1" ht="42" customHeight="1" x14ac:dyDescent="0.2">
      <c r="B285" s="46"/>
      <c r="C285" s="47"/>
      <c r="E285" s="48"/>
      <c r="J285" s="48"/>
      <c r="O285" s="48"/>
      <c r="T285" s="48"/>
      <c r="Y285" s="48"/>
      <c r="AD285" s="6"/>
      <c r="AE285" s="1"/>
      <c r="AF285" s="1"/>
      <c r="AG285" s="1"/>
      <c r="AH285" s="1"/>
      <c r="AI285" s="6"/>
      <c r="AJ285" s="1"/>
      <c r="AK285" s="1"/>
      <c r="AL285" s="1"/>
      <c r="AM285" s="1"/>
      <c r="AN285" s="12"/>
      <c r="AO285" s="27"/>
    </row>
    <row r="286" spans="2:41" s="14" customFormat="1" ht="42" customHeight="1" x14ac:dyDescent="0.2">
      <c r="B286" s="46"/>
      <c r="C286" s="47"/>
      <c r="E286" s="48"/>
      <c r="J286" s="48"/>
      <c r="O286" s="48"/>
      <c r="T286" s="48"/>
      <c r="Y286" s="48"/>
      <c r="AD286" s="6"/>
      <c r="AE286" s="1"/>
      <c r="AF286" s="1"/>
      <c r="AG286" s="1"/>
      <c r="AH286" s="1"/>
      <c r="AI286" s="6"/>
      <c r="AJ286" s="1"/>
      <c r="AK286" s="1"/>
      <c r="AL286" s="1"/>
      <c r="AM286" s="1"/>
      <c r="AN286" s="12"/>
      <c r="AO286" s="27"/>
    </row>
    <row r="287" spans="2:41" s="14" customFormat="1" ht="42" customHeight="1" x14ac:dyDescent="0.2">
      <c r="B287" s="46"/>
      <c r="C287" s="47"/>
      <c r="E287" s="48"/>
      <c r="J287" s="48"/>
      <c r="O287" s="48"/>
      <c r="T287" s="48"/>
      <c r="Y287" s="48"/>
      <c r="AD287" s="6"/>
      <c r="AE287" s="1"/>
      <c r="AF287" s="1"/>
      <c r="AG287" s="1"/>
      <c r="AH287" s="1"/>
      <c r="AI287" s="6"/>
      <c r="AJ287" s="1"/>
      <c r="AK287" s="1"/>
      <c r="AL287" s="1"/>
      <c r="AM287" s="1"/>
      <c r="AN287" s="12"/>
      <c r="AO287" s="27"/>
    </row>
    <row r="288" spans="2:41" s="14" customFormat="1" ht="42" customHeight="1" x14ac:dyDescent="0.2">
      <c r="B288" s="46"/>
      <c r="C288" s="47"/>
      <c r="E288" s="48"/>
      <c r="J288" s="48"/>
      <c r="O288" s="48"/>
      <c r="T288" s="48"/>
      <c r="Y288" s="48"/>
      <c r="AD288" s="6"/>
      <c r="AE288" s="1"/>
      <c r="AF288" s="1"/>
      <c r="AG288" s="1"/>
      <c r="AH288" s="1"/>
      <c r="AI288" s="6"/>
      <c r="AJ288" s="1"/>
      <c r="AK288" s="1"/>
      <c r="AL288" s="1"/>
      <c r="AM288" s="1"/>
      <c r="AN288" s="12"/>
      <c r="AO288" s="27"/>
    </row>
    <row r="289" spans="2:41" s="14" customFormat="1" ht="42" customHeight="1" x14ac:dyDescent="0.2">
      <c r="B289" s="46"/>
      <c r="C289" s="47"/>
      <c r="E289" s="48"/>
      <c r="J289" s="48"/>
      <c r="O289" s="48"/>
      <c r="T289" s="48"/>
      <c r="Y289" s="48"/>
      <c r="AD289" s="6"/>
      <c r="AE289" s="1"/>
      <c r="AF289" s="1"/>
      <c r="AG289" s="1"/>
      <c r="AH289" s="1"/>
      <c r="AI289" s="6"/>
      <c r="AJ289" s="1"/>
      <c r="AK289" s="1"/>
      <c r="AL289" s="1"/>
      <c r="AM289" s="1"/>
      <c r="AN289" s="12"/>
      <c r="AO289" s="27"/>
    </row>
    <row r="290" spans="2:41" s="14" customFormat="1" ht="42" customHeight="1" x14ac:dyDescent="0.2">
      <c r="B290" s="46"/>
      <c r="C290" s="47"/>
      <c r="E290" s="48"/>
      <c r="J290" s="48"/>
      <c r="O290" s="48"/>
      <c r="T290" s="48"/>
      <c r="Y290" s="48"/>
      <c r="AD290" s="6"/>
      <c r="AE290" s="1"/>
      <c r="AF290" s="1"/>
      <c r="AG290" s="1"/>
      <c r="AH290" s="1"/>
      <c r="AI290" s="6"/>
      <c r="AJ290" s="1"/>
      <c r="AK290" s="1"/>
      <c r="AL290" s="1"/>
      <c r="AM290" s="1"/>
      <c r="AN290" s="12"/>
      <c r="AO290" s="27"/>
    </row>
    <row r="291" spans="2:41" s="14" customFormat="1" ht="42" customHeight="1" x14ac:dyDescent="0.2">
      <c r="B291" s="46"/>
      <c r="C291" s="47"/>
      <c r="E291" s="48"/>
      <c r="J291" s="48"/>
      <c r="O291" s="48"/>
      <c r="T291" s="48"/>
      <c r="Y291" s="48"/>
      <c r="AD291" s="6"/>
      <c r="AE291" s="1"/>
      <c r="AF291" s="1"/>
      <c r="AG291" s="1"/>
      <c r="AH291" s="1"/>
      <c r="AI291" s="6"/>
      <c r="AJ291" s="1"/>
      <c r="AK291" s="1"/>
      <c r="AL291" s="1"/>
      <c r="AM291" s="1"/>
      <c r="AN291" s="12"/>
      <c r="AO291" s="27"/>
    </row>
    <row r="292" spans="2:41" s="14" customFormat="1" ht="42" customHeight="1" x14ac:dyDescent="0.2">
      <c r="B292" s="46"/>
      <c r="C292" s="47"/>
      <c r="E292" s="48"/>
      <c r="J292" s="48"/>
      <c r="O292" s="48"/>
      <c r="T292" s="48"/>
      <c r="Y292" s="48"/>
      <c r="AD292" s="6"/>
      <c r="AE292" s="1"/>
      <c r="AF292" s="1"/>
      <c r="AG292" s="1"/>
      <c r="AH292" s="1"/>
      <c r="AI292" s="6"/>
      <c r="AJ292" s="1"/>
      <c r="AK292" s="1"/>
      <c r="AL292" s="1"/>
      <c r="AM292" s="1"/>
      <c r="AN292" s="12"/>
      <c r="AO292" s="27"/>
    </row>
    <row r="293" spans="2:41" s="14" customFormat="1" ht="42" customHeight="1" x14ac:dyDescent="0.2">
      <c r="B293" s="46"/>
      <c r="C293" s="47"/>
      <c r="E293" s="48"/>
      <c r="J293" s="48"/>
      <c r="O293" s="48"/>
      <c r="T293" s="48"/>
      <c r="Y293" s="48"/>
      <c r="AD293" s="6"/>
      <c r="AE293" s="1"/>
      <c r="AF293" s="1"/>
      <c r="AG293" s="1"/>
      <c r="AH293" s="1"/>
      <c r="AI293" s="6"/>
      <c r="AJ293" s="1"/>
      <c r="AK293" s="1"/>
      <c r="AL293" s="1"/>
      <c r="AM293" s="1"/>
      <c r="AN293" s="12"/>
      <c r="AO293" s="27"/>
    </row>
    <row r="294" spans="2:41" s="14" customFormat="1" ht="42" customHeight="1" x14ac:dyDescent="0.2">
      <c r="B294" s="46"/>
      <c r="C294" s="47"/>
      <c r="E294" s="48"/>
      <c r="J294" s="48"/>
      <c r="O294" s="48"/>
      <c r="T294" s="48"/>
      <c r="Y294" s="48"/>
      <c r="AD294" s="6"/>
      <c r="AE294" s="1"/>
      <c r="AF294" s="1"/>
      <c r="AG294" s="1"/>
      <c r="AH294" s="1"/>
      <c r="AI294" s="6"/>
      <c r="AJ294" s="1"/>
      <c r="AK294" s="1"/>
      <c r="AL294" s="1"/>
      <c r="AM294" s="1"/>
      <c r="AN294" s="12"/>
      <c r="AO294" s="27"/>
    </row>
    <row r="295" spans="2:41" s="14" customFormat="1" ht="42" customHeight="1" x14ac:dyDescent="0.2">
      <c r="B295" s="46"/>
      <c r="C295" s="47"/>
      <c r="E295" s="48"/>
      <c r="J295" s="48"/>
      <c r="O295" s="48"/>
      <c r="T295" s="48"/>
      <c r="Y295" s="48"/>
      <c r="AD295" s="6"/>
      <c r="AE295" s="1"/>
      <c r="AF295" s="1"/>
      <c r="AG295" s="1"/>
      <c r="AH295" s="1"/>
      <c r="AI295" s="6"/>
      <c r="AJ295" s="1"/>
      <c r="AK295" s="1"/>
      <c r="AL295" s="1"/>
      <c r="AM295" s="1"/>
      <c r="AN295" s="12"/>
      <c r="AO295" s="27"/>
    </row>
    <row r="296" spans="2:41" s="14" customFormat="1" ht="42" customHeight="1" x14ac:dyDescent="0.2">
      <c r="B296" s="46"/>
      <c r="C296" s="47"/>
      <c r="E296" s="48"/>
      <c r="J296" s="48"/>
      <c r="O296" s="48"/>
      <c r="T296" s="48"/>
      <c r="Y296" s="48"/>
      <c r="AD296" s="6"/>
      <c r="AE296" s="1"/>
      <c r="AF296" s="1"/>
      <c r="AG296" s="1"/>
      <c r="AH296" s="1"/>
      <c r="AI296" s="6"/>
      <c r="AJ296" s="1"/>
      <c r="AK296" s="1"/>
      <c r="AL296" s="1"/>
      <c r="AM296" s="1"/>
      <c r="AN296" s="12"/>
      <c r="AO296" s="27"/>
    </row>
    <row r="297" spans="2:41" s="14" customFormat="1" ht="42" customHeight="1" x14ac:dyDescent="0.2">
      <c r="B297" s="46"/>
      <c r="C297" s="47"/>
      <c r="E297" s="48"/>
      <c r="J297" s="48"/>
      <c r="O297" s="48"/>
      <c r="T297" s="48"/>
      <c r="Y297" s="48"/>
      <c r="AD297" s="6"/>
      <c r="AE297" s="1"/>
      <c r="AF297" s="1"/>
      <c r="AG297" s="1"/>
      <c r="AH297" s="1"/>
      <c r="AI297" s="6"/>
      <c r="AJ297" s="1"/>
      <c r="AK297" s="1"/>
      <c r="AL297" s="1"/>
      <c r="AM297" s="1"/>
      <c r="AN297" s="12"/>
      <c r="AO297" s="27"/>
    </row>
    <row r="298" spans="2:41" s="14" customFormat="1" ht="42" customHeight="1" x14ac:dyDescent="0.2">
      <c r="B298" s="46"/>
      <c r="C298" s="47"/>
      <c r="E298" s="48"/>
      <c r="J298" s="48"/>
      <c r="O298" s="48"/>
      <c r="T298" s="48"/>
      <c r="Y298" s="48"/>
      <c r="AD298" s="6"/>
      <c r="AE298" s="1"/>
      <c r="AF298" s="1"/>
      <c r="AG298" s="1"/>
      <c r="AH298" s="1"/>
      <c r="AI298" s="6"/>
      <c r="AJ298" s="1"/>
      <c r="AK298" s="1"/>
      <c r="AL298" s="1"/>
      <c r="AM298" s="1"/>
      <c r="AN298" s="12"/>
      <c r="AO298" s="27"/>
    </row>
    <row r="299" spans="2:41" s="14" customFormat="1" ht="42" customHeight="1" x14ac:dyDescent="0.2">
      <c r="B299" s="46"/>
      <c r="C299" s="47"/>
      <c r="E299" s="48"/>
      <c r="J299" s="48"/>
      <c r="O299" s="48"/>
      <c r="T299" s="48"/>
      <c r="Y299" s="48"/>
      <c r="AD299" s="6"/>
      <c r="AE299" s="1"/>
      <c r="AF299" s="1"/>
      <c r="AG299" s="1"/>
      <c r="AH299" s="1"/>
      <c r="AI299" s="6"/>
      <c r="AJ299" s="1"/>
      <c r="AK299" s="1"/>
      <c r="AL299" s="1"/>
      <c r="AM299" s="1"/>
      <c r="AN299" s="12"/>
      <c r="AO299" s="27"/>
    </row>
    <row r="300" spans="2:41" s="14" customFormat="1" ht="42" customHeight="1" x14ac:dyDescent="0.2">
      <c r="B300" s="46"/>
      <c r="C300" s="47"/>
      <c r="E300" s="48"/>
      <c r="J300" s="48"/>
      <c r="O300" s="48"/>
      <c r="T300" s="48"/>
      <c r="Y300" s="48"/>
      <c r="AD300" s="6"/>
      <c r="AE300" s="1"/>
      <c r="AF300" s="1"/>
      <c r="AG300" s="1"/>
      <c r="AH300" s="1"/>
      <c r="AI300" s="6"/>
      <c r="AJ300" s="1"/>
      <c r="AK300" s="1"/>
      <c r="AL300" s="1"/>
      <c r="AM300" s="1"/>
      <c r="AN300" s="12"/>
      <c r="AO300" s="27"/>
    </row>
    <row r="301" spans="2:41" s="14" customFormat="1" ht="42" customHeight="1" x14ac:dyDescent="0.2">
      <c r="B301" s="46"/>
      <c r="C301" s="47"/>
      <c r="E301" s="48"/>
      <c r="J301" s="48"/>
      <c r="O301" s="48"/>
      <c r="T301" s="48"/>
      <c r="Y301" s="48"/>
      <c r="AD301" s="6"/>
      <c r="AE301" s="1"/>
      <c r="AF301" s="1"/>
      <c r="AG301" s="1"/>
      <c r="AH301" s="1"/>
      <c r="AI301" s="6"/>
      <c r="AJ301" s="1"/>
      <c r="AK301" s="1"/>
      <c r="AL301" s="1"/>
      <c r="AM301" s="1"/>
      <c r="AN301" s="12"/>
      <c r="AO301" s="27"/>
    </row>
    <row r="302" spans="2:41" s="14" customFormat="1" ht="42" customHeight="1" x14ac:dyDescent="0.2">
      <c r="B302" s="46"/>
      <c r="C302" s="47"/>
      <c r="E302" s="48"/>
      <c r="J302" s="48"/>
      <c r="O302" s="48"/>
      <c r="T302" s="48"/>
      <c r="Y302" s="48"/>
      <c r="AD302" s="6"/>
      <c r="AE302" s="1"/>
      <c r="AF302" s="1"/>
      <c r="AG302" s="1"/>
      <c r="AH302" s="1"/>
      <c r="AI302" s="6"/>
      <c r="AJ302" s="1"/>
      <c r="AK302" s="1"/>
      <c r="AL302" s="1"/>
      <c r="AM302" s="1"/>
      <c r="AN302" s="12"/>
      <c r="AO302" s="27"/>
    </row>
    <row r="303" spans="2:41" s="14" customFormat="1" ht="42" customHeight="1" x14ac:dyDescent="0.2">
      <c r="B303" s="46"/>
      <c r="C303" s="47"/>
      <c r="E303" s="48"/>
      <c r="J303" s="48"/>
      <c r="O303" s="48"/>
      <c r="T303" s="48"/>
      <c r="Y303" s="48"/>
      <c r="AD303" s="6"/>
      <c r="AE303" s="1"/>
      <c r="AF303" s="1"/>
      <c r="AG303" s="1"/>
      <c r="AH303" s="1"/>
      <c r="AI303" s="6"/>
      <c r="AJ303" s="1"/>
      <c r="AK303" s="1"/>
      <c r="AL303" s="1"/>
      <c r="AM303" s="1"/>
      <c r="AN303" s="12"/>
      <c r="AO303" s="27"/>
    </row>
    <row r="304" spans="2:41" s="14" customFormat="1" ht="42" customHeight="1" x14ac:dyDescent="0.2">
      <c r="B304" s="46"/>
      <c r="C304" s="47"/>
      <c r="E304" s="48"/>
      <c r="J304" s="48"/>
      <c r="O304" s="48"/>
      <c r="T304" s="48"/>
      <c r="Y304" s="48"/>
      <c r="AD304" s="6"/>
      <c r="AE304" s="1"/>
      <c r="AF304" s="1"/>
      <c r="AG304" s="1"/>
      <c r="AH304" s="1"/>
      <c r="AI304" s="6"/>
      <c r="AJ304" s="1"/>
      <c r="AK304" s="1"/>
      <c r="AL304" s="1"/>
      <c r="AM304" s="1"/>
      <c r="AN304" s="12"/>
      <c r="AO304" s="27"/>
    </row>
    <row r="305" spans="2:41" s="14" customFormat="1" ht="42" customHeight="1" x14ac:dyDescent="0.2">
      <c r="B305" s="46"/>
      <c r="C305" s="47"/>
      <c r="E305" s="48"/>
      <c r="J305" s="48"/>
      <c r="O305" s="48"/>
      <c r="T305" s="48"/>
      <c r="Y305" s="48"/>
      <c r="AD305" s="6"/>
      <c r="AE305" s="1"/>
      <c r="AF305" s="1"/>
      <c r="AG305" s="1"/>
      <c r="AH305" s="1"/>
      <c r="AI305" s="6"/>
      <c r="AJ305" s="1"/>
      <c r="AK305" s="1"/>
      <c r="AL305" s="1"/>
      <c r="AM305" s="1"/>
      <c r="AN305" s="12"/>
      <c r="AO305" s="27"/>
    </row>
    <row r="306" spans="2:41" s="14" customFormat="1" ht="42" customHeight="1" x14ac:dyDescent="0.2">
      <c r="B306" s="46"/>
      <c r="C306" s="47"/>
      <c r="E306" s="48"/>
      <c r="J306" s="48"/>
      <c r="O306" s="48"/>
      <c r="T306" s="48"/>
      <c r="Y306" s="48"/>
      <c r="AD306" s="6"/>
      <c r="AE306" s="1"/>
      <c r="AF306" s="1"/>
      <c r="AG306" s="1"/>
      <c r="AH306" s="1"/>
      <c r="AI306" s="6"/>
      <c r="AJ306" s="1"/>
      <c r="AK306" s="1"/>
      <c r="AL306" s="1"/>
      <c r="AM306" s="1"/>
      <c r="AN306" s="12"/>
      <c r="AO306" s="27"/>
    </row>
    <row r="307" spans="2:41" s="14" customFormat="1" ht="42" customHeight="1" x14ac:dyDescent="0.2">
      <c r="B307" s="46"/>
      <c r="C307" s="47"/>
      <c r="E307" s="48"/>
      <c r="J307" s="48"/>
      <c r="O307" s="48"/>
      <c r="T307" s="48"/>
      <c r="Y307" s="48"/>
      <c r="AD307" s="6"/>
      <c r="AE307" s="1"/>
      <c r="AF307" s="1"/>
      <c r="AG307" s="1"/>
      <c r="AH307" s="1"/>
      <c r="AI307" s="6"/>
      <c r="AJ307" s="1"/>
      <c r="AK307" s="1"/>
      <c r="AL307" s="1"/>
      <c r="AM307" s="1"/>
      <c r="AN307" s="12"/>
      <c r="AO307" s="27"/>
    </row>
    <row r="308" spans="2:41" s="14" customFormat="1" ht="42" customHeight="1" x14ac:dyDescent="0.2">
      <c r="B308" s="46"/>
      <c r="C308" s="47"/>
      <c r="E308" s="48"/>
      <c r="J308" s="48"/>
      <c r="O308" s="48"/>
      <c r="T308" s="48"/>
      <c r="Y308" s="48"/>
      <c r="AD308" s="6"/>
      <c r="AE308" s="1"/>
      <c r="AF308" s="1"/>
      <c r="AG308" s="1"/>
      <c r="AH308" s="1"/>
      <c r="AI308" s="6"/>
      <c r="AJ308" s="1"/>
      <c r="AK308" s="1"/>
      <c r="AL308" s="1"/>
      <c r="AM308" s="1"/>
      <c r="AN308" s="12"/>
      <c r="AO308" s="27"/>
    </row>
    <row r="309" spans="2:41" s="14" customFormat="1" ht="42" customHeight="1" x14ac:dyDescent="0.2">
      <c r="B309" s="46"/>
      <c r="C309" s="47"/>
      <c r="E309" s="48"/>
      <c r="J309" s="48"/>
      <c r="O309" s="48"/>
      <c r="T309" s="48"/>
      <c r="Y309" s="48"/>
      <c r="AD309" s="6"/>
      <c r="AE309" s="1"/>
      <c r="AF309" s="1"/>
      <c r="AG309" s="1"/>
      <c r="AH309" s="1"/>
      <c r="AI309" s="6"/>
      <c r="AJ309" s="1"/>
      <c r="AK309" s="1"/>
      <c r="AL309" s="1"/>
      <c r="AM309" s="1"/>
      <c r="AN309" s="12"/>
      <c r="AO309" s="27"/>
    </row>
    <row r="310" spans="2:41" s="14" customFormat="1" ht="42" customHeight="1" x14ac:dyDescent="0.2">
      <c r="B310" s="46"/>
      <c r="C310" s="47"/>
      <c r="E310" s="48"/>
      <c r="J310" s="48"/>
      <c r="O310" s="48"/>
      <c r="T310" s="48"/>
      <c r="Y310" s="48"/>
      <c r="AD310" s="6"/>
      <c r="AE310" s="1"/>
      <c r="AF310" s="1"/>
      <c r="AG310" s="1"/>
      <c r="AH310" s="1"/>
      <c r="AI310" s="6"/>
      <c r="AJ310" s="1"/>
      <c r="AK310" s="1"/>
      <c r="AL310" s="1"/>
      <c r="AM310" s="1"/>
      <c r="AN310" s="12"/>
      <c r="AO310" s="27"/>
    </row>
    <row r="311" spans="2:41" s="14" customFormat="1" ht="42" customHeight="1" x14ac:dyDescent="0.2">
      <c r="B311" s="46"/>
      <c r="C311" s="47"/>
      <c r="E311" s="48"/>
      <c r="J311" s="48"/>
      <c r="O311" s="48"/>
      <c r="T311" s="48"/>
      <c r="Y311" s="48"/>
      <c r="AD311" s="6"/>
      <c r="AE311" s="1"/>
      <c r="AF311" s="1"/>
      <c r="AG311" s="1"/>
      <c r="AH311" s="1"/>
      <c r="AI311" s="6"/>
      <c r="AJ311" s="1"/>
      <c r="AK311" s="1"/>
      <c r="AL311" s="1"/>
      <c r="AM311" s="1"/>
      <c r="AN311" s="12"/>
      <c r="AO311" s="27"/>
    </row>
    <row r="312" spans="2:41" s="14" customFormat="1" ht="42" customHeight="1" x14ac:dyDescent="0.2">
      <c r="B312" s="46"/>
      <c r="C312" s="47"/>
      <c r="E312" s="48"/>
      <c r="J312" s="48"/>
      <c r="O312" s="48"/>
      <c r="T312" s="48"/>
      <c r="Y312" s="48"/>
      <c r="AD312" s="6"/>
      <c r="AE312" s="1"/>
      <c r="AF312" s="1"/>
      <c r="AG312" s="1"/>
      <c r="AH312" s="1"/>
      <c r="AI312" s="6"/>
      <c r="AJ312" s="1"/>
      <c r="AK312" s="1"/>
      <c r="AL312" s="1"/>
      <c r="AM312" s="1"/>
      <c r="AN312" s="12"/>
      <c r="AO312" s="27"/>
    </row>
    <row r="313" spans="2:41" s="14" customFormat="1" ht="42" customHeight="1" x14ac:dyDescent="0.2">
      <c r="B313" s="46"/>
      <c r="C313" s="47"/>
      <c r="E313" s="48"/>
      <c r="J313" s="48"/>
      <c r="O313" s="48"/>
      <c r="T313" s="48"/>
      <c r="Y313" s="48"/>
      <c r="AD313" s="6"/>
      <c r="AE313" s="1"/>
      <c r="AF313" s="1"/>
      <c r="AG313" s="1"/>
      <c r="AH313" s="1"/>
      <c r="AI313" s="6"/>
      <c r="AJ313" s="1"/>
      <c r="AK313" s="1"/>
      <c r="AL313" s="1"/>
      <c r="AM313" s="1"/>
      <c r="AN313" s="12"/>
      <c r="AO313" s="27"/>
    </row>
    <row r="314" spans="2:41" s="14" customFormat="1" ht="42" customHeight="1" x14ac:dyDescent="0.2">
      <c r="B314" s="46"/>
      <c r="C314" s="47"/>
      <c r="E314" s="48"/>
      <c r="J314" s="48"/>
      <c r="O314" s="48"/>
      <c r="T314" s="48"/>
      <c r="Y314" s="48"/>
      <c r="AD314" s="6"/>
      <c r="AE314" s="1"/>
      <c r="AF314" s="1"/>
      <c r="AG314" s="1"/>
      <c r="AH314" s="1"/>
      <c r="AI314" s="6"/>
      <c r="AJ314" s="1"/>
      <c r="AK314" s="1"/>
      <c r="AL314" s="1"/>
      <c r="AM314" s="1"/>
      <c r="AN314" s="12"/>
      <c r="AO314" s="27"/>
    </row>
    <row r="315" spans="2:41" s="14" customFormat="1" ht="42" customHeight="1" x14ac:dyDescent="0.2">
      <c r="B315" s="46"/>
      <c r="C315" s="47"/>
      <c r="E315" s="48"/>
      <c r="J315" s="48"/>
      <c r="O315" s="48"/>
      <c r="T315" s="48"/>
      <c r="Y315" s="48"/>
      <c r="AD315" s="6"/>
      <c r="AE315" s="1"/>
      <c r="AF315" s="1"/>
      <c r="AG315" s="1"/>
      <c r="AH315" s="1"/>
      <c r="AI315" s="6"/>
      <c r="AJ315" s="1"/>
      <c r="AK315" s="1"/>
      <c r="AL315" s="1"/>
      <c r="AM315" s="1"/>
      <c r="AN315" s="12"/>
      <c r="AO315" s="27"/>
    </row>
    <row r="316" spans="2:41" s="14" customFormat="1" ht="42" customHeight="1" x14ac:dyDescent="0.2">
      <c r="B316" s="46"/>
      <c r="C316" s="47"/>
      <c r="E316" s="48"/>
      <c r="J316" s="48"/>
      <c r="O316" s="48"/>
      <c r="T316" s="48"/>
      <c r="Y316" s="48"/>
      <c r="AD316" s="6"/>
      <c r="AE316" s="1"/>
      <c r="AF316" s="1"/>
      <c r="AG316" s="1"/>
      <c r="AH316" s="1"/>
      <c r="AI316" s="6"/>
      <c r="AJ316" s="1"/>
      <c r="AK316" s="1"/>
      <c r="AL316" s="1"/>
      <c r="AM316" s="1"/>
      <c r="AN316" s="12"/>
      <c r="AO316" s="27"/>
    </row>
    <row r="317" spans="2:41" s="14" customFormat="1" ht="42" customHeight="1" x14ac:dyDescent="0.2">
      <c r="B317" s="46"/>
      <c r="C317" s="47"/>
      <c r="E317" s="48"/>
      <c r="J317" s="48"/>
      <c r="O317" s="48"/>
      <c r="T317" s="48"/>
      <c r="Y317" s="48"/>
      <c r="AD317" s="6"/>
      <c r="AE317" s="1"/>
      <c r="AF317" s="1"/>
      <c r="AG317" s="1"/>
      <c r="AH317" s="1"/>
      <c r="AI317" s="6"/>
      <c r="AJ317" s="1"/>
      <c r="AK317" s="1"/>
      <c r="AL317" s="1"/>
      <c r="AM317" s="1"/>
      <c r="AN317" s="12"/>
      <c r="AO317" s="27"/>
    </row>
    <row r="318" spans="2:41" s="14" customFormat="1" ht="42" customHeight="1" x14ac:dyDescent="0.2">
      <c r="B318" s="46"/>
      <c r="C318" s="47"/>
      <c r="E318" s="48"/>
      <c r="J318" s="48"/>
      <c r="O318" s="48"/>
      <c r="T318" s="48"/>
      <c r="Y318" s="48"/>
      <c r="AD318" s="6"/>
      <c r="AE318" s="1"/>
      <c r="AF318" s="1"/>
      <c r="AG318" s="1"/>
      <c r="AH318" s="1"/>
      <c r="AI318" s="6"/>
      <c r="AJ318" s="1"/>
      <c r="AK318" s="1"/>
      <c r="AL318" s="1"/>
      <c r="AM318" s="1"/>
      <c r="AN318" s="12"/>
      <c r="AO318" s="27"/>
    </row>
    <row r="319" spans="2:41" s="14" customFormat="1" ht="42" customHeight="1" x14ac:dyDescent="0.2">
      <c r="B319" s="46"/>
      <c r="C319" s="47"/>
      <c r="E319" s="48"/>
      <c r="J319" s="48"/>
      <c r="O319" s="48"/>
      <c r="T319" s="48"/>
      <c r="Y319" s="48"/>
      <c r="AD319" s="6"/>
      <c r="AE319" s="1"/>
      <c r="AF319" s="1"/>
      <c r="AG319" s="1"/>
      <c r="AH319" s="1"/>
      <c r="AI319" s="6"/>
      <c r="AJ319" s="1"/>
      <c r="AK319" s="1"/>
      <c r="AL319" s="1"/>
      <c r="AM319" s="1"/>
      <c r="AN319" s="12"/>
      <c r="AO319" s="27"/>
    </row>
    <row r="320" spans="2:41" s="14" customFormat="1" ht="42" customHeight="1" x14ac:dyDescent="0.2">
      <c r="B320" s="46"/>
      <c r="C320" s="47"/>
      <c r="E320" s="48"/>
      <c r="J320" s="48"/>
      <c r="O320" s="48"/>
      <c r="T320" s="48"/>
      <c r="Y320" s="48"/>
      <c r="AD320" s="6"/>
      <c r="AE320" s="1"/>
      <c r="AF320" s="1"/>
      <c r="AG320" s="1"/>
      <c r="AH320" s="1"/>
      <c r="AI320" s="6"/>
      <c r="AJ320" s="1"/>
      <c r="AK320" s="1"/>
      <c r="AL320" s="1"/>
      <c r="AM320" s="1"/>
      <c r="AN320" s="12"/>
      <c r="AO320" s="27"/>
    </row>
    <row r="321" spans="2:41" s="14" customFormat="1" ht="42" customHeight="1" x14ac:dyDescent="0.2">
      <c r="B321" s="46"/>
      <c r="C321" s="47"/>
      <c r="E321" s="48"/>
      <c r="J321" s="48"/>
      <c r="O321" s="48"/>
      <c r="T321" s="48"/>
      <c r="Y321" s="48"/>
      <c r="AD321" s="6"/>
      <c r="AE321" s="1"/>
      <c r="AF321" s="1"/>
      <c r="AG321" s="1"/>
      <c r="AH321" s="1"/>
      <c r="AI321" s="6"/>
      <c r="AJ321" s="1"/>
      <c r="AK321" s="1"/>
      <c r="AL321" s="1"/>
      <c r="AM321" s="1"/>
      <c r="AN321" s="12"/>
      <c r="AO321" s="27"/>
    </row>
    <row r="322" spans="2:41" s="14" customFormat="1" ht="42" customHeight="1" x14ac:dyDescent="0.2">
      <c r="B322" s="46"/>
      <c r="C322" s="47"/>
      <c r="E322" s="48"/>
      <c r="J322" s="48"/>
      <c r="O322" s="48"/>
      <c r="T322" s="48"/>
      <c r="Y322" s="48"/>
      <c r="AD322" s="6"/>
      <c r="AE322" s="1"/>
      <c r="AF322" s="1"/>
      <c r="AG322" s="1"/>
      <c r="AH322" s="1"/>
      <c r="AI322" s="6"/>
      <c r="AJ322" s="1"/>
      <c r="AK322" s="1"/>
      <c r="AL322" s="1"/>
      <c r="AM322" s="1"/>
      <c r="AN322" s="12"/>
      <c r="AO322" s="27"/>
    </row>
    <row r="323" spans="2:41" s="14" customFormat="1" ht="42" customHeight="1" x14ac:dyDescent="0.2">
      <c r="B323" s="46"/>
      <c r="C323" s="47"/>
      <c r="E323" s="48"/>
      <c r="J323" s="48"/>
      <c r="O323" s="48"/>
      <c r="T323" s="48"/>
      <c r="Y323" s="48"/>
      <c r="AD323" s="6"/>
      <c r="AE323" s="1"/>
      <c r="AF323" s="1"/>
      <c r="AG323" s="1"/>
      <c r="AH323" s="1"/>
      <c r="AI323" s="6"/>
      <c r="AJ323" s="1"/>
      <c r="AK323" s="1"/>
      <c r="AL323" s="1"/>
      <c r="AM323" s="1"/>
      <c r="AN323" s="12"/>
      <c r="AO323" s="27"/>
    </row>
    <row r="324" spans="2:41" s="14" customFormat="1" ht="42" customHeight="1" x14ac:dyDescent="0.2">
      <c r="B324" s="46"/>
      <c r="C324" s="47"/>
      <c r="E324" s="48"/>
      <c r="J324" s="48"/>
      <c r="O324" s="48"/>
      <c r="T324" s="48"/>
      <c r="Y324" s="48"/>
      <c r="AD324" s="6"/>
      <c r="AE324" s="1"/>
      <c r="AF324" s="1"/>
      <c r="AG324" s="1"/>
      <c r="AH324" s="1"/>
      <c r="AI324" s="6"/>
      <c r="AJ324" s="1"/>
      <c r="AK324" s="1"/>
      <c r="AL324" s="1"/>
      <c r="AM324" s="1"/>
      <c r="AN324" s="12"/>
      <c r="AO324" s="27"/>
    </row>
    <row r="325" spans="2:41" s="14" customFormat="1" ht="42" customHeight="1" x14ac:dyDescent="0.2">
      <c r="B325" s="46"/>
      <c r="C325" s="47"/>
      <c r="E325" s="48"/>
      <c r="J325" s="48"/>
      <c r="O325" s="48"/>
      <c r="T325" s="48"/>
      <c r="Y325" s="48"/>
      <c r="AD325" s="6"/>
      <c r="AE325" s="1"/>
      <c r="AF325" s="1"/>
      <c r="AG325" s="1"/>
      <c r="AH325" s="1"/>
      <c r="AI325" s="6"/>
      <c r="AJ325" s="1"/>
      <c r="AK325" s="1"/>
      <c r="AL325" s="1"/>
      <c r="AM325" s="1"/>
      <c r="AN325" s="12"/>
      <c r="AO325" s="27"/>
    </row>
    <row r="326" spans="2:41" s="14" customFormat="1" ht="42" customHeight="1" x14ac:dyDescent="0.2">
      <c r="B326" s="46"/>
      <c r="C326" s="47"/>
      <c r="E326" s="48"/>
      <c r="J326" s="48"/>
      <c r="O326" s="48"/>
      <c r="T326" s="48"/>
      <c r="Y326" s="48"/>
      <c r="AD326" s="6"/>
      <c r="AE326" s="1"/>
      <c r="AF326" s="1"/>
      <c r="AG326" s="1"/>
      <c r="AH326" s="1"/>
      <c r="AI326" s="6"/>
      <c r="AJ326" s="1"/>
      <c r="AK326" s="1"/>
      <c r="AL326" s="1"/>
      <c r="AM326" s="1"/>
      <c r="AN326" s="12"/>
      <c r="AO326" s="27"/>
    </row>
    <row r="327" spans="2:41" s="14" customFormat="1" ht="42" customHeight="1" x14ac:dyDescent="0.2">
      <c r="B327" s="46"/>
      <c r="C327" s="47"/>
      <c r="E327" s="48"/>
      <c r="J327" s="48"/>
      <c r="O327" s="48"/>
      <c r="T327" s="48"/>
      <c r="Y327" s="48"/>
      <c r="AD327" s="6"/>
      <c r="AE327" s="1"/>
      <c r="AF327" s="1"/>
      <c r="AG327" s="1"/>
      <c r="AH327" s="1"/>
      <c r="AI327" s="6"/>
      <c r="AJ327" s="1"/>
      <c r="AK327" s="1"/>
      <c r="AL327" s="1"/>
      <c r="AM327" s="1"/>
      <c r="AN327" s="12"/>
      <c r="AO327" s="27"/>
    </row>
    <row r="328" spans="2:41" s="14" customFormat="1" ht="42" customHeight="1" x14ac:dyDescent="0.2">
      <c r="B328" s="46"/>
      <c r="C328" s="47"/>
      <c r="E328" s="48"/>
      <c r="J328" s="48"/>
      <c r="O328" s="48"/>
      <c r="T328" s="48"/>
      <c r="Y328" s="48"/>
      <c r="AD328" s="6"/>
      <c r="AE328" s="1"/>
      <c r="AF328" s="1"/>
      <c r="AG328" s="1"/>
      <c r="AH328" s="1"/>
      <c r="AI328" s="6"/>
      <c r="AJ328" s="1"/>
      <c r="AK328" s="1"/>
      <c r="AL328" s="1"/>
      <c r="AM328" s="1"/>
      <c r="AN328" s="12"/>
      <c r="AO328" s="27"/>
    </row>
    <row r="329" spans="2:41" s="14" customFormat="1" ht="42" customHeight="1" x14ac:dyDescent="0.2">
      <c r="B329" s="46"/>
      <c r="C329" s="47"/>
      <c r="E329" s="48"/>
      <c r="J329" s="48"/>
      <c r="O329" s="48"/>
      <c r="T329" s="48"/>
      <c r="Y329" s="48"/>
      <c r="AD329" s="6"/>
      <c r="AE329" s="1"/>
      <c r="AF329" s="1"/>
      <c r="AG329" s="1"/>
      <c r="AH329" s="1"/>
      <c r="AI329" s="6"/>
      <c r="AJ329" s="1"/>
      <c r="AK329" s="1"/>
      <c r="AL329" s="1"/>
      <c r="AM329" s="1"/>
      <c r="AN329" s="12"/>
      <c r="AO329" s="27"/>
    </row>
    <row r="330" spans="2:41" s="14" customFormat="1" ht="42" customHeight="1" x14ac:dyDescent="0.2">
      <c r="B330" s="46"/>
      <c r="C330" s="47"/>
      <c r="E330" s="48"/>
      <c r="J330" s="48"/>
      <c r="O330" s="48"/>
      <c r="T330" s="48"/>
      <c r="Y330" s="48"/>
      <c r="AD330" s="6"/>
      <c r="AE330" s="1"/>
      <c r="AF330" s="1"/>
      <c r="AG330" s="1"/>
      <c r="AH330" s="1"/>
      <c r="AI330" s="6"/>
      <c r="AJ330" s="1"/>
      <c r="AK330" s="1"/>
      <c r="AL330" s="1"/>
      <c r="AM330" s="1"/>
      <c r="AN330" s="12"/>
      <c r="AO330" s="27"/>
    </row>
    <row r="331" spans="2:41" s="14" customFormat="1" ht="42" customHeight="1" x14ac:dyDescent="0.2">
      <c r="B331" s="46"/>
      <c r="C331" s="47"/>
      <c r="E331" s="48"/>
      <c r="J331" s="48"/>
      <c r="O331" s="48"/>
      <c r="T331" s="48"/>
      <c r="Y331" s="48"/>
      <c r="AD331" s="6"/>
      <c r="AE331" s="1"/>
      <c r="AF331" s="1"/>
      <c r="AG331" s="1"/>
      <c r="AH331" s="1"/>
      <c r="AI331" s="6"/>
      <c r="AJ331" s="1"/>
      <c r="AK331" s="1"/>
      <c r="AL331" s="1"/>
      <c r="AM331" s="1"/>
      <c r="AN331" s="12"/>
      <c r="AO331" s="27"/>
    </row>
    <row r="332" spans="2:41" s="14" customFormat="1" ht="42" customHeight="1" x14ac:dyDescent="0.2">
      <c r="B332" s="46"/>
      <c r="C332" s="47"/>
      <c r="E332" s="48"/>
      <c r="J332" s="48"/>
      <c r="O332" s="48"/>
      <c r="T332" s="48"/>
      <c r="Y332" s="48"/>
      <c r="AD332" s="6"/>
      <c r="AE332" s="1"/>
      <c r="AF332" s="1"/>
      <c r="AG332" s="1"/>
      <c r="AH332" s="1"/>
      <c r="AI332" s="6"/>
      <c r="AJ332" s="1"/>
      <c r="AK332" s="1"/>
      <c r="AL332" s="1"/>
      <c r="AM332" s="1"/>
      <c r="AN332" s="12"/>
      <c r="AO332" s="27"/>
    </row>
    <row r="333" spans="2:41" s="14" customFormat="1" ht="42" customHeight="1" x14ac:dyDescent="0.2">
      <c r="B333" s="46"/>
      <c r="C333" s="47"/>
      <c r="E333" s="48"/>
      <c r="J333" s="48"/>
      <c r="O333" s="48"/>
      <c r="T333" s="48"/>
      <c r="Y333" s="48"/>
      <c r="AD333" s="6"/>
      <c r="AE333" s="1"/>
      <c r="AF333" s="1"/>
      <c r="AG333" s="1"/>
      <c r="AH333" s="1"/>
      <c r="AI333" s="6"/>
      <c r="AJ333" s="1"/>
      <c r="AK333" s="1"/>
      <c r="AL333" s="1"/>
      <c r="AM333" s="1"/>
      <c r="AN333" s="12"/>
      <c r="AO333" s="27"/>
    </row>
    <row r="334" spans="2:41" s="14" customFormat="1" ht="42" customHeight="1" x14ac:dyDescent="0.2">
      <c r="B334" s="46"/>
      <c r="C334" s="47"/>
      <c r="E334" s="48"/>
      <c r="J334" s="48"/>
      <c r="O334" s="48"/>
      <c r="T334" s="48"/>
      <c r="Y334" s="48"/>
      <c r="AD334" s="6"/>
      <c r="AE334" s="1"/>
      <c r="AF334" s="1"/>
      <c r="AG334" s="1"/>
      <c r="AH334" s="1"/>
      <c r="AI334" s="6"/>
      <c r="AJ334" s="1"/>
      <c r="AK334" s="1"/>
      <c r="AL334" s="1"/>
      <c r="AM334" s="1"/>
      <c r="AN334" s="12"/>
      <c r="AO334" s="27"/>
    </row>
    <row r="335" spans="2:41" s="14" customFormat="1" ht="42" customHeight="1" x14ac:dyDescent="0.2">
      <c r="B335" s="46"/>
      <c r="C335" s="47"/>
      <c r="E335" s="48"/>
      <c r="J335" s="48"/>
      <c r="O335" s="48"/>
      <c r="T335" s="48"/>
      <c r="Y335" s="48"/>
      <c r="AD335" s="6"/>
      <c r="AE335" s="1"/>
      <c r="AF335" s="1"/>
      <c r="AG335" s="1"/>
      <c r="AH335" s="1"/>
      <c r="AI335" s="6"/>
      <c r="AJ335" s="1"/>
      <c r="AK335" s="1"/>
      <c r="AL335" s="1"/>
      <c r="AM335" s="1"/>
      <c r="AN335" s="12"/>
      <c r="AO335" s="27"/>
    </row>
    <row r="336" spans="2:41" s="14" customFormat="1" ht="42" customHeight="1" x14ac:dyDescent="0.2">
      <c r="B336" s="46"/>
      <c r="C336" s="47"/>
      <c r="E336" s="48"/>
      <c r="J336" s="48"/>
      <c r="O336" s="48"/>
      <c r="T336" s="48"/>
      <c r="Y336" s="48"/>
      <c r="AD336" s="6"/>
      <c r="AE336" s="1"/>
      <c r="AF336" s="1"/>
      <c r="AG336" s="1"/>
      <c r="AH336" s="1"/>
      <c r="AI336" s="6"/>
      <c r="AJ336" s="1"/>
      <c r="AK336" s="1"/>
      <c r="AL336" s="1"/>
      <c r="AM336" s="1"/>
      <c r="AN336" s="12"/>
      <c r="AO336" s="27"/>
    </row>
    <row r="337" spans="2:41" s="14" customFormat="1" ht="42" customHeight="1" x14ac:dyDescent="0.2">
      <c r="B337" s="46"/>
      <c r="C337" s="47"/>
      <c r="E337" s="48"/>
      <c r="J337" s="48"/>
      <c r="O337" s="48"/>
      <c r="T337" s="48"/>
      <c r="Y337" s="48"/>
      <c r="AD337" s="6"/>
      <c r="AE337" s="1"/>
      <c r="AF337" s="1"/>
      <c r="AG337" s="1"/>
      <c r="AH337" s="1"/>
      <c r="AI337" s="6"/>
      <c r="AJ337" s="1"/>
      <c r="AK337" s="1"/>
      <c r="AL337" s="1"/>
      <c r="AM337" s="1"/>
      <c r="AN337" s="12"/>
      <c r="AO337" s="27"/>
    </row>
    <row r="338" spans="2:41" s="14" customFormat="1" ht="42" customHeight="1" x14ac:dyDescent="0.2">
      <c r="B338" s="46"/>
      <c r="C338" s="47"/>
      <c r="E338" s="48"/>
      <c r="J338" s="48"/>
      <c r="O338" s="48"/>
      <c r="T338" s="48"/>
      <c r="Y338" s="48"/>
      <c r="AD338" s="6"/>
      <c r="AE338" s="1"/>
      <c r="AF338" s="1"/>
      <c r="AG338" s="1"/>
      <c r="AH338" s="1"/>
      <c r="AI338" s="6"/>
      <c r="AJ338" s="1"/>
      <c r="AK338" s="1"/>
      <c r="AL338" s="1"/>
      <c r="AM338" s="1"/>
      <c r="AN338" s="12"/>
      <c r="AO338" s="27"/>
    </row>
    <row r="339" spans="2:41" s="14" customFormat="1" ht="42" customHeight="1" x14ac:dyDescent="0.2">
      <c r="B339" s="46"/>
      <c r="C339" s="47"/>
      <c r="E339" s="48"/>
      <c r="J339" s="48"/>
      <c r="O339" s="48"/>
      <c r="T339" s="48"/>
      <c r="Y339" s="48"/>
      <c r="AD339" s="6"/>
      <c r="AE339" s="1"/>
      <c r="AF339" s="1"/>
      <c r="AG339" s="1"/>
      <c r="AH339" s="1"/>
      <c r="AI339" s="6"/>
      <c r="AJ339" s="1"/>
      <c r="AK339" s="1"/>
      <c r="AL339" s="1"/>
      <c r="AM339" s="1"/>
      <c r="AN339" s="12"/>
      <c r="AO339" s="27"/>
    </row>
    <row r="340" spans="2:41" s="14" customFormat="1" ht="42" customHeight="1" x14ac:dyDescent="0.2">
      <c r="B340" s="46"/>
      <c r="C340" s="47"/>
      <c r="E340" s="48"/>
      <c r="J340" s="48"/>
      <c r="O340" s="48"/>
      <c r="T340" s="48"/>
      <c r="Y340" s="48"/>
      <c r="AD340" s="6"/>
      <c r="AE340" s="1"/>
      <c r="AF340" s="1"/>
      <c r="AG340" s="1"/>
      <c r="AH340" s="1"/>
      <c r="AI340" s="6"/>
      <c r="AJ340" s="1"/>
      <c r="AK340" s="1"/>
      <c r="AL340" s="1"/>
      <c r="AM340" s="1"/>
      <c r="AN340" s="12"/>
      <c r="AO340" s="27"/>
    </row>
    <row r="341" spans="2:41" s="14" customFormat="1" ht="42" customHeight="1" x14ac:dyDescent="0.2">
      <c r="B341" s="46"/>
      <c r="C341" s="47"/>
      <c r="E341" s="48"/>
      <c r="J341" s="48"/>
      <c r="O341" s="48"/>
      <c r="T341" s="48"/>
      <c r="Y341" s="48"/>
      <c r="AD341" s="6"/>
      <c r="AE341" s="1"/>
      <c r="AF341" s="1"/>
      <c r="AG341" s="1"/>
      <c r="AH341" s="1"/>
      <c r="AI341" s="6"/>
      <c r="AJ341" s="1"/>
      <c r="AK341" s="1"/>
      <c r="AL341" s="1"/>
      <c r="AM341" s="1"/>
      <c r="AN341" s="12"/>
      <c r="AO341" s="27"/>
    </row>
    <row r="342" spans="2:41" s="14" customFormat="1" ht="42" customHeight="1" x14ac:dyDescent="0.2">
      <c r="B342" s="46"/>
      <c r="C342" s="47"/>
      <c r="E342" s="48"/>
      <c r="J342" s="48"/>
      <c r="O342" s="48"/>
      <c r="T342" s="48"/>
      <c r="Y342" s="48"/>
      <c r="AD342" s="6"/>
      <c r="AE342" s="1"/>
      <c r="AF342" s="1"/>
      <c r="AG342" s="1"/>
      <c r="AH342" s="1"/>
      <c r="AI342" s="6"/>
      <c r="AJ342" s="1"/>
      <c r="AK342" s="1"/>
      <c r="AL342" s="1"/>
      <c r="AM342" s="1"/>
      <c r="AN342" s="12"/>
      <c r="AO342" s="27"/>
    </row>
  </sheetData>
  <mergeCells count="80">
    <mergeCell ref="D111:D113"/>
    <mergeCell ref="A121:AN121"/>
    <mergeCell ref="A103:AN103"/>
    <mergeCell ref="B105:B106"/>
    <mergeCell ref="C105:C106"/>
    <mergeCell ref="A105:A106"/>
    <mergeCell ref="A114:A115"/>
    <mergeCell ref="A108:A109"/>
    <mergeCell ref="D134:AF134"/>
    <mergeCell ref="K136:AE136"/>
    <mergeCell ref="B111:B112"/>
    <mergeCell ref="A122:AN122"/>
    <mergeCell ref="A125:AN125"/>
    <mergeCell ref="B130:C130"/>
    <mergeCell ref="A131:C131"/>
    <mergeCell ref="A132:C132"/>
    <mergeCell ref="A133:C133"/>
    <mergeCell ref="A116:C116"/>
    <mergeCell ref="A117:C117"/>
    <mergeCell ref="A118:C118"/>
    <mergeCell ref="A119:AN119"/>
    <mergeCell ref="A111:A113"/>
    <mergeCell ref="C111:C113"/>
    <mergeCell ref="A120:AN120"/>
    <mergeCell ref="A81:AN81"/>
    <mergeCell ref="A82:AN82"/>
    <mergeCell ref="A83:AN83"/>
    <mergeCell ref="A89:AN89"/>
    <mergeCell ref="A92:AN92"/>
    <mergeCell ref="A90:A91"/>
    <mergeCell ref="C90:C91"/>
    <mergeCell ref="A70:AN70"/>
    <mergeCell ref="A71:AN71"/>
    <mergeCell ref="A72:AN72"/>
    <mergeCell ref="A73:AN73"/>
    <mergeCell ref="A80:AN80"/>
    <mergeCell ref="A101:AN101"/>
    <mergeCell ref="A102:AN102"/>
    <mergeCell ref="A68:C68"/>
    <mergeCell ref="A31:AN31"/>
    <mergeCell ref="A44:AN44"/>
    <mergeCell ref="A59:A60"/>
    <mergeCell ref="B59:B60"/>
    <mergeCell ref="C59:C60"/>
    <mergeCell ref="A62:AN62"/>
    <mergeCell ref="A64:AN64"/>
    <mergeCell ref="A65:A66"/>
    <mergeCell ref="B65:B66"/>
    <mergeCell ref="C65:C66"/>
    <mergeCell ref="A67:C67"/>
    <mergeCell ref="A100:AN100"/>
    <mergeCell ref="A69:C69"/>
    <mergeCell ref="A26:A27"/>
    <mergeCell ref="B26:B27"/>
    <mergeCell ref="C26:C27"/>
    <mergeCell ref="A28:A29"/>
    <mergeCell ref="B28:B29"/>
    <mergeCell ref="C28:C29"/>
    <mergeCell ref="A14:AN14"/>
    <mergeCell ref="E7:I7"/>
    <mergeCell ref="J7:N7"/>
    <mergeCell ref="O7:S7"/>
    <mergeCell ref="T7:X7"/>
    <mergeCell ref="Y7:AC7"/>
    <mergeCell ref="AD7:AH7"/>
    <mergeCell ref="AI7:AM7"/>
    <mergeCell ref="A10:AN10"/>
    <mergeCell ref="A11:AN11"/>
    <mergeCell ref="A12:AN12"/>
    <mergeCell ref="A13:AN13"/>
    <mergeCell ref="AI1:AN1"/>
    <mergeCell ref="J3:N3"/>
    <mergeCell ref="B5:AN5"/>
    <mergeCell ref="A6:A8"/>
    <mergeCell ref="B6:B8"/>
    <mergeCell ref="C6:C8"/>
    <mergeCell ref="D6:D8"/>
    <mergeCell ref="E6:AM6"/>
    <mergeCell ref="AN6:AN8"/>
    <mergeCell ref="AH3:AN3"/>
  </mergeCells>
  <pageMargins left="0" right="0" top="0.23622047244094491" bottom="0.19685039370078741" header="0.19685039370078741" footer="0.15748031496062992"/>
  <pageSetup paperSize="8" scale="30" fitToHeight="0" orientation="landscape" r:id="rId1"/>
  <headerFooter alignWithMargins="0"/>
  <rowBreaks count="1" manualBreakCount="1">
    <brk id="136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вариант ДФ</vt:lpstr>
      <vt:lpstr>'вариант ДФ'!Заголовки_для_печати</vt:lpstr>
      <vt:lpstr>'вариант ДФ'!Область_печати</vt:lpstr>
    </vt:vector>
  </TitlesOfParts>
  <Company>Мэрия 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2019-12-24T11:21:45Z</cp:lastPrinted>
  <dcterms:created xsi:type="dcterms:W3CDTF">2010-09-21T12:17:32Z</dcterms:created>
  <dcterms:modified xsi:type="dcterms:W3CDTF">2020-01-28T10:41:24Z</dcterms:modified>
</cp:coreProperties>
</file>