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0" yWindow="150" windowWidth="15480" windowHeight="4920" activeTab="3"/>
  </bookViews>
  <sheets>
    <sheet name="анализ ср зпл и распред культ" sheetId="1" r:id="rId1"/>
    <sheet name="анализ ФОТ культ" sheetId="2" r:id="rId2"/>
    <sheet name="анализ ФОТ педаг" sheetId="3" r:id="rId3"/>
    <sheet name="доп.ассигн" sheetId="5" r:id="rId4"/>
  </sheets>
  <externalReferences>
    <externalReference r:id="rId5"/>
    <externalReference r:id="rId6"/>
  </externalReferences>
  <definedNames>
    <definedName name="год" localSheetId="0">#REF!+#REF!+#REF!+#REF!</definedName>
    <definedName name="год" localSheetId="2">#REF!+#REF!+#REF!+#REF!</definedName>
    <definedName name="год" localSheetId="3">#REF!+#REF!+#REF!+#REF!</definedName>
    <definedName name="год">#REF!+#REF!+#REF!+#REF!</definedName>
    <definedName name="_xlnm.Print_Titles" localSheetId="0">'анализ ср зпл и распред культ'!$A:$B,'анализ ср зпл и распред культ'!$3:$5</definedName>
    <definedName name="_xlnm.Print_Titles" localSheetId="1">'анализ ФОТ культ'!$A:$A,'анализ ФОТ культ'!$3:$3</definedName>
    <definedName name="_xlnm.Print_Titles" localSheetId="3">доп.ассигн!$A:$B,доп.ассигн!$4:$6</definedName>
    <definedName name="ИТОГО" localSheetId="0">#REF!+#REF!+#REF!</definedName>
    <definedName name="ИТОГО" localSheetId="2">#REF!+#REF!+#REF!</definedName>
    <definedName name="ИТОГО" localSheetId="3">#REF!+#REF!+#REF!</definedName>
    <definedName name="ИТОГО">#REF!+#REF!+#REF!</definedName>
    <definedName name="Канц" localSheetId="0">#REF!+#REF!+#REF!+#REF!+#REF!</definedName>
    <definedName name="Канц" localSheetId="2">#REF!+#REF!+#REF!+#REF!+#REF!</definedName>
    <definedName name="Канц" localSheetId="3">#REF!+#REF!+#REF!+#REF!+#REF!</definedName>
    <definedName name="Канц">#REF!+#REF!+#REF!+#REF!+#REF!</definedName>
    <definedName name="квартал" localSheetId="0">SUM(#REF!)</definedName>
    <definedName name="квартал" localSheetId="2">SUM(#REF!)</definedName>
    <definedName name="квартал" localSheetId="3">SUM(#REF!)</definedName>
    <definedName name="квартал">SUM(#REF!)</definedName>
    <definedName name="мц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отклонения" localSheetId="0">#REF!-#REF!</definedName>
    <definedName name="отклонения" localSheetId="2">#REF!-#REF!</definedName>
    <definedName name="отклонения" localSheetId="3">#REF!-#REF!</definedName>
    <definedName name="отклонения">#REF!-#REF!</definedName>
    <definedName name="пит">[1]ШКОЛЫ!A1048575+[1]ШКОЛЫ!A1048576+[1]ШКОЛЫ!A1048550+[1]ШКОЛЫ!A1048554+[1]ШКОЛЫ!A1048555+[1]ШКОЛЫ!A1048556+[1]ШКОЛЫ!A1048574+[1]ШКОЛЫ!A1048557+[1]ШКОЛЫ!A1048558+[1]ШКОЛЫ!A1048559+[1]ШКОЛЫ!A1048560+[1]ШКОЛЫ!A1048561+[1]ШКОЛЫ!A1048562+[1]ШКОЛЫ!A1048563+[1]ШКОЛЫ!A1048564+[1]ШКОЛЫ!A1048565+[1]ШКОЛЫ!A1048566+[1]ШКОЛЫ!A1048567+[1]ШКОЛЫ!A1048568+[1]ШКОЛЫ!A1048569+[1]ШКОЛЫ!A1048570+[1]ШКОЛЫ!A1048571+[1]ШКОЛЫ!A1048572+[1]ШКОЛЫ!A1048573</definedName>
    <definedName name="Расх" localSheetId="0">SUM(#REF!)</definedName>
    <definedName name="Расх" localSheetId="2">SUM(#REF!)</definedName>
    <definedName name="Расх" localSheetId="3">SUM(#REF!)</definedName>
    <definedName name="Расх">SUM(#REF!)</definedName>
    <definedName name="Свод" localSheetId="0">#REF!+#REF!+#REF!</definedName>
    <definedName name="Свод" localSheetId="2">#REF!+#REF!+#REF!</definedName>
    <definedName name="Свод" localSheetId="3">#REF!+#REF!+#REF!</definedName>
    <definedName name="Свод">#REF!+#REF!+#REF!</definedName>
    <definedName name="фин" localSheetId="0">SUM(#REF!)</definedName>
    <definedName name="фин" localSheetId="2">SUM(#REF!)</definedName>
    <definedName name="фин" localSheetId="3">SUM(#REF!)</definedName>
    <definedName name="фин">SUM(#REF!)</definedName>
    <definedName name="школы" localSheetId="0">#REF!+#REF!+#REF!+#REF!+#REF!</definedName>
    <definedName name="школы" localSheetId="2">#REF!+#REF!+#REF!+#REF!+#REF!</definedName>
    <definedName name="школы" localSheetId="3">#REF!+#REF!+#REF!+#REF!+#REF!</definedName>
    <definedName name="школы">#REF!+#REF!+#REF!+#REF!+#REF!</definedName>
  </definedNames>
  <calcPr calcId="145621"/>
</workbook>
</file>

<file path=xl/calcChain.xml><?xml version="1.0" encoding="utf-8"?>
<calcChain xmlns="http://schemas.openxmlformats.org/spreadsheetml/2006/main">
  <c r="J48" i="5"/>
  <c r="K48" s="1"/>
  <c r="J46"/>
  <c r="K46" s="1"/>
  <c r="H45"/>
  <c r="J45" s="1"/>
  <c r="J43" s="1"/>
  <c r="J44"/>
  <c r="K44" s="1"/>
  <c r="I43"/>
  <c r="I47" s="1"/>
  <c r="H43"/>
  <c r="H47" s="1"/>
  <c r="G43"/>
  <c r="G47" s="1"/>
  <c r="G49" s="1"/>
  <c r="F43"/>
  <c r="F47" s="1"/>
  <c r="F49" s="1"/>
  <c r="E43"/>
  <c r="E47" s="1"/>
  <c r="D43"/>
  <c r="D47" s="1"/>
  <c r="D49" s="1"/>
  <c r="C43"/>
  <c r="C47" s="1"/>
  <c r="C49" s="1"/>
  <c r="J42"/>
  <c r="H41"/>
  <c r="J40"/>
  <c r="K40" s="1"/>
  <c r="J39"/>
  <c r="K39" s="1"/>
  <c r="J38"/>
  <c r="K38" s="1"/>
  <c r="J37"/>
  <c r="K37" s="1"/>
  <c r="A37"/>
  <c r="A38" s="1"/>
  <c r="J36"/>
  <c r="J41" s="1"/>
  <c r="I35"/>
  <c r="I49" s="1"/>
  <c r="H35"/>
  <c r="J34"/>
  <c r="K34" s="1"/>
  <c r="J33"/>
  <c r="J35" s="1"/>
  <c r="H32"/>
  <c r="J31"/>
  <c r="K31" s="1"/>
  <c r="J30"/>
  <c r="K30" s="1"/>
  <c r="J29"/>
  <c r="K29" s="1"/>
  <c r="K32" s="1"/>
  <c r="I27"/>
  <c r="I28" s="1"/>
  <c r="I50" s="1"/>
  <c r="D27"/>
  <c r="D28" s="1"/>
  <c r="D50" s="1"/>
  <c r="H26"/>
  <c r="J26" s="1"/>
  <c r="H25"/>
  <c r="H24"/>
  <c r="J24" s="1"/>
  <c r="A24"/>
  <c r="H23"/>
  <c r="J23" s="1"/>
  <c r="H22"/>
  <c r="H21"/>
  <c r="J21" s="1"/>
  <c r="H20"/>
  <c r="H19"/>
  <c r="J19" s="1"/>
  <c r="H18"/>
  <c r="H17"/>
  <c r="J17" s="1"/>
  <c r="H16"/>
  <c r="H15"/>
  <c r="J15" s="1"/>
  <c r="H14"/>
  <c r="J14" s="1"/>
  <c r="H13"/>
  <c r="J12"/>
  <c r="H12"/>
  <c r="H11"/>
  <c r="H10"/>
  <c r="J10" s="1"/>
  <c r="H9"/>
  <c r="F9"/>
  <c r="C9"/>
  <c r="H8"/>
  <c r="C8"/>
  <c r="I7"/>
  <c r="H7"/>
  <c r="D7"/>
  <c r="C7"/>
  <c r="O92" i="3"/>
  <c r="N92"/>
  <c r="J92"/>
  <c r="I92"/>
  <c r="D92"/>
  <c r="E92"/>
  <c r="I26"/>
  <c r="I25"/>
  <c r="I23"/>
  <c r="I22"/>
  <c r="I21"/>
  <c r="I20"/>
  <c r="I19"/>
  <c r="I17"/>
  <c r="I16"/>
  <c r="I15"/>
  <c r="I14"/>
  <c r="I13"/>
  <c r="I12"/>
  <c r="I11"/>
  <c r="I9"/>
  <c r="I8"/>
  <c r="I6"/>
  <c r="I29"/>
  <c r="K29" s="1"/>
  <c r="I28"/>
  <c r="G27"/>
  <c r="H27"/>
  <c r="I27"/>
  <c r="E87"/>
  <c r="D34"/>
  <c r="M27"/>
  <c r="L27"/>
  <c r="N26"/>
  <c r="B26"/>
  <c r="D26" s="1"/>
  <c r="N25"/>
  <c r="D25"/>
  <c r="B25"/>
  <c r="N23"/>
  <c r="B23"/>
  <c r="D23" s="1"/>
  <c r="N22"/>
  <c r="B22"/>
  <c r="D22" s="1"/>
  <c r="N21"/>
  <c r="B21"/>
  <c r="D21" s="1"/>
  <c r="N20"/>
  <c r="C20"/>
  <c r="C30" s="1"/>
  <c r="B20"/>
  <c r="N19"/>
  <c r="B19"/>
  <c r="D19" s="1"/>
  <c r="N17"/>
  <c r="B17"/>
  <c r="D17" s="1"/>
  <c r="N16"/>
  <c r="B16"/>
  <c r="D16" s="1"/>
  <c r="N15"/>
  <c r="B15"/>
  <c r="D15" s="1"/>
  <c r="N14"/>
  <c r="B14"/>
  <c r="D14" s="1"/>
  <c r="N13"/>
  <c r="D13"/>
  <c r="B13"/>
  <c r="N12"/>
  <c r="B12"/>
  <c r="D12" s="1"/>
  <c r="N11"/>
  <c r="B11"/>
  <c r="D11" s="1"/>
  <c r="N9"/>
  <c r="B9"/>
  <c r="D9" s="1"/>
  <c r="N8"/>
  <c r="B8"/>
  <c r="N6"/>
  <c r="B6"/>
  <c r="D6" s="1"/>
  <c r="H27" i="5" l="1"/>
  <c r="K14"/>
  <c r="J47"/>
  <c r="K24"/>
  <c r="K26"/>
  <c r="H49"/>
  <c r="K45"/>
  <c r="K43" s="1"/>
  <c r="J8"/>
  <c r="K8" s="1"/>
  <c r="H28"/>
  <c r="H50" s="1"/>
  <c r="K10"/>
  <c r="K12"/>
  <c r="K17"/>
  <c r="K19"/>
  <c r="K21"/>
  <c r="K23"/>
  <c r="C11"/>
  <c r="C13"/>
  <c r="C12"/>
  <c r="C14"/>
  <c r="C15"/>
  <c r="F8"/>
  <c r="F7" s="1"/>
  <c r="G9"/>
  <c r="J9"/>
  <c r="J11"/>
  <c r="K11" s="1"/>
  <c r="J13"/>
  <c r="K13" s="1"/>
  <c r="K15"/>
  <c r="C17"/>
  <c r="C19"/>
  <c r="C21"/>
  <c r="C23"/>
  <c r="C24"/>
  <c r="C26"/>
  <c r="K9"/>
  <c r="C16"/>
  <c r="C18"/>
  <c r="C20"/>
  <c r="C22"/>
  <c r="C25"/>
  <c r="J16"/>
  <c r="K16" s="1"/>
  <c r="J18"/>
  <c r="K18" s="1"/>
  <c r="J20"/>
  <c r="K20" s="1"/>
  <c r="J22"/>
  <c r="K22" s="1"/>
  <c r="J25"/>
  <c r="K25" s="1"/>
  <c r="J32"/>
  <c r="J49" s="1"/>
  <c r="K36"/>
  <c r="K41" s="1"/>
  <c r="K33"/>
  <c r="K35" s="1"/>
  <c r="K42"/>
  <c r="B30" i="3"/>
  <c r="D8"/>
  <c r="N27"/>
  <c r="C27"/>
  <c r="B27"/>
  <c r="B96" s="1"/>
  <c r="D20"/>
  <c r="K47" i="5" l="1"/>
  <c r="K49"/>
  <c r="F25"/>
  <c r="G25" s="1"/>
  <c r="E27"/>
  <c r="E28" s="1"/>
  <c r="C10"/>
  <c r="K27"/>
  <c r="K28" s="1"/>
  <c r="K50" s="1"/>
  <c r="F26"/>
  <c r="G26" s="1"/>
  <c r="F21"/>
  <c r="G21" s="1"/>
  <c r="F17"/>
  <c r="G17" s="1"/>
  <c r="F14"/>
  <c r="G14" s="1"/>
  <c r="G8"/>
  <c r="G7" s="1"/>
  <c r="F13"/>
  <c r="G13" s="1"/>
  <c r="F11"/>
  <c r="G11" s="1"/>
  <c r="K7"/>
  <c r="F22"/>
  <c r="G22" s="1"/>
  <c r="F20"/>
  <c r="G20" s="1"/>
  <c r="F18"/>
  <c r="G18" s="1"/>
  <c r="F16"/>
  <c r="G16" s="1"/>
  <c r="F24"/>
  <c r="G24" s="1"/>
  <c r="F23"/>
  <c r="G23" s="1"/>
  <c r="F19"/>
  <c r="G19" s="1"/>
  <c r="J27"/>
  <c r="J28" s="1"/>
  <c r="J50" s="1"/>
  <c r="J7"/>
  <c r="F15"/>
  <c r="G15" s="1"/>
  <c r="F12"/>
  <c r="G12" s="1"/>
  <c r="D27" i="3"/>
  <c r="E31" s="1"/>
  <c r="E60" s="1"/>
  <c r="J28" s="1"/>
  <c r="K28" s="1"/>
  <c r="D30"/>
  <c r="F10" i="5" l="1"/>
  <c r="F27" s="1"/>
  <c r="F28" s="1"/>
  <c r="F50" s="1"/>
  <c r="C27"/>
  <c r="C28" s="1"/>
  <c r="C50" s="1"/>
  <c r="E22" i="3"/>
  <c r="F22" s="1"/>
  <c r="E19"/>
  <c r="F19" s="1"/>
  <c r="E15"/>
  <c r="F15" s="1"/>
  <c r="E6"/>
  <c r="E11"/>
  <c r="F11" s="1"/>
  <c r="E9"/>
  <c r="F9" s="1"/>
  <c r="E12"/>
  <c r="F12" s="1"/>
  <c r="E23"/>
  <c r="F23" s="1"/>
  <c r="E26"/>
  <c r="F26" s="1"/>
  <c r="E13"/>
  <c r="F13" s="1"/>
  <c r="E14"/>
  <c r="F14" s="1"/>
  <c r="E16"/>
  <c r="F16" s="1"/>
  <c r="E25"/>
  <c r="F25" s="1"/>
  <c r="E17"/>
  <c r="F17" s="1"/>
  <c r="E21"/>
  <c r="F21" s="1"/>
  <c r="E8"/>
  <c r="E20"/>
  <c r="F20" s="1"/>
  <c r="G10" i="5" l="1"/>
  <c r="G27" s="1"/>
  <c r="G28" s="1"/>
  <c r="G50" s="1"/>
  <c r="E30" i="3"/>
  <c r="F8"/>
  <c r="F30" s="1"/>
  <c r="E27"/>
  <c r="F6"/>
  <c r="F27" s="1"/>
  <c r="K31" l="1"/>
  <c r="P31" s="1"/>
  <c r="O31" s="1"/>
  <c r="O5" s="1"/>
  <c r="O13" l="1"/>
  <c r="P13" s="1"/>
  <c r="O25"/>
  <c r="P25" s="1"/>
  <c r="O16"/>
  <c r="P16" s="1"/>
  <c r="O14"/>
  <c r="P14" s="1"/>
  <c r="O11"/>
  <c r="P11" s="1"/>
  <c r="O6"/>
  <c r="O7"/>
  <c r="O15"/>
  <c r="P15" s="1"/>
  <c r="O8"/>
  <c r="P8" s="1"/>
  <c r="O17"/>
  <c r="P17" s="1"/>
  <c r="O22"/>
  <c r="P22" s="1"/>
  <c r="O23"/>
  <c r="P23" s="1"/>
  <c r="O21"/>
  <c r="P21" s="1"/>
  <c r="O10"/>
  <c r="O9"/>
  <c r="P9" s="1"/>
  <c r="O20"/>
  <c r="P20" s="1"/>
  <c r="O19"/>
  <c r="P19" s="1"/>
  <c r="O12"/>
  <c r="P12" s="1"/>
  <c r="O26"/>
  <c r="P26" s="1"/>
  <c r="J31"/>
  <c r="J5" s="1"/>
  <c r="J12" l="1"/>
  <c r="K12" s="1"/>
  <c r="J13"/>
  <c r="K13" s="1"/>
  <c r="J17"/>
  <c r="K17" s="1"/>
  <c r="J22"/>
  <c r="K22" s="1"/>
  <c r="J8"/>
  <c r="K8" s="1"/>
  <c r="J14"/>
  <c r="K14" s="1"/>
  <c r="J19"/>
  <c r="K19" s="1"/>
  <c r="J23"/>
  <c r="K23" s="1"/>
  <c r="J6"/>
  <c r="J9"/>
  <c r="K9" s="1"/>
  <c r="J15"/>
  <c r="K15" s="1"/>
  <c r="J20"/>
  <c r="K20" s="1"/>
  <c r="J26"/>
  <c r="K26" s="1"/>
  <c r="J11"/>
  <c r="K11" s="1"/>
  <c r="J16"/>
  <c r="K16" s="1"/>
  <c r="J21"/>
  <c r="K21" s="1"/>
  <c r="J25"/>
  <c r="K25" s="1"/>
  <c r="O27"/>
  <c r="P6"/>
  <c r="P27" s="1"/>
  <c r="K6" l="1"/>
  <c r="K27" s="1"/>
  <c r="J27"/>
  <c r="Q23" i="2" l="1"/>
  <c r="Q24"/>
  <c r="Q25"/>
  <c r="Q22"/>
  <c r="Q11"/>
  <c r="Q12"/>
  <c r="Q13"/>
  <c r="Q14"/>
  <c r="Q15"/>
  <c r="Q16"/>
  <c r="Q17"/>
  <c r="Q18"/>
  <c r="Q19"/>
  <c r="Q20"/>
  <c r="Q10"/>
  <c r="F21"/>
  <c r="Q21" l="1"/>
  <c r="H21" l="1"/>
  <c r="H26" s="1"/>
  <c r="J25"/>
  <c r="M25" s="1"/>
  <c r="L25" s="1"/>
  <c r="J24"/>
  <c r="M24" s="1"/>
  <c r="L24" s="1"/>
  <c r="J23"/>
  <c r="J22"/>
  <c r="M22" s="1"/>
  <c r="K21"/>
  <c r="K26" s="1"/>
  <c r="I21"/>
  <c r="I26" s="1"/>
  <c r="J20"/>
  <c r="M20" s="1"/>
  <c r="L20" s="1"/>
  <c r="J19"/>
  <c r="M19" s="1"/>
  <c r="L19" s="1"/>
  <c r="J18"/>
  <c r="M18" s="1"/>
  <c r="L18" s="1"/>
  <c r="J17"/>
  <c r="M17" s="1"/>
  <c r="L17" s="1"/>
  <c r="J16"/>
  <c r="M16" s="1"/>
  <c r="L16" s="1"/>
  <c r="J15"/>
  <c r="M15" s="1"/>
  <c r="L15" s="1"/>
  <c r="J14"/>
  <c r="M14" s="1"/>
  <c r="L14" s="1"/>
  <c r="J13"/>
  <c r="M13" s="1"/>
  <c r="L13" s="1"/>
  <c r="J12"/>
  <c r="M12" s="1"/>
  <c r="L12" s="1"/>
  <c r="J11"/>
  <c r="M11" s="1"/>
  <c r="L11" s="1"/>
  <c r="J10"/>
  <c r="G21"/>
  <c r="E21"/>
  <c r="J21" l="1"/>
  <c r="J26" s="1"/>
  <c r="K27" s="1"/>
  <c r="L22"/>
  <c r="M10"/>
  <c r="M23"/>
  <c r="L23" s="1"/>
  <c r="L10" l="1"/>
  <c r="M21"/>
  <c r="M26" l="1"/>
  <c r="M27" s="1"/>
  <c r="L21"/>
  <c r="L26" l="1"/>
  <c r="O21" l="1"/>
  <c r="O17"/>
  <c r="O16"/>
  <c r="O20"/>
  <c r="O19"/>
  <c r="O11"/>
  <c r="O12"/>
  <c r="O13"/>
  <c r="O14"/>
  <c r="O10"/>
  <c r="O26" l="1"/>
  <c r="D23" l="1"/>
  <c r="G23" s="1"/>
  <c r="F23" s="1"/>
  <c r="C21"/>
  <c r="C26" s="1"/>
  <c r="E26"/>
  <c r="N21"/>
  <c r="N26" s="1"/>
  <c r="B21"/>
  <c r="B26" s="1"/>
  <c r="D22"/>
  <c r="D21" s="1"/>
  <c r="P22"/>
  <c r="S22" s="1"/>
  <c r="R22" s="1"/>
  <c r="P23"/>
  <c r="S23" s="1"/>
  <c r="R23" s="1"/>
  <c r="P25"/>
  <c r="P24"/>
  <c r="D24"/>
  <c r="G24" s="1"/>
  <c r="F24" s="1"/>
  <c r="P20"/>
  <c r="D20"/>
  <c r="G20" s="1"/>
  <c r="F20" s="1"/>
  <c r="P19"/>
  <c r="D19"/>
  <c r="G19" s="1"/>
  <c r="F19" s="1"/>
  <c r="P18"/>
  <c r="D18"/>
  <c r="G18" s="1"/>
  <c r="F18" s="1"/>
  <c r="P17"/>
  <c r="D17"/>
  <c r="G17" s="1"/>
  <c r="F17" s="1"/>
  <c r="P16"/>
  <c r="D16"/>
  <c r="G16" s="1"/>
  <c r="F16" s="1"/>
  <c r="P15"/>
  <c r="D15"/>
  <c r="G15" s="1"/>
  <c r="F15" s="1"/>
  <c r="P14"/>
  <c r="D14"/>
  <c r="G14" s="1"/>
  <c r="F14" s="1"/>
  <c r="P13"/>
  <c r="D13"/>
  <c r="G13" s="1"/>
  <c r="F13" s="1"/>
  <c r="P12"/>
  <c r="D12"/>
  <c r="G12" s="1"/>
  <c r="F12" s="1"/>
  <c r="D11"/>
  <c r="G11" s="1"/>
  <c r="F11" s="1"/>
  <c r="Q26"/>
  <c r="P10"/>
  <c r="D10"/>
  <c r="R21" l="1"/>
  <c r="S21"/>
  <c r="P21"/>
  <c r="G22"/>
  <c r="S12"/>
  <c r="R12" s="1"/>
  <c r="S17"/>
  <c r="R17" s="1"/>
  <c r="S13"/>
  <c r="R13" s="1"/>
  <c r="S14"/>
  <c r="R14" s="1"/>
  <c r="S18"/>
  <c r="R18" s="1"/>
  <c r="S19"/>
  <c r="R19" s="1"/>
  <c r="S15"/>
  <c r="R15" s="1"/>
  <c r="S24"/>
  <c r="R24" s="1"/>
  <c r="S16"/>
  <c r="R16" s="1"/>
  <c r="S20"/>
  <c r="R20" s="1"/>
  <c r="D25"/>
  <c r="G25" s="1"/>
  <c r="F25" s="1"/>
  <c r="S25"/>
  <c r="R25" s="1"/>
  <c r="S10"/>
  <c r="P11"/>
  <c r="S11" s="1"/>
  <c r="R11" s="1"/>
  <c r="G10"/>
  <c r="S26" l="1"/>
  <c r="R26" s="1"/>
  <c r="P26"/>
  <c r="Q27" s="1"/>
  <c r="D26"/>
  <c r="E27" s="1"/>
  <c r="F22"/>
  <c r="G26"/>
  <c r="F10"/>
  <c r="R10"/>
  <c r="S27" l="1"/>
  <c r="F26"/>
  <c r="G27"/>
  <c r="R21" i="1"/>
  <c r="Q21"/>
  <c r="O21"/>
  <c r="M21"/>
  <c r="K21"/>
  <c r="P21" s="1"/>
  <c r="G21"/>
  <c r="F21"/>
  <c r="R20"/>
  <c r="Q20"/>
  <c r="O20"/>
  <c r="M20"/>
  <c r="K20"/>
  <c r="P20" s="1"/>
  <c r="G20"/>
  <c r="F20"/>
  <c r="R19"/>
  <c r="Q19"/>
  <c r="O19"/>
  <c r="M19"/>
  <c r="K19"/>
  <c r="P19" s="1"/>
  <c r="G19"/>
  <c r="F19"/>
  <c r="R18"/>
  <c r="Q18"/>
  <c r="O18"/>
  <c r="M18"/>
  <c r="K18"/>
  <c r="P18" s="1"/>
  <c r="G18"/>
  <c r="F18"/>
  <c r="U17"/>
  <c r="U22" s="1"/>
  <c r="R17"/>
  <c r="I17"/>
  <c r="I22" s="1"/>
  <c r="H17"/>
  <c r="Q17" s="1"/>
  <c r="F17"/>
  <c r="E17"/>
  <c r="G17" s="1"/>
  <c r="D17"/>
  <c r="C17"/>
  <c r="R16"/>
  <c r="Q16"/>
  <c r="O16"/>
  <c r="M16"/>
  <c r="K16"/>
  <c r="P16" s="1"/>
  <c r="G16"/>
  <c r="F16"/>
  <c r="R15"/>
  <c r="Q15"/>
  <c r="O15"/>
  <c r="M15"/>
  <c r="K15"/>
  <c r="G15"/>
  <c r="F15"/>
  <c r="R14"/>
  <c r="Q14"/>
  <c r="O14"/>
  <c r="M14"/>
  <c r="K14"/>
  <c r="G14"/>
  <c r="F14"/>
  <c r="R13"/>
  <c r="Q13"/>
  <c r="O13"/>
  <c r="M13"/>
  <c r="K13"/>
  <c r="G13"/>
  <c r="F13"/>
  <c r="R12"/>
  <c r="Q12"/>
  <c r="O12"/>
  <c r="M12"/>
  <c r="K12"/>
  <c r="P12" s="1"/>
  <c r="G12"/>
  <c r="F12"/>
  <c r="A12"/>
  <c r="A13" s="1"/>
  <c r="R11"/>
  <c r="Q11"/>
  <c r="O11"/>
  <c r="M11"/>
  <c r="K11"/>
  <c r="P11" s="1"/>
  <c r="G11"/>
  <c r="F11"/>
  <c r="R10"/>
  <c r="Q10"/>
  <c r="O10"/>
  <c r="M10"/>
  <c r="K10"/>
  <c r="P10" s="1"/>
  <c r="G10"/>
  <c r="F10"/>
  <c r="H9"/>
  <c r="H22" s="1"/>
  <c r="F9"/>
  <c r="E9"/>
  <c r="E22" s="1"/>
  <c r="D9"/>
  <c r="D22" s="1"/>
  <c r="C9"/>
  <c r="C22" s="1"/>
  <c r="R8"/>
  <c r="Q8"/>
  <c r="O8"/>
  <c r="M8"/>
  <c r="K8"/>
  <c r="P8" s="1"/>
  <c r="G8"/>
  <c r="F8"/>
  <c r="R7"/>
  <c r="Q7"/>
  <c r="O7"/>
  <c r="M7"/>
  <c r="K7"/>
  <c r="P7" s="1"/>
  <c r="G7"/>
  <c r="F7"/>
  <c r="R6"/>
  <c r="Q6"/>
  <c r="O6"/>
  <c r="M6"/>
  <c r="K6"/>
  <c r="G6"/>
  <c r="F6"/>
  <c r="Q22" l="1"/>
  <c r="O22"/>
  <c r="M22"/>
  <c r="K9"/>
  <c r="M9"/>
  <c r="O9"/>
  <c r="Q9"/>
  <c r="J12"/>
  <c r="L12"/>
  <c r="N12"/>
  <c r="P13"/>
  <c r="N13"/>
  <c r="J6"/>
  <c r="L6"/>
  <c r="N6"/>
  <c r="P6"/>
  <c r="J7"/>
  <c r="L7"/>
  <c r="N7"/>
  <c r="J8"/>
  <c r="L8"/>
  <c r="N8"/>
  <c r="G22"/>
  <c r="G9"/>
  <c r="R9"/>
  <c r="J10"/>
  <c r="L10"/>
  <c r="N10"/>
  <c r="J11"/>
  <c r="L11"/>
  <c r="N11"/>
  <c r="J13"/>
  <c r="L13"/>
  <c r="P14"/>
  <c r="N14"/>
  <c r="L14"/>
  <c r="J14"/>
  <c r="P15"/>
  <c r="N15"/>
  <c r="L15"/>
  <c r="J15"/>
  <c r="J16"/>
  <c r="L16"/>
  <c r="N16"/>
  <c r="K17"/>
  <c r="M17"/>
  <c r="O17"/>
  <c r="J18"/>
  <c r="L18"/>
  <c r="N18"/>
  <c r="J19"/>
  <c r="L19"/>
  <c r="N19"/>
  <c r="J20"/>
  <c r="L20"/>
  <c r="N20"/>
  <c r="J21"/>
  <c r="L21"/>
  <c r="N21"/>
  <c r="R22" l="1"/>
  <c r="S23" s="1"/>
  <c r="P17"/>
  <c r="N17"/>
  <c r="L17"/>
  <c r="J17"/>
  <c r="P9"/>
  <c r="N9"/>
  <c r="L9"/>
  <c r="J9"/>
  <c r="K22"/>
  <c r="S21" l="1"/>
  <c r="T21" s="1"/>
  <c r="S20"/>
  <c r="T20" s="1"/>
  <c r="S19"/>
  <c r="T19" s="1"/>
  <c r="S18"/>
  <c r="S16"/>
  <c r="T16" s="1"/>
  <c r="S12"/>
  <c r="T12" s="1"/>
  <c r="S6"/>
  <c r="S15"/>
  <c r="T15" s="1"/>
  <c r="S14"/>
  <c r="T14" s="1"/>
  <c r="S13"/>
  <c r="T13" s="1"/>
  <c r="S11"/>
  <c r="T11" s="1"/>
  <c r="S10"/>
  <c r="T10" s="1"/>
  <c r="S9"/>
  <c r="T9" s="1"/>
  <c r="S8"/>
  <c r="T8" s="1"/>
  <c r="S7"/>
  <c r="T7" s="1"/>
  <c r="P22"/>
  <c r="N22"/>
  <c r="L22"/>
  <c r="J22"/>
  <c r="AB7" l="1"/>
  <c r="Z7"/>
  <c r="X7"/>
  <c r="V7"/>
  <c r="AB9"/>
  <c r="Z9"/>
  <c r="X9"/>
  <c r="V9"/>
  <c r="AB11"/>
  <c r="Z11"/>
  <c r="X11"/>
  <c r="V11"/>
  <c r="Z14"/>
  <c r="V14"/>
  <c r="AB14"/>
  <c r="X14"/>
  <c r="T6"/>
  <c r="AB16"/>
  <c r="Z16"/>
  <c r="X16"/>
  <c r="V16"/>
  <c r="AB19"/>
  <c r="Z19"/>
  <c r="X19"/>
  <c r="V19"/>
  <c r="AB21"/>
  <c r="Z21"/>
  <c r="X21"/>
  <c r="V21"/>
  <c r="AB8"/>
  <c r="Z8"/>
  <c r="X8"/>
  <c r="V8"/>
  <c r="AB10"/>
  <c r="Z10"/>
  <c r="X10"/>
  <c r="V10"/>
  <c r="Z13"/>
  <c r="V13"/>
  <c r="AB13"/>
  <c r="X13"/>
  <c r="Z15"/>
  <c r="V15"/>
  <c r="AB15"/>
  <c r="X15"/>
  <c r="AB12"/>
  <c r="Z12"/>
  <c r="X12"/>
  <c r="V12"/>
  <c r="S17"/>
  <c r="T17" s="1"/>
  <c r="T18"/>
  <c r="AB20"/>
  <c r="Z20"/>
  <c r="X20"/>
  <c r="V20"/>
  <c r="AB17" l="1"/>
  <c r="Z17"/>
  <c r="X17"/>
  <c r="V17"/>
  <c r="AA20"/>
  <c r="Y20"/>
  <c r="W20"/>
  <c r="AB18"/>
  <c r="Z18"/>
  <c r="X18"/>
  <c r="V18"/>
  <c r="AA12"/>
  <c r="Y12"/>
  <c r="W12"/>
  <c r="AA15"/>
  <c r="Y15"/>
  <c r="W15"/>
  <c r="AA13"/>
  <c r="Y13"/>
  <c r="W13"/>
  <c r="AA10"/>
  <c r="Y10"/>
  <c r="W10"/>
  <c r="AA8"/>
  <c r="Y8"/>
  <c r="W8"/>
  <c r="AA21"/>
  <c r="Y21"/>
  <c r="W21"/>
  <c r="AA19"/>
  <c r="Y19"/>
  <c r="W19"/>
  <c r="AA16"/>
  <c r="Y16"/>
  <c r="W16"/>
  <c r="T22"/>
  <c r="AB6"/>
  <c r="Z6"/>
  <c r="X6"/>
  <c r="V6"/>
  <c r="AA14"/>
  <c r="Y14"/>
  <c r="W14"/>
  <c r="AA11"/>
  <c r="Y11"/>
  <c r="W11"/>
  <c r="AA9"/>
  <c r="Y9"/>
  <c r="W9"/>
  <c r="AA7"/>
  <c r="Y7"/>
  <c r="W7"/>
  <c r="S22"/>
  <c r="S25" s="1"/>
  <c r="V22" l="1"/>
  <c r="AA6"/>
  <c r="Y6"/>
  <c r="W6"/>
  <c r="AB22"/>
  <c r="Z22"/>
  <c r="X22"/>
  <c r="AA17"/>
  <c r="Y17"/>
  <c r="W17"/>
  <c r="AA18"/>
  <c r="Y18"/>
  <c r="W18"/>
  <c r="AA22" l="1"/>
  <c r="Y22"/>
  <c r="W22"/>
</calcChain>
</file>

<file path=xl/comments1.xml><?xml version="1.0" encoding="utf-8"?>
<comments xmlns="http://schemas.openxmlformats.org/spreadsheetml/2006/main">
  <authors>
    <author>user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перемещена  на ДКИТ Библиотека Автограда</t>
        </r>
      </text>
    </comment>
    <comment ref="B1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перемещена из Библиотек Тольятти Библиотека Автограда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M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перемещено с прочих 61 т.р.
+0,5 ст.методиста
</t>
        </r>
      </text>
    </comment>
    <comment ref="M2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+48
</t>
        </r>
      </text>
    </comment>
  </commentList>
</comments>
</file>

<file path=xl/sharedStrings.xml><?xml version="1.0" encoding="utf-8"?>
<sst xmlns="http://schemas.openxmlformats.org/spreadsheetml/2006/main" count="241" uniqueCount="162">
  <si>
    <t>факт средняя численность в % к штатной</t>
  </si>
  <si>
    <t>бюджет</t>
  </si>
  <si>
    <t>внебюджет</t>
  </si>
  <si>
    <t>Всего</t>
  </si>
  <si>
    <t>на 1 штатную единицу</t>
  </si>
  <si>
    <t>на плановую среднюю численность</t>
  </si>
  <si>
    <t>на фактическую среднюю численность</t>
  </si>
  <si>
    <t>всего</t>
  </si>
  <si>
    <t>МБУК "Краеведческий музей"</t>
  </si>
  <si>
    <t>МБУК ГМК "Наследие"</t>
  </si>
  <si>
    <t>МБУК "Художественный музей"</t>
  </si>
  <si>
    <t>МБУК Библиотеки Тольятти</t>
  </si>
  <si>
    <t>МБУК ОДБ</t>
  </si>
  <si>
    <t>МАУИ Драмтеатр "Колесо"</t>
  </si>
  <si>
    <t xml:space="preserve">МБУИ Театр кукол </t>
  </si>
  <si>
    <t>МБУИ МДТ</t>
  </si>
  <si>
    <t>МАУИ ТЮЗ "Дилижанс"</t>
  </si>
  <si>
    <t>МБУИиК Филармония</t>
  </si>
  <si>
    <t>МБУК ДЦ "Русич"</t>
  </si>
  <si>
    <t>МАУ ДКИТ</t>
  </si>
  <si>
    <t>ДКИТ</t>
  </si>
  <si>
    <t>Библиотека Автограда</t>
  </si>
  <si>
    <t>МАУ КДЦ "Буревестник"</t>
  </si>
  <si>
    <t>МАУК ПКИТ</t>
  </si>
  <si>
    <t>ИТОГО культура</t>
  </si>
  <si>
    <t>увеличение  на 4%</t>
  </si>
  <si>
    <t>руб.</t>
  </si>
  <si>
    <t>Всего по учреждению</t>
  </si>
  <si>
    <t>в том числе</t>
  </si>
  <si>
    <t>ФОТ руководителя в год</t>
  </si>
  <si>
    <t>ФОТ работников в год</t>
  </si>
  <si>
    <t xml:space="preserve">в том числе </t>
  </si>
  <si>
    <t>по окладам</t>
  </si>
  <si>
    <t>стимулирующие</t>
  </si>
  <si>
    <t>сумма</t>
  </si>
  <si>
    <t>МБУК "Библиотеки Тольятти"</t>
  </si>
  <si>
    <t>МБУИ "Тольяттинкий театр кукол"</t>
  </si>
  <si>
    <t>МБУИиК "Тольяттинская филармония"</t>
  </si>
  <si>
    <t>Итого</t>
  </si>
  <si>
    <t>Ямщикова О.И. 543 112</t>
  </si>
  <si>
    <t>Плановый ФОТ 2018 год (КОСГУ 211)</t>
  </si>
  <si>
    <t xml:space="preserve"> - культурно-досуговая деятельность</t>
  </si>
  <si>
    <t xml:space="preserve"> - библиотечная деятельность</t>
  </si>
  <si>
    <r>
      <t xml:space="preserve">ФОТ руководителя в год: бюджетные учреждения </t>
    </r>
    <r>
      <rPr>
        <b/>
        <sz val="8"/>
        <color theme="1"/>
        <rFont val="Times New Roman"/>
        <family val="1"/>
        <charset val="204"/>
      </rPr>
      <t>+4%</t>
    </r>
    <r>
      <rPr>
        <sz val="8"/>
        <color theme="1"/>
        <rFont val="Times New Roman"/>
        <family val="2"/>
        <charset val="204"/>
      </rPr>
      <t>; автономные учреждения по расчету (МРОТ с 01.01.2019г. - 11280 руб.)</t>
    </r>
  </si>
  <si>
    <r>
      <t xml:space="preserve">по окладам </t>
    </r>
    <r>
      <rPr>
        <b/>
        <sz val="8"/>
        <color theme="1"/>
        <rFont val="Times New Roman"/>
        <family val="1"/>
        <charset val="204"/>
      </rPr>
      <t>+4%</t>
    </r>
  </si>
  <si>
    <t>%  к окладам</t>
  </si>
  <si>
    <t>Структура фонда</t>
  </si>
  <si>
    <t>Плановый ФОТ  2019 год  учетом дополнительных ассигнований на выполнение Указа Президента РФ                                                   (КОСГУ 211)</t>
  </si>
  <si>
    <r>
      <t xml:space="preserve">Плановый ФОТ  2019 год  учетом дополнительных ассигнований на выполнение Указа Президента РФ </t>
    </r>
    <r>
      <rPr>
        <b/>
        <u/>
        <sz val="12"/>
        <color theme="1"/>
        <rFont val="Times New Roman"/>
        <family val="1"/>
        <charset val="204"/>
      </rPr>
      <t>с учетом планируемого увеличения окладов на 4%</t>
    </r>
    <r>
      <rPr>
        <sz val="12"/>
        <color theme="1"/>
        <rFont val="Times New Roman"/>
        <family val="2"/>
        <charset val="204"/>
      </rPr>
      <t xml:space="preserve"> (КОСГУ 211)</t>
    </r>
  </si>
  <si>
    <t>ФОТ руководителя в год (автономные учреждения по расчету (МРОТ с 01.01.2019г. - 11280 руб.))</t>
  </si>
  <si>
    <t xml:space="preserve">по окладам </t>
  </si>
  <si>
    <t>учреждение</t>
  </si>
  <si>
    <t>тарификация</t>
  </si>
  <si>
    <t xml:space="preserve">стимулирующий фонд </t>
  </si>
  <si>
    <t>Музыкальные школы</t>
  </si>
  <si>
    <t>Школы искусств</t>
  </si>
  <si>
    <t>Художественные школы</t>
  </si>
  <si>
    <t>Хореографическая школа</t>
  </si>
  <si>
    <t>ДК и Центры</t>
  </si>
  <si>
    <t>Перемещение по Репина</t>
  </si>
  <si>
    <t>Перемещение по ДМШ-3</t>
  </si>
  <si>
    <t>школы</t>
  </si>
  <si>
    <t>ФОТ педагогических работников (тарификация + штатное + стимулирующие)составляет</t>
  </si>
  <si>
    <r>
      <t>С изм по УПлану</t>
    </r>
    <r>
      <rPr>
        <sz val="12"/>
        <color theme="1"/>
        <rFont val="Times New Roman"/>
        <family val="2"/>
        <charset val="204"/>
      </rPr>
      <t>: муз.отд. 1,7 преп.ч., 0,4 конц.ч., театр.отд. 1,4 преп.ч., 0,2 конц.ч., хореограф.отд. 1 преп.ч., 0,3 конц.ч., худож.отд. 1</t>
    </r>
  </si>
  <si>
    <t>С изм. по контингенту:</t>
  </si>
  <si>
    <t>уменьшение контингента по общеразв.пр.</t>
  </si>
  <si>
    <t xml:space="preserve">   Гармония 4 худ., 1 хореограф., 7 муз.</t>
  </si>
  <si>
    <t xml:space="preserve">   Форте 13 худ., 14 музык.</t>
  </si>
  <si>
    <t xml:space="preserve">   Свиридова 3 музык., 1 худ.</t>
  </si>
  <si>
    <t xml:space="preserve">   ДШИ-1 10 муз.</t>
  </si>
  <si>
    <t xml:space="preserve">   ДМШ-4 театр.отд. -11 с 01.09.16, -11 с 01.09.17</t>
  </si>
  <si>
    <t xml:space="preserve">   Истоки театр. -20</t>
  </si>
  <si>
    <t>ТК ФГТ живопись 2 класс 10 чел. переведены на общеразвив.пр.</t>
  </si>
  <si>
    <t>Балакирева увелич.контингента 10 чел. общеразвив.муз.отд., 10 ФГТ дух.инстр., 10 народные</t>
  </si>
  <si>
    <t>Лицей искусств прием на ФГТ по заявке учреждения на 01.09.16 и на 01.09.17</t>
  </si>
  <si>
    <t>ДДК 60 театрал.отд. перевести на музык.отд.30, прием 30 хореографы</t>
  </si>
  <si>
    <t>ДМШ-4 ФГТ на 01.09.15 г. убрать на общеразвивающие программы: 139 муз., 15 театр.</t>
  </si>
  <si>
    <t>изменение ФОТ, УМЕНЬШЕН НА 7005 т.р. на штатное прочих работников</t>
  </si>
  <si>
    <t xml:space="preserve">ДШИ-1 ФГТ на 01.09.15 г. убратьна общеразвивающие программы: 40муз, 20 худож. </t>
  </si>
  <si>
    <t>Гармония ФГТ на 01.09.15 г. убратьна общеразвивающие программы: 25 муз., 14 хореографы</t>
  </si>
  <si>
    <t>пед.работники штатное +4%</t>
  </si>
  <si>
    <t>пед.работники штатное</t>
  </si>
  <si>
    <t>итого педработники з/пл</t>
  </si>
  <si>
    <t xml:space="preserve">всего ФОТ пед.работников в 2018 г. </t>
  </si>
  <si>
    <t xml:space="preserve">всего ФОТ пед.работников в 2019 г. </t>
  </si>
  <si>
    <t>тарификация +4% и  по высшей категории</t>
  </si>
  <si>
    <t>Предусмотрено Едиными рекомендациями</t>
  </si>
  <si>
    <t>не менее 70%</t>
  </si>
  <si>
    <t xml:space="preserve">Предусмотрено Едиными рекомендациями </t>
  </si>
  <si>
    <t>60-70%</t>
  </si>
  <si>
    <t>с учетом компенсационных</t>
  </si>
  <si>
    <t>30-40%</t>
  </si>
  <si>
    <t>Плановый ФОТ педагогических работников 2018 год</t>
  </si>
  <si>
    <t>Информация о распределении дополнительных ассигнований на реализацию Указа Президента РФ в 2019 году по учреждениям культуры, находящимся в ведомственном подчинении департамента культуры</t>
  </si>
  <si>
    <t xml:space="preserve">Расчет  средств на оплату труда педагогических работников учреждений дополнительного образования на 2019 года  </t>
  </si>
  <si>
    <t xml:space="preserve">Дополнительные асссигнования на индексацию на 4% в 2019 году заработной платы работников муниципальных учрежденияй,  на которых не распространяется действие Указов  Президента РФ </t>
  </si>
  <si>
    <t>ФОТ</t>
  </si>
  <si>
    <t>начисления на ФОТ 29,5%</t>
  </si>
  <si>
    <t>педагогических работников</t>
  </si>
  <si>
    <t>прочих работников</t>
  </si>
  <si>
    <t>МБОУ ВО Тольяттинская консерватория</t>
  </si>
  <si>
    <t xml:space="preserve"> - по разделу 0706 Высшее образование</t>
  </si>
  <si>
    <t xml:space="preserve"> - по разделу 0703 дополнит. образование</t>
  </si>
  <si>
    <t>МБУ ДО ШИ ЦР</t>
  </si>
  <si>
    <t>МБУ ДО МШ-3</t>
  </si>
  <si>
    <t>МБУ ДО МШ-4 им.Свердлова</t>
  </si>
  <si>
    <t>МБУ ДО ШИ "Лицей искусств"</t>
  </si>
  <si>
    <t>МБУ ДО ДШИ им.Балакирева</t>
  </si>
  <si>
    <t>МБУ ДО ШИ-1</t>
  </si>
  <si>
    <t>МБУ ДО ШИ им.Свиридова</t>
  </si>
  <si>
    <t>МБУ ДО ДШИ "Камертон"</t>
  </si>
  <si>
    <t>МБУ ДО ДШИ "Гармония"</t>
  </si>
  <si>
    <t>МБУ ДО ДШИ "Форте"</t>
  </si>
  <si>
    <t>МБУ ДО ХШ-1</t>
  </si>
  <si>
    <t>МБУ ДО ХШ им.Репина</t>
  </si>
  <si>
    <t>МБУ ДО ДХШ-3</t>
  </si>
  <si>
    <t>МБУ ДО ДХШ им.М.Шагала</t>
  </si>
  <si>
    <t>МБУ ДО Хореографическая школа</t>
  </si>
  <si>
    <t>МБУ ДО ДДК</t>
  </si>
  <si>
    <t>МБУ ДО ЦРТДЮ "Истоки"</t>
  </si>
  <si>
    <t>Итого  0703 дополнит. образование</t>
  </si>
  <si>
    <t>ИТОГО образование</t>
  </si>
  <si>
    <t>Итого музеи</t>
  </si>
  <si>
    <t>Итого библиотеки</t>
  </si>
  <si>
    <t>Итого театры и концертные организации</t>
  </si>
  <si>
    <t xml:space="preserve"> - КДУ</t>
  </si>
  <si>
    <t>Итого по КДУ</t>
  </si>
  <si>
    <t>ВСЕГО по ГРБС</t>
  </si>
  <si>
    <t>Дополнительные ассигнования на выполнение Указов Президента РФ</t>
  </si>
  <si>
    <t>тыс.руб.</t>
  </si>
  <si>
    <t>Штатная численность на 01.06.2018, ед.</t>
  </si>
  <si>
    <t>Средняя численность план 2018, чел.</t>
  </si>
  <si>
    <t>Средняя численность факт 5 мес.2018, чел.</t>
  </si>
  <si>
    <t>Количество ставок на фактическую среднюю численность, ед.</t>
  </si>
  <si>
    <t>бюджет, тыс.руб.</t>
  </si>
  <si>
    <t>внебюджет, тыс.руб.</t>
  </si>
  <si>
    <t>Доля внебюджета, %</t>
  </si>
  <si>
    <t>Средняя заработная плата, руб.</t>
  </si>
  <si>
    <t>Дополнительные ассигнования на реализацию Указов Президента РФ в 2019г. (КОСГУ 211), тыс.руб.</t>
  </si>
  <si>
    <t>Проект бюджета на 2019г. (КОСГУ 211)</t>
  </si>
  <si>
    <t>Проект бюджета на 2019г. с учетом доп.ассигнований (КОСГУ 211), тыс.руб.</t>
  </si>
  <si>
    <t>Средняя заработная плата с учетом доп.ассигнований, руб.</t>
  </si>
  <si>
    <t>в т.ч. педагогических работников</t>
  </si>
  <si>
    <t>ВПО ТК / МБУ ДО ШИ ЦР</t>
  </si>
  <si>
    <t>МБУ ДО МШ № 3</t>
  </si>
  <si>
    <t>МБУ ДО МШ №4 им.Свердлова</t>
  </si>
  <si>
    <t>МБУ ДО ДШИ им. Балакирева</t>
  </si>
  <si>
    <t>МБУ ДО ШИ № 1</t>
  </si>
  <si>
    <t>МБУ ДО ДШИ Гармония</t>
  </si>
  <si>
    <t>МБУ ДОДШИ Камертон</t>
  </si>
  <si>
    <t xml:space="preserve">МБУ ДО ДШИ "Форте" </t>
  </si>
  <si>
    <t>МБУ ДО ХШ № 1</t>
  </si>
  <si>
    <t>МБУ ДО ДХШ № 3</t>
  </si>
  <si>
    <t>МБУ ДО ХШ им.Шагала</t>
  </si>
  <si>
    <t xml:space="preserve">МБУ ДО ДДК </t>
  </si>
  <si>
    <t>МБУ ДО ЦТДиЮ "Истоки"</t>
  </si>
  <si>
    <t xml:space="preserve">Итого </t>
  </si>
  <si>
    <t>Информация о дополнительных ассигнованиях, предусмотренных в бюджете городского округа Тольятти на 2019 год на  индексацию на 4%  заработной платы работников муниципальных учрежденияй,  на которых не распространяется действие Указов  Президента РФ, и   на выполнение Указов Президента РФ</t>
  </si>
  <si>
    <r>
      <t>Плановый ФОТ педагогических работников  2019 года  с учетом дополнительных ассигнований на выполнение Указов Президента РФ и  индексацию на 4% внешних совместителей</t>
    </r>
    <r>
      <rPr>
        <b/>
        <u/>
        <sz val="8"/>
        <rFont val="Times New Roman"/>
        <family val="1"/>
        <charset val="204"/>
      </rPr>
      <t>без учета планируемых изменений</t>
    </r>
  </si>
  <si>
    <r>
      <t xml:space="preserve">Плановый ФОТ педагогических работников 2019 года с учетом дополнительных ассигнований на выполнение Указов Президента РФ и индексацию на 4% внешних совместителей  </t>
    </r>
    <r>
      <rPr>
        <b/>
        <u/>
        <sz val="8"/>
        <rFont val="Times New Roman"/>
        <family val="1"/>
        <charset val="204"/>
      </rPr>
      <t>с  учетом планируемых изменений</t>
    </r>
  </si>
  <si>
    <t>Расчет ФОТ после увеличения должностных окладов работников учреждений культуры и искусства, находящихся в ведомственном подчинении департамента культуры, в 2019 году</t>
  </si>
  <si>
    <t>на выравнивание средней зарплаты</t>
  </si>
</sst>
</file>

<file path=xl/styles.xml><?xml version="1.0" encoding="utf-8"?>
<styleSheet xmlns="http://schemas.openxmlformats.org/spreadsheetml/2006/main">
  <numFmts count="5">
    <numFmt numFmtId="164" formatCode="_-* #,##0,_р_._-;\-* #,##0,_р_._-;_-* &quot;- &quot;_р_._-;_-@_-"/>
    <numFmt numFmtId="165" formatCode="_-* #,##0.00,_р_._-;\-* #,##0.00,_р_._-;_-* \-??\ _р_._-;_-@_-"/>
    <numFmt numFmtId="166" formatCode="0.0%"/>
    <numFmt numFmtId="167" formatCode="0.00000"/>
    <numFmt numFmtId="168" formatCode="#,##0.0000"/>
  </numFmts>
  <fonts count="42">
    <font>
      <sz val="12"/>
      <color theme="1"/>
      <name val="Times New Roman"/>
      <family val="2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sz val="8"/>
      <name val="Times New Roman Cyr"/>
      <charset val="204"/>
    </font>
    <font>
      <sz val="6"/>
      <name val="Times New Roman Cyr"/>
      <charset val="204"/>
    </font>
    <font>
      <sz val="8"/>
      <name val="Times New Roman"/>
      <family val="1"/>
      <charset val="204"/>
    </font>
    <font>
      <i/>
      <sz val="10"/>
      <name val="Times New Roman Cyr"/>
      <charset val="204"/>
    </font>
    <font>
      <i/>
      <sz val="8"/>
      <name val="Times New Roman"/>
      <family val="1"/>
      <charset val="204"/>
    </font>
    <font>
      <i/>
      <sz val="8"/>
      <name val="Times New Roman Cyr"/>
      <charset val="204"/>
    </font>
    <font>
      <b/>
      <i/>
      <sz val="10"/>
      <name val="Times New Roman Cyr"/>
      <charset val="204"/>
    </font>
    <font>
      <b/>
      <i/>
      <sz val="8"/>
      <name val="Times New Roman Cyr"/>
      <charset val="204"/>
    </font>
    <font>
      <b/>
      <i/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2"/>
      <charset val="204"/>
    </font>
    <font>
      <b/>
      <sz val="8"/>
      <color theme="1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i/>
      <sz val="10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b/>
      <u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6"/>
      <name val="Times New Roman Cyr"/>
      <charset val="204"/>
    </font>
    <font>
      <b/>
      <sz val="8"/>
      <name val="Times New Roman Cyr"/>
      <charset val="204"/>
    </font>
    <font>
      <sz val="8"/>
      <name val="Times New Roman Cyr"/>
      <family val="1"/>
      <charset val="204"/>
    </font>
    <font>
      <i/>
      <sz val="8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0" fillId="0" borderId="0"/>
  </cellStyleXfs>
  <cellXfs count="203">
    <xf numFmtId="0" fontId="0" fillId="0" borderId="0" xfId="0"/>
    <xf numFmtId="0" fontId="1" fillId="0" borderId="0" xfId="1"/>
    <xf numFmtId="0" fontId="5" fillId="0" borderId="11" xfId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7" fillId="0" borderId="1" xfId="3" applyFont="1" applyBorder="1"/>
    <xf numFmtId="0" fontId="7" fillId="0" borderId="1" xfId="3" applyFont="1" applyBorder="1" applyAlignment="1">
      <alignment horizontal="right"/>
    </xf>
    <xf numFmtId="0" fontId="7" fillId="0" borderId="1" xfId="3" applyNumberFormat="1" applyFont="1" applyBorder="1" applyAlignment="1">
      <alignment horizontal="right"/>
    </xf>
    <xf numFmtId="0" fontId="5" fillId="0" borderId="1" xfId="2" applyNumberFormat="1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right" vertical="center"/>
    </xf>
    <xf numFmtId="0" fontId="5" fillId="2" borderId="1" xfId="2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right" vertical="center" wrapText="1"/>
    </xf>
    <xf numFmtId="49" fontId="7" fillId="0" borderId="1" xfId="3" applyNumberFormat="1" applyFont="1" applyBorder="1" applyAlignment="1">
      <alignment horizontal="left"/>
    </xf>
    <xf numFmtId="0" fontId="3" fillId="0" borderId="0" xfId="1" applyFont="1"/>
    <xf numFmtId="0" fontId="8" fillId="0" borderId="1" xfId="2" applyFont="1" applyFill="1" applyBorder="1" applyAlignment="1">
      <alignment horizontal="center" vertical="center" wrapText="1"/>
    </xf>
    <xf numFmtId="49" fontId="9" fillId="0" borderId="1" xfId="3" applyNumberFormat="1" applyFont="1" applyBorder="1" applyAlignment="1">
      <alignment horizontal="left"/>
    </xf>
    <xf numFmtId="0" fontId="9" fillId="0" borderId="1" xfId="3" applyNumberFormat="1" applyFont="1" applyBorder="1" applyAlignment="1">
      <alignment horizontal="right"/>
    </xf>
    <xf numFmtId="0" fontId="10" fillId="0" borderId="1" xfId="2" applyNumberFormat="1" applyFont="1" applyFill="1" applyBorder="1" applyAlignment="1">
      <alignment horizontal="right" vertical="center" wrapText="1"/>
    </xf>
    <xf numFmtId="0" fontId="10" fillId="0" borderId="1" xfId="2" applyNumberFormat="1" applyFont="1" applyFill="1" applyBorder="1" applyAlignment="1">
      <alignment horizontal="right" vertical="center"/>
    </xf>
    <xf numFmtId="0" fontId="10" fillId="2" borderId="1" xfId="2" applyNumberFormat="1" applyFont="1" applyFill="1" applyBorder="1" applyAlignment="1">
      <alignment horizontal="right" vertical="center" wrapText="1"/>
    </xf>
    <xf numFmtId="0" fontId="11" fillId="0" borderId="0" xfId="1" applyFont="1"/>
    <xf numFmtId="0" fontId="7" fillId="0" borderId="1" xfId="3" applyFont="1" applyBorder="1" applyAlignment="1">
      <alignment horizontal="left"/>
    </xf>
    <xf numFmtId="0" fontId="3" fillId="0" borderId="0" xfId="1" applyFont="1" applyFill="1"/>
    <xf numFmtId="0" fontId="3" fillId="0" borderId="1" xfId="2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left" vertical="center" wrapText="1"/>
    </xf>
    <xf numFmtId="0" fontId="12" fillId="0" borderId="1" xfId="2" applyNumberFormat="1" applyFont="1" applyFill="1" applyBorder="1" applyAlignment="1">
      <alignment horizontal="right" vertical="center" wrapText="1"/>
    </xf>
    <xf numFmtId="0" fontId="13" fillId="0" borderId="1" xfId="3" applyNumberFormat="1" applyFont="1" applyBorder="1" applyAlignment="1">
      <alignment horizontal="right"/>
    </xf>
    <xf numFmtId="0" fontId="12" fillId="0" borderId="1" xfId="2" applyNumberFormat="1" applyFont="1" applyFill="1" applyBorder="1" applyAlignment="1">
      <alignment horizontal="right" vertical="center"/>
    </xf>
    <xf numFmtId="0" fontId="1" fillId="0" borderId="0" xfId="1" applyFont="1"/>
    <xf numFmtId="0" fontId="1" fillId="0" borderId="0" xfId="1" applyBorder="1"/>
    <xf numFmtId="0" fontId="5" fillId="0" borderId="0" xfId="1" applyFont="1" applyBorder="1"/>
    <xf numFmtId="3" fontId="1" fillId="0" borderId="0" xfId="1" applyNumberFormat="1" applyFont="1"/>
    <xf numFmtId="0" fontId="5" fillId="0" borderId="0" xfId="1" applyFont="1"/>
    <xf numFmtId="0" fontId="2" fillId="0" borderId="0" xfId="1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10" applyFont="1" applyBorder="1"/>
    <xf numFmtId="0" fontId="7" fillId="0" borderId="1" xfId="10" applyNumberFormat="1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" fillId="0" borderId="1" xfId="2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right"/>
    </xf>
    <xf numFmtId="49" fontId="21" fillId="0" borderId="1" xfId="10" applyNumberFormat="1" applyFont="1" applyBorder="1" applyAlignment="1">
      <alignment horizontal="left"/>
    </xf>
    <xf numFmtId="0" fontId="18" fillId="0" borderId="1" xfId="0" applyFont="1" applyFill="1" applyBorder="1" applyAlignment="1">
      <alignment horizontal="right"/>
    </xf>
    <xf numFmtId="0" fontId="21" fillId="0" borderId="1" xfId="10" applyFont="1" applyBorder="1" applyAlignment="1">
      <alignment horizontal="left"/>
    </xf>
    <xf numFmtId="0" fontId="17" fillId="0" borderId="1" xfId="0" applyFont="1" applyBorder="1"/>
    <xf numFmtId="0" fontId="19" fillId="0" borderId="1" xfId="0" applyFont="1" applyBorder="1"/>
    <xf numFmtId="0" fontId="19" fillId="0" borderId="1" xfId="0" applyFont="1" applyBorder="1" applyAlignment="1">
      <alignment horizontal="right"/>
    </xf>
    <xf numFmtId="0" fontId="17" fillId="0" borderId="0" xfId="0" applyFont="1"/>
    <xf numFmtId="0" fontId="22" fillId="0" borderId="0" xfId="0" applyFont="1"/>
    <xf numFmtId="49" fontId="23" fillId="0" borderId="1" xfId="10" applyNumberFormat="1" applyFont="1" applyBorder="1" applyAlignment="1">
      <alignment horizontal="left"/>
    </xf>
    <xf numFmtId="0" fontId="9" fillId="0" borderId="1" xfId="10" applyNumberFormat="1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0" fontId="24" fillId="0" borderId="1" xfId="0" applyFont="1" applyFill="1" applyBorder="1" applyAlignment="1">
      <alignment horizontal="right"/>
    </xf>
    <xf numFmtId="0" fontId="24" fillId="3" borderId="1" xfId="0" applyFont="1" applyFill="1" applyBorder="1" applyAlignment="1">
      <alignment horizontal="right"/>
    </xf>
    <xf numFmtId="0" fontId="25" fillId="0" borderId="0" xfId="0" applyFont="1"/>
    <xf numFmtId="0" fontId="18" fillId="0" borderId="0" xfId="0" applyFont="1"/>
    <xf numFmtId="0" fontId="27" fillId="0" borderId="1" xfId="0" applyFont="1" applyBorder="1"/>
    <xf numFmtId="0" fontId="24" fillId="0" borderId="1" xfId="0" applyFont="1" applyBorder="1"/>
    <xf numFmtId="9" fontId="24" fillId="0" borderId="1" xfId="0" applyNumberFormat="1" applyFont="1" applyBorder="1"/>
    <xf numFmtId="166" fontId="24" fillId="0" borderId="1" xfId="0" applyNumberFormat="1" applyFont="1" applyBorder="1"/>
    <xf numFmtId="0" fontId="28" fillId="0" borderId="1" xfId="0" applyFont="1" applyBorder="1"/>
    <xf numFmtId="0" fontId="29" fillId="0" borderId="1" xfId="0" applyFont="1" applyBorder="1"/>
    <xf numFmtId="9" fontId="29" fillId="0" borderId="1" xfId="0" applyNumberFormat="1" applyFont="1" applyBorder="1"/>
    <xf numFmtId="166" fontId="29" fillId="0" borderId="1" xfId="0" applyNumberFormat="1" applyFont="1" applyBorder="1"/>
    <xf numFmtId="0" fontId="21" fillId="0" borderId="0" xfId="5" applyFont="1"/>
    <xf numFmtId="0" fontId="4" fillId="0" borderId="0" xfId="5"/>
    <xf numFmtId="0" fontId="30" fillId="0" borderId="0" xfId="5" applyFont="1" applyAlignment="1">
      <alignment horizontal="center" wrapText="1"/>
    </xf>
    <xf numFmtId="0" fontId="32" fillId="0" borderId="1" xfId="5" applyFont="1" applyBorder="1" applyAlignment="1">
      <alignment horizontal="center" vertical="center" wrapText="1"/>
    </xf>
    <xf numFmtId="167" fontId="7" fillId="5" borderId="1" xfId="5" applyNumberFormat="1" applyFont="1" applyFill="1" applyBorder="1" applyAlignment="1">
      <alignment vertical="center"/>
    </xf>
    <xf numFmtId="0" fontId="21" fillId="0" borderId="11" xfId="5" applyFont="1" applyBorder="1" applyAlignment="1">
      <alignment horizontal="left"/>
    </xf>
    <xf numFmtId="3" fontId="21" fillId="0" borderId="11" xfId="5" applyNumberFormat="1" applyFont="1" applyBorder="1" applyAlignment="1">
      <alignment horizontal="right" wrapText="1"/>
    </xf>
    <xf numFmtId="0" fontId="21" fillId="0" borderId="12" xfId="5" applyFont="1" applyBorder="1" applyAlignment="1">
      <alignment horizontal="right" wrapText="1"/>
    </xf>
    <xf numFmtId="3" fontId="21" fillId="4" borderId="1" xfId="5" applyNumberFormat="1" applyFont="1" applyFill="1" applyBorder="1" applyAlignment="1">
      <alignment horizontal="right"/>
    </xf>
    <xf numFmtId="3" fontId="21" fillId="0" borderId="11" xfId="5" applyNumberFormat="1" applyFont="1" applyBorder="1" applyAlignment="1">
      <alignment horizontal="right"/>
    </xf>
    <xf numFmtId="3" fontId="31" fillId="0" borderId="11" xfId="5" applyNumberFormat="1" applyFont="1" applyBorder="1" applyAlignment="1">
      <alignment horizontal="right"/>
    </xf>
    <xf numFmtId="0" fontId="31" fillId="4" borderId="11" xfId="5" applyFont="1" applyFill="1" applyBorder="1" applyAlignment="1">
      <alignment horizontal="center" wrapText="1"/>
    </xf>
    <xf numFmtId="0" fontId="21" fillId="4" borderId="11" xfId="5" applyFont="1" applyFill="1" applyBorder="1" applyAlignment="1">
      <alignment horizontal="right"/>
    </xf>
    <xf numFmtId="0" fontId="21" fillId="4" borderId="12" xfId="5" applyFont="1" applyFill="1" applyBorder="1" applyAlignment="1">
      <alignment horizontal="right"/>
    </xf>
    <xf numFmtId="0" fontId="21" fillId="0" borderId="11" xfId="5" applyFont="1" applyBorder="1" applyAlignment="1">
      <alignment horizontal="right"/>
    </xf>
    <xf numFmtId="0" fontId="4" fillId="0" borderId="0" xfId="5" applyBorder="1"/>
    <xf numFmtId="0" fontId="21" fillId="4" borderId="1" xfId="7" applyFont="1" applyFill="1" applyBorder="1" applyAlignment="1">
      <alignment horizontal="left" wrapText="1"/>
    </xf>
    <xf numFmtId="3" fontId="21" fillId="4" borderId="1" xfId="5" applyNumberFormat="1" applyFont="1" applyFill="1" applyBorder="1" applyAlignment="1">
      <alignment horizontal="right" wrapText="1"/>
    </xf>
    <xf numFmtId="3" fontId="21" fillId="4" borderId="3" xfId="5" applyNumberFormat="1" applyFont="1" applyFill="1" applyBorder="1" applyAlignment="1">
      <alignment horizontal="right"/>
    </xf>
    <xf numFmtId="0" fontId="21" fillId="4" borderId="1" xfId="5" applyFont="1" applyFill="1" applyBorder="1" applyAlignment="1">
      <alignment horizontal="left" wrapText="1"/>
    </xf>
    <xf numFmtId="0" fontId="31" fillId="4" borderId="1" xfId="5" applyFont="1" applyFill="1" applyBorder="1" applyAlignment="1">
      <alignment horizontal="left" wrapText="1"/>
    </xf>
    <xf numFmtId="0" fontId="21" fillId="4" borderId="3" xfId="5" applyFont="1" applyFill="1" applyBorder="1" applyAlignment="1">
      <alignment horizontal="right"/>
    </xf>
    <xf numFmtId="3" fontId="21" fillId="0" borderId="1" xfId="5" applyNumberFormat="1" applyFont="1" applyBorder="1" applyAlignment="1">
      <alignment horizontal="right"/>
    </xf>
    <xf numFmtId="3" fontId="21" fillId="0" borderId="11" xfId="5" applyNumberFormat="1" applyFont="1" applyFill="1" applyBorder="1" applyAlignment="1">
      <alignment horizontal="right"/>
    </xf>
    <xf numFmtId="3" fontId="31" fillId="0" borderId="1" xfId="5" applyNumberFormat="1" applyFont="1" applyBorder="1" applyAlignment="1">
      <alignment horizontal="right"/>
    </xf>
    <xf numFmtId="3" fontId="21" fillId="2" borderId="11" xfId="5" applyNumberFormat="1" applyFont="1" applyFill="1" applyBorder="1" applyAlignment="1">
      <alignment horizontal="right"/>
    </xf>
    <xf numFmtId="0" fontId="4" fillId="4" borderId="0" xfId="5" applyFill="1"/>
    <xf numFmtId="0" fontId="31" fillId="4" borderId="1" xfId="7" applyFont="1" applyFill="1" applyBorder="1" applyAlignment="1">
      <alignment horizontal="left" wrapText="1"/>
    </xf>
    <xf numFmtId="0" fontId="30" fillId="4" borderId="1" xfId="5" applyFont="1" applyFill="1" applyBorder="1" applyAlignment="1">
      <alignment horizontal="left" wrapText="1"/>
    </xf>
    <xf numFmtId="3" fontId="31" fillId="4" borderId="1" xfId="5" applyNumberFormat="1" applyFont="1" applyFill="1" applyBorder="1" applyAlignment="1">
      <alignment horizontal="right" wrapText="1"/>
    </xf>
    <xf numFmtId="3" fontId="31" fillId="4" borderId="3" xfId="5" applyNumberFormat="1" applyFont="1" applyFill="1" applyBorder="1" applyAlignment="1">
      <alignment horizontal="right"/>
    </xf>
    <xf numFmtId="3" fontId="31" fillId="4" borderId="1" xfId="5" applyNumberFormat="1" applyFont="1" applyFill="1" applyBorder="1" applyAlignment="1">
      <alignment horizontal="right"/>
    </xf>
    <xf numFmtId="0" fontId="23" fillId="0" borderId="0" xfId="5" applyFont="1"/>
    <xf numFmtId="0" fontId="33" fillId="0" borderId="0" xfId="5" applyFont="1"/>
    <xf numFmtId="0" fontId="31" fillId="0" borderId="1" xfId="5" applyFont="1" applyBorder="1"/>
    <xf numFmtId="3" fontId="31" fillId="0" borderId="1" xfId="5" applyNumberFormat="1" applyFont="1" applyBorder="1"/>
    <xf numFmtId="0" fontId="35" fillId="0" borderId="0" xfId="5" applyFont="1"/>
    <xf numFmtId="0" fontId="21" fillId="0" borderId="0" xfId="5" applyFont="1" applyAlignment="1">
      <alignment horizontal="right" wrapText="1"/>
    </xf>
    <xf numFmtId="3" fontId="4" fillId="0" borderId="0" xfId="5" applyNumberFormat="1"/>
    <xf numFmtId="0" fontId="4" fillId="0" borderId="0" xfId="5" applyBorder="1" applyAlignment="1">
      <alignment horizontal="center"/>
    </xf>
    <xf numFmtId="3" fontId="4" fillId="0" borderId="0" xfId="5" applyNumberFormat="1" applyBorder="1"/>
    <xf numFmtId="0" fontId="4" fillId="6" borderId="0" xfId="5" applyFill="1" applyBorder="1"/>
    <xf numFmtId="1" fontId="4" fillId="0" borderId="0" xfId="5" applyNumberFormat="1" applyAlignment="1">
      <alignment horizontal="left"/>
    </xf>
    <xf numFmtId="0" fontId="32" fillId="0" borderId="0" xfId="5" applyFont="1" applyBorder="1"/>
    <xf numFmtId="0" fontId="32" fillId="0" borderId="0" xfId="5" applyFont="1"/>
    <xf numFmtId="168" fontId="32" fillId="0" borderId="0" xfId="5" applyNumberFormat="1" applyFont="1" applyBorder="1"/>
    <xf numFmtId="3" fontId="32" fillId="0" borderId="0" xfId="5" applyNumberFormat="1" applyFont="1"/>
    <xf numFmtId="0" fontId="9" fillId="0" borderId="0" xfId="5" applyFont="1"/>
    <xf numFmtId="0" fontId="9" fillId="0" borderId="0" xfId="5" applyFont="1" applyBorder="1"/>
    <xf numFmtId="3" fontId="9" fillId="4" borderId="0" xfId="5" applyNumberFormat="1" applyFont="1" applyFill="1" applyBorder="1" applyAlignment="1">
      <alignment horizontal="right"/>
    </xf>
    <xf numFmtId="3" fontId="9" fillId="0" borderId="0" xfId="5" applyNumberFormat="1" applyFont="1" applyBorder="1" applyAlignment="1">
      <alignment horizontal="right"/>
    </xf>
    <xf numFmtId="3" fontId="13" fillId="0" borderId="0" xfId="5" applyNumberFormat="1" applyFont="1" applyBorder="1" applyAlignment="1">
      <alignment horizontal="right"/>
    </xf>
    <xf numFmtId="3" fontId="31" fillId="0" borderId="0" xfId="5" applyNumberFormat="1" applyFont="1" applyBorder="1"/>
    <xf numFmtId="0" fontId="4" fillId="0" borderId="0" xfId="5" applyAlignment="1">
      <alignment horizontal="left" wrapText="1"/>
    </xf>
    <xf numFmtId="3" fontId="32" fillId="0" borderId="0" xfId="5" applyNumberFormat="1" applyFont="1" applyBorder="1"/>
    <xf numFmtId="0" fontId="34" fillId="0" borderId="0" xfId="5" applyFont="1"/>
    <xf numFmtId="0" fontId="13" fillId="0" borderId="0" xfId="5" applyFont="1"/>
    <xf numFmtId="166" fontId="13" fillId="0" borderId="0" xfId="5" applyNumberFormat="1" applyFont="1"/>
    <xf numFmtId="166" fontId="13" fillId="0" borderId="0" xfId="5" applyNumberFormat="1" applyFont="1" applyBorder="1"/>
    <xf numFmtId="0" fontId="9" fillId="0" borderId="0" xfId="5" applyFont="1" applyAlignment="1">
      <alignment wrapText="1"/>
    </xf>
    <xf numFmtId="0" fontId="28" fillId="0" borderId="0" xfId="0" applyFont="1" applyBorder="1"/>
    <xf numFmtId="0" fontId="29" fillId="0" borderId="0" xfId="0" applyFont="1" applyBorder="1"/>
    <xf numFmtId="9" fontId="29" fillId="0" borderId="0" xfId="0" applyNumberFormat="1" applyFont="1" applyBorder="1"/>
    <xf numFmtId="166" fontId="29" fillId="0" borderId="0" xfId="0" applyNumberFormat="1" applyFont="1" applyBorder="1"/>
    <xf numFmtId="0" fontId="37" fillId="0" borderId="0" xfId="0" applyFont="1"/>
    <xf numFmtId="166" fontId="29" fillId="0" borderId="0" xfId="0" applyNumberFormat="1" applyFont="1" applyBorder="1" applyAlignment="1">
      <alignment horizontal="center"/>
    </xf>
    <xf numFmtId="166" fontId="24" fillId="0" borderId="1" xfId="0" applyNumberFormat="1" applyFont="1" applyBorder="1" applyAlignment="1">
      <alignment horizontal="center"/>
    </xf>
    <xf numFmtId="0" fontId="8" fillId="0" borderId="0" xfId="1" applyFont="1"/>
    <xf numFmtId="0" fontId="38" fillId="0" borderId="2" xfId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/>
    <xf numFmtId="0" fontId="10" fillId="0" borderId="1" xfId="1" applyNumberFormat="1" applyFont="1" applyFill="1" applyBorder="1" applyAlignment="1"/>
    <xf numFmtId="0" fontId="9" fillId="0" borderId="1" xfId="3" applyFont="1" applyBorder="1"/>
    <xf numFmtId="0" fontId="5" fillId="2" borderId="1" xfId="2" applyNumberFormat="1" applyFont="1" applyFill="1" applyBorder="1" applyAlignment="1">
      <alignment horizontal="right" vertical="center"/>
    </xf>
    <xf numFmtId="0" fontId="7" fillId="0" borderId="1" xfId="3" applyFont="1" applyFill="1" applyBorder="1"/>
    <xf numFmtId="0" fontId="40" fillId="0" borderId="1" xfId="2" applyNumberFormat="1" applyFont="1" applyFill="1" applyBorder="1" applyAlignment="1">
      <alignment horizontal="right" vertical="center"/>
    </xf>
    <xf numFmtId="0" fontId="11" fillId="0" borderId="1" xfId="2" applyFont="1" applyFill="1" applyBorder="1" applyAlignment="1">
      <alignment horizontal="center" vertical="center" wrapText="1"/>
    </xf>
    <xf numFmtId="0" fontId="13" fillId="0" borderId="1" xfId="3" applyFont="1" applyBorder="1"/>
    <xf numFmtId="0" fontId="12" fillId="0" borderId="1" xfId="2" applyNumberFormat="1" applyFont="1" applyFill="1" applyBorder="1" applyAlignment="1">
      <alignment vertical="center" wrapText="1"/>
    </xf>
    <xf numFmtId="0" fontId="39" fillId="0" borderId="1" xfId="2" applyFont="1" applyFill="1" applyBorder="1" applyAlignment="1">
      <alignment horizontal="left" vertical="center" wrapText="1"/>
    </xf>
    <xf numFmtId="0" fontId="39" fillId="0" borderId="1" xfId="2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40" fillId="2" borderId="1" xfId="2" applyNumberFormat="1" applyFont="1" applyFill="1" applyBorder="1" applyAlignment="1">
      <alignment horizontal="right" vertical="center"/>
    </xf>
    <xf numFmtId="0" fontId="5" fillId="0" borderId="1" xfId="2" applyNumberFormat="1" applyFont="1" applyFill="1" applyBorder="1" applyAlignment="1">
      <alignment vertical="center" wrapText="1"/>
    </xf>
    <xf numFmtId="0" fontId="9" fillId="0" borderId="1" xfId="3" applyNumberFormat="1" applyFont="1" applyFill="1" applyBorder="1"/>
    <xf numFmtId="0" fontId="41" fillId="2" borderId="1" xfId="2" applyNumberFormat="1" applyFont="1" applyFill="1" applyBorder="1" applyAlignment="1">
      <alignment horizontal="right" vertical="center"/>
    </xf>
    <xf numFmtId="0" fontId="41" fillId="0" borderId="1" xfId="2" applyNumberFormat="1" applyFont="1" applyFill="1" applyBorder="1" applyAlignment="1">
      <alignment horizontal="right" vertical="center"/>
    </xf>
    <xf numFmtId="0" fontId="39" fillId="0" borderId="1" xfId="2" applyFont="1" applyFill="1" applyBorder="1" applyAlignment="1">
      <alignment horizontal="right" vertical="center" wrapText="1"/>
    </xf>
    <xf numFmtId="0" fontId="21" fillId="0" borderId="0" xfId="5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" fillId="0" borderId="0" xfId="5" applyBorder="1" applyAlignment="1">
      <alignment horizontal="center" vertical="center"/>
    </xf>
    <xf numFmtId="0" fontId="32" fillId="4" borderId="1" xfId="5" applyFont="1" applyFill="1" applyBorder="1" applyAlignment="1">
      <alignment horizontal="center" vertical="center" wrapText="1"/>
    </xf>
    <xf numFmtId="0" fontId="32" fillId="0" borderId="2" xfId="5" applyFont="1" applyBorder="1" applyAlignment="1">
      <alignment horizontal="center" vertical="center" wrapText="1"/>
    </xf>
    <xf numFmtId="0" fontId="32" fillId="0" borderId="11" xfId="5" applyFont="1" applyBorder="1" applyAlignment="1">
      <alignment horizontal="center" vertical="center" wrapText="1"/>
    </xf>
    <xf numFmtId="0" fontId="30" fillId="0" borderId="0" xfId="5" applyFont="1" applyAlignment="1">
      <alignment horizontal="center" wrapText="1"/>
    </xf>
    <xf numFmtId="0" fontId="21" fillId="0" borderId="1" xfId="5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5" xfId="5" applyFont="1" applyBorder="1" applyAlignment="1">
      <alignment horizontal="center" vertical="center" wrapText="1"/>
    </xf>
    <xf numFmtId="0" fontId="21" fillId="0" borderId="0" xfId="5" applyFont="1" applyAlignment="1">
      <alignment horizontal="right" wrapText="1"/>
    </xf>
    <xf numFmtId="0" fontId="35" fillId="0" borderId="0" xfId="5" applyFont="1" applyAlignment="1">
      <alignment horizontal="left" wrapText="1"/>
    </xf>
    <xf numFmtId="0" fontId="4" fillId="0" borderId="0" xfId="5" applyAlignment="1">
      <alignment horizontal="left" wrapText="1"/>
    </xf>
    <xf numFmtId="0" fontId="4" fillId="0" borderId="0" xfId="5" applyBorder="1" applyAlignment="1">
      <alignment horizontal="center"/>
    </xf>
    <xf numFmtId="0" fontId="38" fillId="0" borderId="2" xfId="1" applyFont="1" applyFill="1" applyBorder="1" applyAlignment="1">
      <alignment horizontal="center" vertical="center" wrapText="1"/>
    </xf>
    <xf numFmtId="0" fontId="38" fillId="0" borderId="11" xfId="1" applyFont="1" applyFill="1" applyBorder="1" applyAlignment="1">
      <alignment horizontal="center" vertical="center" wrapText="1"/>
    </xf>
    <xf numFmtId="0" fontId="38" fillId="0" borderId="6" xfId="1" applyFont="1" applyFill="1" applyBorder="1" applyAlignment="1">
      <alignment horizontal="center" vertical="center" wrapText="1"/>
    </xf>
    <xf numFmtId="0" fontId="38" fillId="0" borderId="7" xfId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3"/>
    <cellStyle name="Обычный 2 2" xfId="4"/>
    <cellStyle name="Обычный 3" xfId="5"/>
    <cellStyle name="Обычный 3 2" xfId="10"/>
    <cellStyle name="Обычный 4" xfId="6"/>
    <cellStyle name="Обычный_Бюджет 2000 091199" xfId="2"/>
    <cellStyle name="Обычный_Сведения о контингенте и штатах" xfId="7"/>
    <cellStyle name="Обычный_ФОТ при переходе на НСОТ" xfId="1"/>
    <cellStyle name="Тысячи [0]_ауп" xfId="8"/>
    <cellStyle name="Тысячи_ауп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in/&#1052;&#1086;&#1080;%20&#1076;&#1086;&#1082;&#1091;&#1084;&#1077;&#1085;&#1090;&#1099;/&#1044;&#1077;&#1087;&#1072;&#1088;&#1090;&#1072;&#1084;&#1077;&#1085;&#1090;/&#1041;&#1102;&#1076;&#1078;&#1077;&#1090;%202009/Room809_002/&#1087;&#1088;&#1086;&#1077;&#1082;&#1090;%202002/&#1055;&#1088;&#1086;&#1075;&#1088;&#1072;&#1084;&#1084;&#1072;/&#1092;&#1080;&#1085;&#1072;&#1085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Outlook/E03M56W5/&#1088;&#1072;&#1089;&#1095;&#1077;&#1090;%20&#1060;&#1054;&#1058;%20&#1096;&#1082;&#1086;&#1083;&#1099;%20&#1089;&#1077;&#1085;&#1090;&#1103;&#1073;&#1088;&#1100;%20&#1089;%20&#1091;&#1074;&#1077;&#1083;&#1080;&#1095;%20&#1060;&#1054;&#105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едпроф."/>
      <sheetName val="общеразв. "/>
      <sheetName val="зарпл. без набора ТК, МШ-3"/>
      <sheetName val="Лист5"/>
      <sheetName val="Лист6"/>
      <sheetName val="Лист7"/>
      <sheetName val="Лист8"/>
    </sheetNames>
    <sheetDataSet>
      <sheetData sheetId="0" refreshError="1">
        <row r="10">
          <cell r="AQ10">
            <v>2013</v>
          </cell>
        </row>
        <row r="19">
          <cell r="AQ19">
            <v>1944</v>
          </cell>
        </row>
        <row r="24">
          <cell r="AQ24">
            <v>6334</v>
          </cell>
        </row>
        <row r="34">
          <cell r="AQ34">
            <v>9983</v>
          </cell>
        </row>
        <row r="43">
          <cell r="AQ43">
            <v>7448</v>
          </cell>
        </row>
        <row r="53">
          <cell r="AQ53">
            <v>1629</v>
          </cell>
        </row>
        <row r="62">
          <cell r="AQ62">
            <v>1519</v>
          </cell>
        </row>
        <row r="68">
          <cell r="AQ68">
            <v>2203</v>
          </cell>
        </row>
        <row r="73">
          <cell r="AQ73">
            <v>3560</v>
          </cell>
        </row>
        <row r="81">
          <cell r="AQ81">
            <v>4279</v>
          </cell>
        </row>
        <row r="90">
          <cell r="AQ90">
            <v>951</v>
          </cell>
        </row>
        <row r="92">
          <cell r="AQ92">
            <v>1395</v>
          </cell>
        </row>
        <row r="95">
          <cell r="AQ95">
            <v>1284</v>
          </cell>
        </row>
        <row r="98">
          <cell r="AQ98">
            <v>1901</v>
          </cell>
        </row>
        <row r="101">
          <cell r="AQ101">
            <v>3359</v>
          </cell>
        </row>
      </sheetData>
      <sheetData sheetId="1" refreshError="1">
        <row r="10">
          <cell r="AY10">
            <v>6838</v>
          </cell>
        </row>
        <row r="12">
          <cell r="AY12">
            <v>4161</v>
          </cell>
        </row>
        <row r="13">
          <cell r="AY13">
            <v>8156</v>
          </cell>
        </row>
        <row r="15">
          <cell r="AY15">
            <v>5695</v>
          </cell>
        </row>
        <row r="16">
          <cell r="AY16">
            <v>3735</v>
          </cell>
        </row>
        <row r="17">
          <cell r="AY17">
            <v>1958</v>
          </cell>
        </row>
        <row r="18">
          <cell r="AY18">
            <v>2557</v>
          </cell>
        </row>
        <row r="19">
          <cell r="AY19">
            <v>2542</v>
          </cell>
        </row>
        <row r="20">
          <cell r="AY20">
            <v>4992</v>
          </cell>
        </row>
        <row r="21">
          <cell r="AY21">
            <v>3878</v>
          </cell>
        </row>
        <row r="23">
          <cell r="AY23">
            <v>0</v>
          </cell>
        </row>
        <row r="24">
          <cell r="AY24">
            <v>0</v>
          </cell>
        </row>
        <row r="25">
          <cell r="AY25">
            <v>0</v>
          </cell>
        </row>
        <row r="26">
          <cell r="AY26">
            <v>0</v>
          </cell>
        </row>
        <row r="27">
          <cell r="AY27">
            <v>618</v>
          </cell>
        </row>
        <row r="29">
          <cell r="AY29">
            <v>4347</v>
          </cell>
        </row>
        <row r="30">
          <cell r="AY30">
            <v>3045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61"/>
  <sheetViews>
    <sheetView showZeros="0" topLeftCell="H2" zoomScale="115" zoomScaleNormal="115" workbookViewId="0">
      <selection activeCell="S5" sqref="S5"/>
    </sheetView>
  </sheetViews>
  <sheetFormatPr defaultColWidth="7.25" defaultRowHeight="12.75" outlineLevelRow="1"/>
  <cols>
    <col min="1" max="1" width="3" style="1" customWidth="1"/>
    <col min="2" max="2" width="19.5" style="1" customWidth="1"/>
    <col min="3" max="10" width="6.375" style="1" customWidth="1"/>
    <col min="11" max="11" width="6.75" style="1" customWidth="1"/>
    <col min="12" max="14" width="5.25" style="1" customWidth="1"/>
    <col min="15" max="15" width="4.875" style="1" customWidth="1"/>
    <col min="16" max="17" width="5.25" style="1" customWidth="1"/>
    <col min="18" max="18" width="6.75" style="1" customWidth="1"/>
    <col min="19" max="19" width="8.25" style="1" customWidth="1"/>
    <col min="20" max="20" width="6" style="1" customWidth="1"/>
    <col min="21" max="21" width="6.25" style="1" customWidth="1"/>
    <col min="22" max="22" width="6.625" style="1" customWidth="1"/>
    <col min="23" max="23" width="6.125" style="1" customWidth="1"/>
    <col min="24" max="24" width="5.75" style="1" customWidth="1"/>
    <col min="25" max="25" width="5.625" style="1" customWidth="1"/>
    <col min="26" max="26" width="5.25" style="1" customWidth="1"/>
    <col min="27" max="27" width="5.75" style="1" customWidth="1"/>
    <col min="28" max="28" width="5.875" style="1" customWidth="1"/>
    <col min="29" max="16384" width="7.25" style="1"/>
  </cols>
  <sheetData>
    <row r="1" spans="1:28" ht="48" customHeight="1">
      <c r="A1" s="162" t="s">
        <v>93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</row>
    <row r="2" spans="1:28" ht="6.6" customHeight="1"/>
    <row r="3" spans="1:28" ht="29.45" customHeight="1">
      <c r="A3" s="154"/>
      <c r="B3" s="154"/>
      <c r="C3" s="155" t="s">
        <v>130</v>
      </c>
      <c r="D3" s="155" t="s">
        <v>131</v>
      </c>
      <c r="E3" s="155" t="s">
        <v>132</v>
      </c>
      <c r="F3" s="155" t="s">
        <v>133</v>
      </c>
      <c r="G3" s="155" t="s">
        <v>0</v>
      </c>
      <c r="H3" s="158" t="s">
        <v>139</v>
      </c>
      <c r="I3" s="159"/>
      <c r="J3" s="159"/>
      <c r="K3" s="160"/>
      <c r="L3" s="158" t="s">
        <v>137</v>
      </c>
      <c r="M3" s="159"/>
      <c r="N3" s="159"/>
      <c r="O3" s="159"/>
      <c r="P3" s="159"/>
      <c r="Q3" s="160"/>
      <c r="R3" s="167" t="s">
        <v>138</v>
      </c>
      <c r="S3" s="168"/>
      <c r="T3" s="158" t="s">
        <v>140</v>
      </c>
      <c r="U3" s="159"/>
      <c r="V3" s="160"/>
      <c r="W3" s="158" t="s">
        <v>141</v>
      </c>
      <c r="X3" s="159"/>
      <c r="Y3" s="159"/>
      <c r="Z3" s="159"/>
      <c r="AA3" s="159"/>
      <c r="AB3" s="160"/>
    </row>
    <row r="4" spans="1:28" ht="28.9" customHeight="1">
      <c r="A4" s="154"/>
      <c r="B4" s="154"/>
      <c r="C4" s="156"/>
      <c r="D4" s="156"/>
      <c r="E4" s="156"/>
      <c r="F4" s="156"/>
      <c r="G4" s="156"/>
      <c r="H4" s="163" t="s">
        <v>134</v>
      </c>
      <c r="I4" s="164" t="s">
        <v>135</v>
      </c>
      <c r="J4" s="171" t="s">
        <v>136</v>
      </c>
      <c r="K4" s="165" t="s">
        <v>3</v>
      </c>
      <c r="L4" s="153" t="s">
        <v>4</v>
      </c>
      <c r="M4" s="153"/>
      <c r="N4" s="153" t="s">
        <v>5</v>
      </c>
      <c r="O4" s="153"/>
      <c r="P4" s="153" t="s">
        <v>6</v>
      </c>
      <c r="Q4" s="153"/>
      <c r="R4" s="169"/>
      <c r="S4" s="170"/>
      <c r="T4" s="163" t="s">
        <v>1</v>
      </c>
      <c r="U4" s="164" t="s">
        <v>2</v>
      </c>
      <c r="V4" s="165" t="s">
        <v>3</v>
      </c>
      <c r="W4" s="153" t="s">
        <v>4</v>
      </c>
      <c r="X4" s="153"/>
      <c r="Y4" s="153" t="s">
        <v>5</v>
      </c>
      <c r="Z4" s="153"/>
      <c r="AA4" s="153" t="s">
        <v>6</v>
      </c>
      <c r="AB4" s="153"/>
    </row>
    <row r="5" spans="1:28" ht="47.45" customHeight="1">
      <c r="A5" s="154"/>
      <c r="B5" s="154"/>
      <c r="C5" s="157"/>
      <c r="D5" s="157"/>
      <c r="E5" s="157"/>
      <c r="F5" s="157"/>
      <c r="G5" s="157"/>
      <c r="H5" s="163"/>
      <c r="I5" s="164"/>
      <c r="J5" s="172"/>
      <c r="K5" s="166"/>
      <c r="L5" s="2" t="s">
        <v>7</v>
      </c>
      <c r="M5" s="2" t="s">
        <v>1</v>
      </c>
      <c r="N5" s="2" t="s">
        <v>7</v>
      </c>
      <c r="O5" s="2" t="s">
        <v>1</v>
      </c>
      <c r="P5" s="2" t="s">
        <v>7</v>
      </c>
      <c r="Q5" s="2" t="s">
        <v>1</v>
      </c>
      <c r="R5" s="3" t="s">
        <v>25</v>
      </c>
      <c r="S5" s="3" t="s">
        <v>161</v>
      </c>
      <c r="T5" s="163"/>
      <c r="U5" s="164"/>
      <c r="V5" s="166"/>
      <c r="W5" s="2" t="s">
        <v>7</v>
      </c>
      <c r="X5" s="2" t="s">
        <v>1</v>
      </c>
      <c r="Y5" s="2" t="s">
        <v>7</v>
      </c>
      <c r="Z5" s="2" t="s">
        <v>1</v>
      </c>
      <c r="AA5" s="2" t="s">
        <v>7</v>
      </c>
      <c r="AB5" s="2" t="s">
        <v>1</v>
      </c>
    </row>
    <row r="6" spans="1:28">
      <c r="A6" s="4">
        <v>19</v>
      </c>
      <c r="B6" s="5" t="s">
        <v>8</v>
      </c>
      <c r="C6" s="6">
        <v>42.5</v>
      </c>
      <c r="D6" s="7">
        <v>40</v>
      </c>
      <c r="E6" s="7">
        <v>37.9</v>
      </c>
      <c r="F6" s="7">
        <f>ROUND(C6/E6,2)</f>
        <v>1.1200000000000001</v>
      </c>
      <c r="G6" s="7">
        <f>ROUND(E6/C6*100,1)</f>
        <v>89.2</v>
      </c>
      <c r="H6" s="8">
        <v>10512</v>
      </c>
      <c r="I6" s="9">
        <v>863</v>
      </c>
      <c r="J6" s="9">
        <f>ROUND(I6/K6*100,1)</f>
        <v>7.6</v>
      </c>
      <c r="K6" s="9">
        <f t="shared" ref="K6:K21" si="0">H6+I6</f>
        <v>11375</v>
      </c>
      <c r="L6" s="9">
        <f>ROUND(K6*1000/C6/12,0)</f>
        <v>22304</v>
      </c>
      <c r="M6" s="9">
        <f>ROUND(H6*1000/C6/12,0)</f>
        <v>20612</v>
      </c>
      <c r="N6" s="9">
        <f>ROUND(K6*1000/D6/12,0)</f>
        <v>23698</v>
      </c>
      <c r="O6" s="9">
        <f>ROUND(H6*1000/D6/12,0)</f>
        <v>21900</v>
      </c>
      <c r="P6" s="9">
        <f>ROUND(K6*1000/E6/12,0)</f>
        <v>25011</v>
      </c>
      <c r="Q6" s="9">
        <f>ROUND(H6*1000/E6/12,0)</f>
        <v>23113</v>
      </c>
      <c r="R6" s="9">
        <f>ROUND(H6*4%,0)</f>
        <v>420</v>
      </c>
      <c r="S6" s="10">
        <f>ROUND($S$23/$H$22*H6,0)+800+70</f>
        <v>1514</v>
      </c>
      <c r="T6" s="8">
        <f>H6+R6+S6</f>
        <v>12446</v>
      </c>
      <c r="U6" s="9">
        <v>863</v>
      </c>
      <c r="V6" s="9">
        <f t="shared" ref="V6:V21" si="1">T6+U6</f>
        <v>13309</v>
      </c>
      <c r="W6" s="9">
        <f t="shared" ref="W6:W22" si="2">ROUND(V6*1000/C6/12,0)</f>
        <v>26096</v>
      </c>
      <c r="X6" s="9">
        <f>ROUND(T6*1000/C6/12,0)</f>
        <v>24404</v>
      </c>
      <c r="Y6" s="9">
        <f>ROUND(V6*1000/D6/12,0)</f>
        <v>27727</v>
      </c>
      <c r="Z6" s="9">
        <f>ROUND(T6*1000/D6/12,0)</f>
        <v>25929</v>
      </c>
      <c r="AA6" s="9">
        <f>ROUND(V6*1000/E6/12,0)</f>
        <v>29263</v>
      </c>
      <c r="AB6" s="9">
        <f>ROUND(T6*1000/E6/12,0)</f>
        <v>27366</v>
      </c>
    </row>
    <row r="7" spans="1:28">
      <c r="A7" s="4">
        <v>20</v>
      </c>
      <c r="B7" s="5" t="s">
        <v>9</v>
      </c>
      <c r="C7" s="6">
        <v>11.5</v>
      </c>
      <c r="D7" s="7">
        <v>10</v>
      </c>
      <c r="E7" s="7">
        <v>9</v>
      </c>
      <c r="F7" s="7">
        <f t="shared" ref="F7:F21" si="3">ROUND(C7/E7,2)</f>
        <v>1.28</v>
      </c>
      <c r="G7" s="7">
        <f t="shared" ref="G7:G22" si="4">ROUND(E7/C7*100,1)</f>
        <v>78.3</v>
      </c>
      <c r="H7" s="8">
        <v>3275</v>
      </c>
      <c r="I7" s="9">
        <v>20</v>
      </c>
      <c r="J7" s="9">
        <f t="shared" ref="J7:J22" si="5">ROUND(I7/K7*100,1)</f>
        <v>0.6</v>
      </c>
      <c r="K7" s="9">
        <f t="shared" si="0"/>
        <v>3295</v>
      </c>
      <c r="L7" s="9">
        <f t="shared" ref="L7:L22" si="6">ROUND(K7*1000/C7/12,0)</f>
        <v>23877</v>
      </c>
      <c r="M7" s="9">
        <f t="shared" ref="M7:M22" si="7">ROUND(H7*1000/C7/12,0)</f>
        <v>23732</v>
      </c>
      <c r="N7" s="9">
        <f t="shared" ref="N7:N22" si="8">ROUND(K7*1000/D7/12,0)</f>
        <v>27458</v>
      </c>
      <c r="O7" s="9">
        <f t="shared" ref="O7:O22" si="9">ROUND(H7*1000/D7/12,0)</f>
        <v>27292</v>
      </c>
      <c r="P7" s="9">
        <f t="shared" ref="P7:P22" si="10">ROUND(K7*1000/E7/12,0)</f>
        <v>30509</v>
      </c>
      <c r="Q7" s="9">
        <f t="shared" ref="Q7:Q22" si="11">ROUND(H7*1000/E7/12,0)</f>
        <v>30324</v>
      </c>
      <c r="R7" s="9">
        <f t="shared" ref="R7:R21" si="12">ROUND(H7*4%,0)</f>
        <v>131</v>
      </c>
      <c r="S7" s="8">
        <f>ROUND($S$23/$H$22*H7,0)</f>
        <v>201</v>
      </c>
      <c r="T7" s="8">
        <f t="shared" ref="T7:T21" si="13">H7+R7+S7</f>
        <v>3607</v>
      </c>
      <c r="U7" s="9">
        <v>20</v>
      </c>
      <c r="V7" s="9">
        <f t="shared" si="1"/>
        <v>3627</v>
      </c>
      <c r="W7" s="9">
        <f t="shared" si="2"/>
        <v>26283</v>
      </c>
      <c r="X7" s="9">
        <f t="shared" ref="X7:X22" si="14">ROUND(T7*1000/C7/12,0)</f>
        <v>26138</v>
      </c>
      <c r="Y7" s="9">
        <f t="shared" ref="Y7:Y22" si="15">ROUND(V7*1000/D7/12,0)</f>
        <v>30225</v>
      </c>
      <c r="Z7" s="9">
        <f t="shared" ref="Z7:Z22" si="16">ROUND(T7*1000/D7/12,0)</f>
        <v>30058</v>
      </c>
      <c r="AA7" s="9">
        <f t="shared" ref="AA7:AA22" si="17">ROUND(V7*1000/E7/12,0)</f>
        <v>33583</v>
      </c>
      <c r="AB7" s="9">
        <f t="shared" ref="AB7:AB22" si="18">ROUND(T7*1000/E7/12,0)</f>
        <v>33398</v>
      </c>
    </row>
    <row r="8" spans="1:28">
      <c r="A8" s="4">
        <v>21</v>
      </c>
      <c r="B8" s="5" t="s">
        <v>10</v>
      </c>
      <c r="C8" s="6">
        <v>24</v>
      </c>
      <c r="D8" s="7">
        <v>24</v>
      </c>
      <c r="E8" s="7">
        <v>23.1</v>
      </c>
      <c r="F8" s="7">
        <f t="shared" si="3"/>
        <v>1.04</v>
      </c>
      <c r="G8" s="7">
        <f t="shared" si="4"/>
        <v>96.3</v>
      </c>
      <c r="H8" s="8">
        <v>5781</v>
      </c>
      <c r="I8" s="9">
        <v>749</v>
      </c>
      <c r="J8" s="9">
        <f t="shared" si="5"/>
        <v>11.5</v>
      </c>
      <c r="K8" s="9">
        <f t="shared" si="0"/>
        <v>6530</v>
      </c>
      <c r="L8" s="9">
        <f t="shared" si="6"/>
        <v>22674</v>
      </c>
      <c r="M8" s="9">
        <f t="shared" si="7"/>
        <v>20073</v>
      </c>
      <c r="N8" s="9">
        <f t="shared" si="8"/>
        <v>22674</v>
      </c>
      <c r="O8" s="9">
        <f t="shared" si="9"/>
        <v>20073</v>
      </c>
      <c r="P8" s="9">
        <f t="shared" si="10"/>
        <v>23557</v>
      </c>
      <c r="Q8" s="9">
        <f t="shared" si="11"/>
        <v>20855</v>
      </c>
      <c r="R8" s="9">
        <f t="shared" si="12"/>
        <v>231</v>
      </c>
      <c r="S8" s="10">
        <f>ROUND($S$23/$H$22*H8,0)+500-110</f>
        <v>744</v>
      </c>
      <c r="T8" s="8">
        <f t="shared" si="13"/>
        <v>6756</v>
      </c>
      <c r="U8" s="9">
        <v>749</v>
      </c>
      <c r="V8" s="9">
        <f t="shared" si="1"/>
        <v>7505</v>
      </c>
      <c r="W8" s="9">
        <f t="shared" si="2"/>
        <v>26059</v>
      </c>
      <c r="X8" s="9">
        <f t="shared" si="14"/>
        <v>23458</v>
      </c>
      <c r="Y8" s="9">
        <f t="shared" si="15"/>
        <v>26059</v>
      </c>
      <c r="Z8" s="9">
        <f t="shared" si="16"/>
        <v>23458</v>
      </c>
      <c r="AA8" s="9">
        <f t="shared" si="17"/>
        <v>27074</v>
      </c>
      <c r="AB8" s="9">
        <f t="shared" si="18"/>
        <v>24372</v>
      </c>
    </row>
    <row r="9" spans="1:28">
      <c r="A9" s="4">
        <v>22</v>
      </c>
      <c r="B9" s="11" t="s">
        <v>11</v>
      </c>
      <c r="C9" s="12">
        <f>233.5-47</f>
        <v>186.5</v>
      </c>
      <c r="D9" s="8">
        <f>210-47</f>
        <v>163</v>
      </c>
      <c r="E9" s="8">
        <f>202.1-47</f>
        <v>155.1</v>
      </c>
      <c r="F9" s="7">
        <f t="shared" si="3"/>
        <v>1.2</v>
      </c>
      <c r="G9" s="7">
        <f t="shared" si="4"/>
        <v>83.2</v>
      </c>
      <c r="H9" s="8">
        <f>66788-13726</f>
        <v>53062</v>
      </c>
      <c r="I9" s="9">
        <v>312.60000000000002</v>
      </c>
      <c r="J9" s="9">
        <f t="shared" si="5"/>
        <v>0.6</v>
      </c>
      <c r="K9" s="9">
        <f t="shared" si="0"/>
        <v>53374.6</v>
      </c>
      <c r="L9" s="9">
        <f t="shared" si="6"/>
        <v>23849</v>
      </c>
      <c r="M9" s="9">
        <f t="shared" si="7"/>
        <v>23710</v>
      </c>
      <c r="N9" s="9">
        <f t="shared" si="8"/>
        <v>27288</v>
      </c>
      <c r="O9" s="9">
        <f t="shared" si="9"/>
        <v>27128</v>
      </c>
      <c r="P9" s="9">
        <f t="shared" si="10"/>
        <v>28678</v>
      </c>
      <c r="Q9" s="9">
        <f t="shared" si="11"/>
        <v>28510</v>
      </c>
      <c r="R9" s="9">
        <f t="shared" si="12"/>
        <v>2122</v>
      </c>
      <c r="S9" s="10">
        <f>ROUND($S$23/$H$22*H9,0)-200</f>
        <v>3049</v>
      </c>
      <c r="T9" s="8">
        <f t="shared" si="13"/>
        <v>58233</v>
      </c>
      <c r="U9" s="9">
        <v>312.60000000000002</v>
      </c>
      <c r="V9" s="9">
        <f t="shared" si="1"/>
        <v>58545.599999999999</v>
      </c>
      <c r="W9" s="9">
        <f t="shared" si="2"/>
        <v>26160</v>
      </c>
      <c r="X9" s="9">
        <f t="shared" si="14"/>
        <v>26020</v>
      </c>
      <c r="Y9" s="9">
        <f t="shared" si="15"/>
        <v>29931</v>
      </c>
      <c r="Z9" s="9">
        <f t="shared" si="16"/>
        <v>29771</v>
      </c>
      <c r="AA9" s="9">
        <f t="shared" si="17"/>
        <v>31456</v>
      </c>
      <c r="AB9" s="9">
        <f t="shared" si="18"/>
        <v>31288</v>
      </c>
    </row>
    <row r="10" spans="1:28">
      <c r="A10" s="4">
        <v>23</v>
      </c>
      <c r="B10" s="11" t="s">
        <v>12</v>
      </c>
      <c r="C10" s="12">
        <v>87</v>
      </c>
      <c r="D10" s="8">
        <v>80</v>
      </c>
      <c r="E10" s="8">
        <v>78.5</v>
      </c>
      <c r="F10" s="7">
        <f t="shared" si="3"/>
        <v>1.1100000000000001</v>
      </c>
      <c r="G10" s="7">
        <f t="shared" si="4"/>
        <v>90.2</v>
      </c>
      <c r="H10" s="8">
        <v>23709</v>
      </c>
      <c r="I10" s="9">
        <v>48</v>
      </c>
      <c r="J10" s="9">
        <f t="shared" si="5"/>
        <v>0.2</v>
      </c>
      <c r="K10" s="9">
        <f t="shared" si="0"/>
        <v>23757</v>
      </c>
      <c r="L10" s="9">
        <f t="shared" si="6"/>
        <v>22756</v>
      </c>
      <c r="M10" s="9">
        <f t="shared" si="7"/>
        <v>22710</v>
      </c>
      <c r="N10" s="9">
        <f t="shared" si="8"/>
        <v>24747</v>
      </c>
      <c r="O10" s="9">
        <f t="shared" si="9"/>
        <v>24697</v>
      </c>
      <c r="P10" s="9">
        <f t="shared" si="10"/>
        <v>25220</v>
      </c>
      <c r="Q10" s="9">
        <f t="shared" si="11"/>
        <v>25169</v>
      </c>
      <c r="R10" s="9">
        <f t="shared" si="12"/>
        <v>948</v>
      </c>
      <c r="S10" s="10">
        <f>ROUND($S$23/$H$22*H10,0)+765+300</f>
        <v>2517</v>
      </c>
      <c r="T10" s="8">
        <f t="shared" si="13"/>
        <v>27174</v>
      </c>
      <c r="U10" s="9">
        <v>48</v>
      </c>
      <c r="V10" s="9">
        <f t="shared" si="1"/>
        <v>27222</v>
      </c>
      <c r="W10" s="9">
        <f t="shared" si="2"/>
        <v>26075</v>
      </c>
      <c r="X10" s="9">
        <f t="shared" si="14"/>
        <v>26029</v>
      </c>
      <c r="Y10" s="9">
        <f t="shared" si="15"/>
        <v>28356</v>
      </c>
      <c r="Z10" s="9">
        <f t="shared" si="16"/>
        <v>28306</v>
      </c>
      <c r="AA10" s="9">
        <f t="shared" si="17"/>
        <v>28898</v>
      </c>
      <c r="AB10" s="9">
        <f t="shared" si="18"/>
        <v>28847</v>
      </c>
    </row>
    <row r="11" spans="1:28">
      <c r="A11" s="4">
        <v>24</v>
      </c>
      <c r="B11" s="5" t="s">
        <v>13</v>
      </c>
      <c r="C11" s="6">
        <v>114</v>
      </c>
      <c r="D11" s="7">
        <v>100</v>
      </c>
      <c r="E11" s="7">
        <v>98.8</v>
      </c>
      <c r="F11" s="7">
        <f t="shared" si="3"/>
        <v>1.1499999999999999</v>
      </c>
      <c r="G11" s="7">
        <f t="shared" si="4"/>
        <v>86.7</v>
      </c>
      <c r="H11" s="8">
        <v>28469</v>
      </c>
      <c r="I11" s="9">
        <v>7200</v>
      </c>
      <c r="J11" s="9">
        <f t="shared" si="5"/>
        <v>20.2</v>
      </c>
      <c r="K11" s="9">
        <f t="shared" si="0"/>
        <v>35669</v>
      </c>
      <c r="L11" s="9">
        <f t="shared" si="6"/>
        <v>26074</v>
      </c>
      <c r="M11" s="9">
        <f t="shared" si="7"/>
        <v>20811</v>
      </c>
      <c r="N11" s="9">
        <f t="shared" si="8"/>
        <v>29724</v>
      </c>
      <c r="O11" s="9">
        <f t="shared" si="9"/>
        <v>23724</v>
      </c>
      <c r="P11" s="9">
        <f t="shared" si="10"/>
        <v>30085</v>
      </c>
      <c r="Q11" s="9">
        <f t="shared" si="11"/>
        <v>24012</v>
      </c>
      <c r="R11" s="9">
        <f t="shared" si="12"/>
        <v>1139</v>
      </c>
      <c r="S11" s="8">
        <f>ROUND($S$23/$H$22*H11,0)</f>
        <v>1743</v>
      </c>
      <c r="T11" s="8">
        <f t="shared" si="13"/>
        <v>31351</v>
      </c>
      <c r="U11" s="9">
        <v>7200</v>
      </c>
      <c r="V11" s="9">
        <f t="shared" si="1"/>
        <v>38551</v>
      </c>
      <c r="W11" s="9">
        <f t="shared" si="2"/>
        <v>28181</v>
      </c>
      <c r="X11" s="9">
        <f t="shared" si="14"/>
        <v>22917</v>
      </c>
      <c r="Y11" s="9">
        <f t="shared" si="15"/>
        <v>32126</v>
      </c>
      <c r="Z11" s="9">
        <f t="shared" si="16"/>
        <v>26126</v>
      </c>
      <c r="AA11" s="9">
        <f t="shared" si="17"/>
        <v>32516</v>
      </c>
      <c r="AB11" s="9">
        <f t="shared" si="18"/>
        <v>26443</v>
      </c>
    </row>
    <row r="12" spans="1:28">
      <c r="A12" s="4">
        <f>A11+1</f>
        <v>25</v>
      </c>
      <c r="B12" s="5" t="s">
        <v>14</v>
      </c>
      <c r="C12" s="6">
        <v>56</v>
      </c>
      <c r="D12" s="7">
        <v>49</v>
      </c>
      <c r="E12" s="7">
        <v>43.8</v>
      </c>
      <c r="F12" s="7">
        <f t="shared" si="3"/>
        <v>1.28</v>
      </c>
      <c r="G12" s="7">
        <f t="shared" si="4"/>
        <v>78.2</v>
      </c>
      <c r="H12" s="8">
        <v>14483</v>
      </c>
      <c r="I12" s="9">
        <v>2062</v>
      </c>
      <c r="J12" s="9">
        <f t="shared" si="5"/>
        <v>12.5</v>
      </c>
      <c r="K12" s="9">
        <f t="shared" si="0"/>
        <v>16545</v>
      </c>
      <c r="L12" s="9">
        <f t="shared" si="6"/>
        <v>24621</v>
      </c>
      <c r="M12" s="9">
        <f t="shared" si="7"/>
        <v>21552</v>
      </c>
      <c r="N12" s="9">
        <f t="shared" si="8"/>
        <v>28138</v>
      </c>
      <c r="O12" s="9">
        <f t="shared" si="9"/>
        <v>24631</v>
      </c>
      <c r="P12" s="9">
        <f t="shared" si="10"/>
        <v>31478</v>
      </c>
      <c r="Q12" s="9">
        <f t="shared" si="11"/>
        <v>27555</v>
      </c>
      <c r="R12" s="9">
        <f t="shared" si="12"/>
        <v>579</v>
      </c>
      <c r="S12" s="8">
        <f>ROUND($S$23/$H$22*H12,0)</f>
        <v>887</v>
      </c>
      <c r="T12" s="8">
        <f t="shared" si="13"/>
        <v>15949</v>
      </c>
      <c r="U12" s="9">
        <v>2062</v>
      </c>
      <c r="V12" s="9">
        <f t="shared" si="1"/>
        <v>18011</v>
      </c>
      <c r="W12" s="9">
        <f t="shared" si="2"/>
        <v>26802</v>
      </c>
      <c r="X12" s="9">
        <f t="shared" si="14"/>
        <v>23734</v>
      </c>
      <c r="Y12" s="9">
        <f t="shared" si="15"/>
        <v>30631</v>
      </c>
      <c r="Z12" s="9">
        <f t="shared" si="16"/>
        <v>27124</v>
      </c>
      <c r="AA12" s="9">
        <f t="shared" si="17"/>
        <v>34268</v>
      </c>
      <c r="AB12" s="9">
        <f t="shared" si="18"/>
        <v>30344</v>
      </c>
    </row>
    <row r="13" spans="1:28">
      <c r="A13" s="4">
        <f>A12+1</f>
        <v>26</v>
      </c>
      <c r="B13" s="5" t="s">
        <v>15</v>
      </c>
      <c r="C13" s="6">
        <v>70</v>
      </c>
      <c r="D13" s="7">
        <v>68</v>
      </c>
      <c r="E13" s="7">
        <v>66.7</v>
      </c>
      <c r="F13" s="7">
        <f t="shared" si="3"/>
        <v>1.05</v>
      </c>
      <c r="G13" s="7">
        <f t="shared" si="4"/>
        <v>95.3</v>
      </c>
      <c r="H13" s="8">
        <v>17297</v>
      </c>
      <c r="I13" s="9">
        <v>3163</v>
      </c>
      <c r="J13" s="9">
        <f t="shared" si="5"/>
        <v>15.5</v>
      </c>
      <c r="K13" s="9">
        <f t="shared" si="0"/>
        <v>20460</v>
      </c>
      <c r="L13" s="9">
        <f t="shared" si="6"/>
        <v>24357</v>
      </c>
      <c r="M13" s="9">
        <f t="shared" si="7"/>
        <v>20592</v>
      </c>
      <c r="N13" s="9">
        <f t="shared" si="8"/>
        <v>25074</v>
      </c>
      <c r="O13" s="9">
        <f t="shared" si="9"/>
        <v>21197</v>
      </c>
      <c r="P13" s="9">
        <f t="shared" si="10"/>
        <v>25562</v>
      </c>
      <c r="Q13" s="9">
        <f t="shared" si="11"/>
        <v>21610</v>
      </c>
      <c r="R13" s="9">
        <f t="shared" si="12"/>
        <v>692</v>
      </c>
      <c r="S13" s="8">
        <f>ROUND($S$23/$H$22*H13,0)</f>
        <v>1059</v>
      </c>
      <c r="T13" s="8">
        <f t="shared" si="13"/>
        <v>19048</v>
      </c>
      <c r="U13" s="9">
        <v>3163</v>
      </c>
      <c r="V13" s="9">
        <f t="shared" si="1"/>
        <v>22211</v>
      </c>
      <c r="W13" s="9">
        <f t="shared" si="2"/>
        <v>26442</v>
      </c>
      <c r="X13" s="9">
        <f t="shared" si="14"/>
        <v>22676</v>
      </c>
      <c r="Y13" s="9">
        <f t="shared" si="15"/>
        <v>27219</v>
      </c>
      <c r="Z13" s="9">
        <f t="shared" si="16"/>
        <v>23343</v>
      </c>
      <c r="AA13" s="9">
        <f t="shared" si="17"/>
        <v>27750</v>
      </c>
      <c r="AB13" s="9">
        <f t="shared" si="18"/>
        <v>23798</v>
      </c>
    </row>
    <row r="14" spans="1:28">
      <c r="A14" s="4">
        <v>27</v>
      </c>
      <c r="B14" s="13" t="s">
        <v>16</v>
      </c>
      <c r="C14" s="7">
        <v>51</v>
      </c>
      <c r="D14" s="7">
        <v>45</v>
      </c>
      <c r="E14" s="7">
        <v>40.9</v>
      </c>
      <c r="F14" s="7">
        <f t="shared" si="3"/>
        <v>1.25</v>
      </c>
      <c r="G14" s="7">
        <f t="shared" si="4"/>
        <v>80.2</v>
      </c>
      <c r="H14" s="8">
        <v>12572</v>
      </c>
      <c r="I14" s="9">
        <v>2185</v>
      </c>
      <c r="J14" s="9">
        <f t="shared" si="5"/>
        <v>14.8</v>
      </c>
      <c r="K14" s="9">
        <f t="shared" si="0"/>
        <v>14757</v>
      </c>
      <c r="L14" s="9">
        <f t="shared" si="6"/>
        <v>24113</v>
      </c>
      <c r="M14" s="9">
        <f t="shared" si="7"/>
        <v>20542</v>
      </c>
      <c r="N14" s="9">
        <f t="shared" si="8"/>
        <v>27328</v>
      </c>
      <c r="O14" s="9">
        <f t="shared" si="9"/>
        <v>23281</v>
      </c>
      <c r="P14" s="9">
        <f t="shared" si="10"/>
        <v>30067</v>
      </c>
      <c r="Q14" s="9">
        <f t="shared" si="11"/>
        <v>25615</v>
      </c>
      <c r="R14" s="9">
        <f t="shared" si="12"/>
        <v>503</v>
      </c>
      <c r="S14" s="8">
        <f>ROUND($S$23/$H$22*H14,0)</f>
        <v>770</v>
      </c>
      <c r="T14" s="8">
        <f t="shared" si="13"/>
        <v>13845</v>
      </c>
      <c r="U14" s="9">
        <v>2185</v>
      </c>
      <c r="V14" s="9">
        <f t="shared" si="1"/>
        <v>16030</v>
      </c>
      <c r="W14" s="9">
        <f t="shared" si="2"/>
        <v>26193</v>
      </c>
      <c r="X14" s="9">
        <f t="shared" si="14"/>
        <v>22623</v>
      </c>
      <c r="Y14" s="9">
        <f t="shared" si="15"/>
        <v>29685</v>
      </c>
      <c r="Z14" s="9">
        <f t="shared" si="16"/>
        <v>25639</v>
      </c>
      <c r="AA14" s="9">
        <f t="shared" si="17"/>
        <v>32661</v>
      </c>
      <c r="AB14" s="9">
        <f t="shared" si="18"/>
        <v>28209</v>
      </c>
    </row>
    <row r="15" spans="1:28">
      <c r="A15" s="4">
        <v>28</v>
      </c>
      <c r="B15" s="5" t="s">
        <v>17</v>
      </c>
      <c r="C15" s="6">
        <v>171</v>
      </c>
      <c r="D15" s="7">
        <v>135.19999999999999</v>
      </c>
      <c r="E15" s="7">
        <v>123.3</v>
      </c>
      <c r="F15" s="7">
        <f t="shared" si="3"/>
        <v>1.39</v>
      </c>
      <c r="G15" s="7">
        <f t="shared" si="4"/>
        <v>72.099999999999994</v>
      </c>
      <c r="H15" s="8">
        <v>41800</v>
      </c>
      <c r="I15" s="9">
        <v>4158</v>
      </c>
      <c r="J15" s="9">
        <f t="shared" si="5"/>
        <v>9</v>
      </c>
      <c r="K15" s="9">
        <f t="shared" si="0"/>
        <v>45958</v>
      </c>
      <c r="L15" s="9">
        <f t="shared" si="6"/>
        <v>22397</v>
      </c>
      <c r="M15" s="9">
        <f t="shared" si="7"/>
        <v>20370</v>
      </c>
      <c r="N15" s="9">
        <f t="shared" si="8"/>
        <v>28327</v>
      </c>
      <c r="O15" s="9">
        <f t="shared" si="9"/>
        <v>25764</v>
      </c>
      <c r="P15" s="9">
        <f t="shared" si="10"/>
        <v>31061</v>
      </c>
      <c r="Q15" s="9">
        <f t="shared" si="11"/>
        <v>28251</v>
      </c>
      <c r="R15" s="9">
        <f t="shared" si="12"/>
        <v>1672</v>
      </c>
      <c r="S15" s="8">
        <f>ROUND($S$23/$H$22*H15,0)</f>
        <v>2559</v>
      </c>
      <c r="T15" s="8">
        <f t="shared" si="13"/>
        <v>46031</v>
      </c>
      <c r="U15" s="9">
        <v>4158</v>
      </c>
      <c r="V15" s="9">
        <f t="shared" si="1"/>
        <v>50189</v>
      </c>
      <c r="W15" s="9">
        <f t="shared" si="2"/>
        <v>24459</v>
      </c>
      <c r="X15" s="9">
        <f t="shared" si="14"/>
        <v>22432</v>
      </c>
      <c r="Y15" s="9">
        <f t="shared" si="15"/>
        <v>30935</v>
      </c>
      <c r="Z15" s="9">
        <f t="shared" si="16"/>
        <v>28372</v>
      </c>
      <c r="AA15" s="9">
        <f t="shared" si="17"/>
        <v>33921</v>
      </c>
      <c r="AB15" s="9">
        <f t="shared" si="18"/>
        <v>31110</v>
      </c>
    </row>
    <row r="16" spans="1:28" s="14" customFormat="1" ht="10.5" customHeight="1">
      <c r="A16" s="4">
        <v>29</v>
      </c>
      <c r="B16" s="5" t="s">
        <v>18</v>
      </c>
      <c r="C16" s="6">
        <v>39</v>
      </c>
      <c r="D16" s="7">
        <v>35</v>
      </c>
      <c r="E16" s="7">
        <v>34.1</v>
      </c>
      <c r="F16" s="7">
        <f t="shared" si="3"/>
        <v>1.1399999999999999</v>
      </c>
      <c r="G16" s="7">
        <f t="shared" si="4"/>
        <v>87.4</v>
      </c>
      <c r="H16" s="8">
        <v>10444</v>
      </c>
      <c r="I16" s="9">
        <v>477.3</v>
      </c>
      <c r="J16" s="9">
        <f t="shared" si="5"/>
        <v>4.4000000000000004</v>
      </c>
      <c r="K16" s="9">
        <f t="shared" si="0"/>
        <v>10921.3</v>
      </c>
      <c r="L16" s="9">
        <f t="shared" si="6"/>
        <v>23336</v>
      </c>
      <c r="M16" s="9">
        <f t="shared" si="7"/>
        <v>22316</v>
      </c>
      <c r="N16" s="9">
        <f t="shared" si="8"/>
        <v>26003</v>
      </c>
      <c r="O16" s="9">
        <f t="shared" si="9"/>
        <v>24867</v>
      </c>
      <c r="P16" s="9">
        <f t="shared" si="10"/>
        <v>26689</v>
      </c>
      <c r="Q16" s="9">
        <f t="shared" si="11"/>
        <v>25523</v>
      </c>
      <c r="R16" s="9">
        <f t="shared" si="12"/>
        <v>418</v>
      </c>
      <c r="S16" s="10">
        <f>ROUND($S$23/$H$22*H16,0)+100+75+69</f>
        <v>883</v>
      </c>
      <c r="T16" s="8">
        <f t="shared" si="13"/>
        <v>11745</v>
      </c>
      <c r="U16" s="9">
        <v>477.3</v>
      </c>
      <c r="V16" s="9">
        <f t="shared" si="1"/>
        <v>12222.3</v>
      </c>
      <c r="W16" s="9">
        <f t="shared" si="2"/>
        <v>26116</v>
      </c>
      <c r="X16" s="9">
        <f t="shared" si="14"/>
        <v>25096</v>
      </c>
      <c r="Y16" s="9">
        <f t="shared" si="15"/>
        <v>29101</v>
      </c>
      <c r="Z16" s="9">
        <f t="shared" si="16"/>
        <v>27964</v>
      </c>
      <c r="AA16" s="9">
        <f t="shared" si="17"/>
        <v>29869</v>
      </c>
      <c r="AB16" s="9">
        <f t="shared" si="18"/>
        <v>28702</v>
      </c>
    </row>
    <row r="17" spans="1:28" s="14" customFormat="1" ht="11.25" customHeight="1" outlineLevel="1">
      <c r="A17" s="4">
        <v>30</v>
      </c>
      <c r="B17" s="13" t="s">
        <v>19</v>
      </c>
      <c r="C17" s="7">
        <f>C18+C19</f>
        <v>124</v>
      </c>
      <c r="D17" s="7">
        <f t="shared" ref="D17:E17" si="19">D18+D19</f>
        <v>122</v>
      </c>
      <c r="E17" s="7">
        <f t="shared" si="19"/>
        <v>122.5</v>
      </c>
      <c r="F17" s="7">
        <f t="shared" si="3"/>
        <v>1.01</v>
      </c>
      <c r="G17" s="7">
        <f t="shared" si="4"/>
        <v>98.8</v>
      </c>
      <c r="H17" s="8">
        <f>H18+H19</f>
        <v>35309</v>
      </c>
      <c r="I17" s="8">
        <f>I18+I19</f>
        <v>6600</v>
      </c>
      <c r="J17" s="9">
        <f t="shared" si="5"/>
        <v>15.7</v>
      </c>
      <c r="K17" s="9">
        <f t="shared" si="0"/>
        <v>41909</v>
      </c>
      <c r="L17" s="9">
        <f t="shared" si="6"/>
        <v>28165</v>
      </c>
      <c r="M17" s="9">
        <f t="shared" si="7"/>
        <v>23729</v>
      </c>
      <c r="N17" s="9">
        <f t="shared" si="8"/>
        <v>28626</v>
      </c>
      <c r="O17" s="9">
        <f t="shared" si="9"/>
        <v>24118</v>
      </c>
      <c r="P17" s="9">
        <f t="shared" si="10"/>
        <v>28510</v>
      </c>
      <c r="Q17" s="9">
        <f t="shared" si="11"/>
        <v>24020</v>
      </c>
      <c r="R17" s="9">
        <f>R18+R19</f>
        <v>1412</v>
      </c>
      <c r="S17" s="9">
        <f>S18+S19</f>
        <v>640</v>
      </c>
      <c r="T17" s="8">
        <f t="shared" si="13"/>
        <v>37361</v>
      </c>
      <c r="U17" s="9">
        <f>U18+U19</f>
        <v>6600</v>
      </c>
      <c r="V17" s="9">
        <f t="shared" si="1"/>
        <v>43961</v>
      </c>
      <c r="W17" s="9">
        <f t="shared" si="2"/>
        <v>29544</v>
      </c>
      <c r="X17" s="9">
        <f t="shared" si="14"/>
        <v>25108</v>
      </c>
      <c r="Y17" s="9">
        <f t="shared" si="15"/>
        <v>30028</v>
      </c>
      <c r="Z17" s="9">
        <f t="shared" si="16"/>
        <v>25520</v>
      </c>
      <c r="AA17" s="9">
        <f t="shared" si="17"/>
        <v>29905</v>
      </c>
      <c r="AB17" s="9">
        <f t="shared" si="18"/>
        <v>25416</v>
      </c>
    </row>
    <row r="18" spans="1:28" s="21" customFormat="1" ht="11.25" customHeight="1" outlineLevel="1">
      <c r="A18" s="15"/>
      <c r="B18" s="16" t="s">
        <v>20</v>
      </c>
      <c r="C18" s="17">
        <v>77</v>
      </c>
      <c r="D18" s="17">
        <v>75</v>
      </c>
      <c r="E18" s="17">
        <v>75.5</v>
      </c>
      <c r="F18" s="17">
        <f t="shared" si="3"/>
        <v>1.02</v>
      </c>
      <c r="G18" s="17">
        <f t="shared" si="4"/>
        <v>98.1</v>
      </c>
      <c r="H18" s="18">
        <v>21583</v>
      </c>
      <c r="I18" s="19">
        <v>6600</v>
      </c>
      <c r="J18" s="19">
        <f t="shared" si="5"/>
        <v>23.4</v>
      </c>
      <c r="K18" s="19">
        <f t="shared" si="0"/>
        <v>28183</v>
      </c>
      <c r="L18" s="19">
        <f t="shared" si="6"/>
        <v>30501</v>
      </c>
      <c r="M18" s="19">
        <f t="shared" si="7"/>
        <v>23358</v>
      </c>
      <c r="N18" s="19">
        <f t="shared" si="8"/>
        <v>31314</v>
      </c>
      <c r="O18" s="19">
        <f t="shared" si="9"/>
        <v>23981</v>
      </c>
      <c r="P18" s="19">
        <f t="shared" si="10"/>
        <v>31107</v>
      </c>
      <c r="Q18" s="19">
        <f t="shared" si="11"/>
        <v>23822</v>
      </c>
      <c r="R18" s="19">
        <f t="shared" si="12"/>
        <v>863</v>
      </c>
      <c r="S18" s="20">
        <f>ROUND($S$23/$H$22*H18,0)-1321</f>
        <v>0</v>
      </c>
      <c r="T18" s="18">
        <f t="shared" si="13"/>
        <v>22446</v>
      </c>
      <c r="U18" s="19">
        <v>6600</v>
      </c>
      <c r="V18" s="19">
        <f t="shared" si="1"/>
        <v>29046</v>
      </c>
      <c r="W18" s="19">
        <f t="shared" si="2"/>
        <v>31435</v>
      </c>
      <c r="X18" s="19">
        <f t="shared" si="14"/>
        <v>24292</v>
      </c>
      <c r="Y18" s="19">
        <f t="shared" si="15"/>
        <v>32273</v>
      </c>
      <c r="Z18" s="19">
        <f t="shared" si="16"/>
        <v>24940</v>
      </c>
      <c r="AA18" s="19">
        <f t="shared" si="17"/>
        <v>32060</v>
      </c>
      <c r="AB18" s="19">
        <f t="shared" si="18"/>
        <v>24775</v>
      </c>
    </row>
    <row r="19" spans="1:28" s="21" customFormat="1" ht="11.25" customHeight="1" outlineLevel="1">
      <c r="A19" s="15"/>
      <c r="B19" s="16" t="s">
        <v>21</v>
      </c>
      <c r="C19" s="17">
        <v>47</v>
      </c>
      <c r="D19" s="17">
        <v>47</v>
      </c>
      <c r="E19" s="17">
        <v>47</v>
      </c>
      <c r="F19" s="17">
        <f t="shared" si="3"/>
        <v>1</v>
      </c>
      <c r="G19" s="17">
        <f t="shared" si="4"/>
        <v>100</v>
      </c>
      <c r="H19" s="18">
        <v>13726</v>
      </c>
      <c r="I19" s="19"/>
      <c r="J19" s="19">
        <f t="shared" si="5"/>
        <v>0</v>
      </c>
      <c r="K19" s="19">
        <f t="shared" si="0"/>
        <v>13726</v>
      </c>
      <c r="L19" s="19">
        <f t="shared" si="6"/>
        <v>24337</v>
      </c>
      <c r="M19" s="19">
        <f t="shared" si="7"/>
        <v>24337</v>
      </c>
      <c r="N19" s="19">
        <f t="shared" si="8"/>
        <v>24337</v>
      </c>
      <c r="O19" s="19">
        <f t="shared" si="9"/>
        <v>24337</v>
      </c>
      <c r="P19" s="19">
        <f t="shared" si="10"/>
        <v>24337</v>
      </c>
      <c r="Q19" s="19">
        <f t="shared" si="11"/>
        <v>24337</v>
      </c>
      <c r="R19" s="19">
        <f t="shared" si="12"/>
        <v>549</v>
      </c>
      <c r="S19" s="20">
        <f>ROUND($S$23/$H$22*H19,0)-200</f>
        <v>640</v>
      </c>
      <c r="T19" s="18">
        <f t="shared" si="13"/>
        <v>14915</v>
      </c>
      <c r="U19" s="19"/>
      <c r="V19" s="19">
        <f t="shared" si="1"/>
        <v>14915</v>
      </c>
      <c r="W19" s="19">
        <f t="shared" si="2"/>
        <v>26445</v>
      </c>
      <c r="X19" s="19">
        <f t="shared" si="14"/>
        <v>26445</v>
      </c>
      <c r="Y19" s="19">
        <f t="shared" si="15"/>
        <v>26445</v>
      </c>
      <c r="Z19" s="19">
        <f t="shared" si="16"/>
        <v>26445</v>
      </c>
      <c r="AA19" s="19">
        <f t="shared" si="17"/>
        <v>26445</v>
      </c>
      <c r="AB19" s="19">
        <f t="shared" si="18"/>
        <v>26445</v>
      </c>
    </row>
    <row r="20" spans="1:28" s="14" customFormat="1" ht="11.25" customHeight="1" outlineLevel="1">
      <c r="A20" s="4">
        <v>31</v>
      </c>
      <c r="B20" s="22" t="s">
        <v>22</v>
      </c>
      <c r="C20" s="6">
        <v>24</v>
      </c>
      <c r="D20" s="7">
        <v>24</v>
      </c>
      <c r="E20" s="7">
        <v>22.6</v>
      </c>
      <c r="F20" s="7">
        <f t="shared" si="3"/>
        <v>1.06</v>
      </c>
      <c r="G20" s="7">
        <f t="shared" si="4"/>
        <v>94.2</v>
      </c>
      <c r="H20" s="8">
        <v>6213</v>
      </c>
      <c r="I20" s="9">
        <v>642</v>
      </c>
      <c r="J20" s="9">
        <f t="shared" si="5"/>
        <v>9.4</v>
      </c>
      <c r="K20" s="9">
        <f t="shared" si="0"/>
        <v>6855</v>
      </c>
      <c r="L20" s="9">
        <f t="shared" si="6"/>
        <v>23802</v>
      </c>
      <c r="M20" s="9">
        <f t="shared" si="7"/>
        <v>21573</v>
      </c>
      <c r="N20" s="9">
        <f t="shared" si="8"/>
        <v>23802</v>
      </c>
      <c r="O20" s="9">
        <f t="shared" si="9"/>
        <v>21573</v>
      </c>
      <c r="P20" s="9">
        <f t="shared" si="10"/>
        <v>25277</v>
      </c>
      <c r="Q20" s="9">
        <f t="shared" si="11"/>
        <v>22909</v>
      </c>
      <c r="R20" s="9">
        <f t="shared" si="12"/>
        <v>249</v>
      </c>
      <c r="S20" s="8">
        <f>ROUND($S$23/$H$22*H20,0)</f>
        <v>380</v>
      </c>
      <c r="T20" s="8">
        <f t="shared" si="13"/>
        <v>6842</v>
      </c>
      <c r="U20" s="9">
        <v>642</v>
      </c>
      <c r="V20" s="9">
        <f t="shared" si="1"/>
        <v>7484</v>
      </c>
      <c r="W20" s="9">
        <f t="shared" si="2"/>
        <v>25986</v>
      </c>
      <c r="X20" s="9">
        <f t="shared" si="14"/>
        <v>23757</v>
      </c>
      <c r="Y20" s="9">
        <f t="shared" si="15"/>
        <v>25986</v>
      </c>
      <c r="Z20" s="9">
        <f t="shared" si="16"/>
        <v>23757</v>
      </c>
      <c r="AA20" s="9">
        <f t="shared" si="17"/>
        <v>27596</v>
      </c>
      <c r="AB20" s="9">
        <f t="shared" si="18"/>
        <v>25229</v>
      </c>
    </row>
    <row r="21" spans="1:28" s="23" customFormat="1" ht="11.25" customHeight="1" outlineLevel="1">
      <c r="A21" s="4">
        <v>32</v>
      </c>
      <c r="B21" s="11" t="s">
        <v>23</v>
      </c>
      <c r="C21" s="12">
        <v>44.5</v>
      </c>
      <c r="D21" s="8">
        <v>40</v>
      </c>
      <c r="E21" s="8">
        <v>35.700000000000003</v>
      </c>
      <c r="F21" s="7">
        <f t="shared" si="3"/>
        <v>1.25</v>
      </c>
      <c r="G21" s="7">
        <f t="shared" si="4"/>
        <v>80.2</v>
      </c>
      <c r="H21" s="8">
        <v>13857</v>
      </c>
      <c r="I21" s="9">
        <v>3559</v>
      </c>
      <c r="J21" s="9">
        <f t="shared" si="5"/>
        <v>20.399999999999999</v>
      </c>
      <c r="K21" s="9">
        <f t="shared" si="0"/>
        <v>17416</v>
      </c>
      <c r="L21" s="9">
        <f t="shared" si="6"/>
        <v>32614</v>
      </c>
      <c r="M21" s="9">
        <f t="shared" si="7"/>
        <v>25949</v>
      </c>
      <c r="N21" s="9">
        <f t="shared" si="8"/>
        <v>36283</v>
      </c>
      <c r="O21" s="9">
        <f t="shared" si="9"/>
        <v>28869</v>
      </c>
      <c r="P21" s="9">
        <f t="shared" si="10"/>
        <v>40654</v>
      </c>
      <c r="Q21" s="9">
        <f t="shared" si="11"/>
        <v>32346</v>
      </c>
      <c r="R21" s="9">
        <f t="shared" si="12"/>
        <v>554</v>
      </c>
      <c r="S21" s="10">
        <f>ROUND($S$23/$H$22*H21,0)-848</f>
        <v>0</v>
      </c>
      <c r="T21" s="8">
        <f t="shared" si="13"/>
        <v>14411</v>
      </c>
      <c r="U21" s="9">
        <v>3559</v>
      </c>
      <c r="V21" s="9">
        <f t="shared" si="1"/>
        <v>17970</v>
      </c>
      <c r="W21" s="9">
        <f t="shared" si="2"/>
        <v>33652</v>
      </c>
      <c r="X21" s="9">
        <f t="shared" si="14"/>
        <v>26987</v>
      </c>
      <c r="Y21" s="9">
        <f t="shared" si="15"/>
        <v>37438</v>
      </c>
      <c r="Z21" s="9">
        <f t="shared" si="16"/>
        <v>30023</v>
      </c>
      <c r="AA21" s="9">
        <f t="shared" si="17"/>
        <v>41947</v>
      </c>
      <c r="AB21" s="9">
        <f t="shared" si="18"/>
        <v>33639</v>
      </c>
    </row>
    <row r="22" spans="1:28" s="23" customFormat="1" ht="15" customHeight="1" outlineLevel="1">
      <c r="A22" s="24"/>
      <c r="B22" s="25" t="s">
        <v>24</v>
      </c>
      <c r="C22" s="26">
        <f>C6+C7+C8+C9+C10+C11+C12+C13+C14+C15+C16+C17+C20+C21</f>
        <v>1045</v>
      </c>
      <c r="D22" s="26">
        <f>D6+D7+D8+D9+D10+D11+D12+D13+D14+D15+D16+D17+D20+D21</f>
        <v>935.2</v>
      </c>
      <c r="E22" s="26">
        <f>E6+E7+E8+E9+E10+E11+E12+E13+E14+E15+E16+E17+E20+E21</f>
        <v>892.00000000000011</v>
      </c>
      <c r="F22" s="26"/>
      <c r="G22" s="27">
        <f t="shared" si="4"/>
        <v>85.4</v>
      </c>
      <c r="H22" s="26">
        <f>H6+H7+H8+H9+H10+H11+H12+H13+H14+H15+H16+H17+H20+H21</f>
        <v>276783</v>
      </c>
      <c r="I22" s="26">
        <f>I6+I7+I8+I9+I10+I11+I12+I13+I14+I15+I16+I17+I20+I21</f>
        <v>32038.899999999998</v>
      </c>
      <c r="J22" s="9">
        <f t="shared" si="5"/>
        <v>10.4</v>
      </c>
      <c r="K22" s="26">
        <f>K6+K7+K8+K9+K10+K11+K12+K13+K14+K15+K16+K17+K20+K21</f>
        <v>308821.90000000002</v>
      </c>
      <c r="L22" s="28">
        <f t="shared" si="6"/>
        <v>24627</v>
      </c>
      <c r="M22" s="28">
        <f t="shared" si="7"/>
        <v>22072</v>
      </c>
      <c r="N22" s="28">
        <f t="shared" si="8"/>
        <v>27518</v>
      </c>
      <c r="O22" s="28">
        <f t="shared" si="9"/>
        <v>24663</v>
      </c>
      <c r="P22" s="28">
        <f t="shared" si="10"/>
        <v>28851</v>
      </c>
      <c r="Q22" s="28">
        <f t="shared" si="11"/>
        <v>25858</v>
      </c>
      <c r="R22" s="26">
        <f>R6+R7+R8+R9+R10+R11+R12+R13+R14+R15+R16+R17+R20+R21</f>
        <v>11070</v>
      </c>
      <c r="S22" s="26">
        <f>S6+S7+S8+S9+S10+S11+S12+S13+S14+S15+S16+S17+S20+S21</f>
        <v>16946</v>
      </c>
      <c r="T22" s="26">
        <f>T6+T7+T8+T9+T10+T11+T12+T13+T14+T15+T16+T17+T20+T21</f>
        <v>304799</v>
      </c>
      <c r="U22" s="26">
        <f t="shared" ref="U22:V22" si="20">U6+U7+U8+U9+U10+U11+U12+U13+U14+U15+U16+U17+U20+U21</f>
        <v>32038.899999999998</v>
      </c>
      <c r="V22" s="26">
        <f t="shared" si="20"/>
        <v>336837.9</v>
      </c>
      <c r="W22" s="28">
        <f t="shared" si="2"/>
        <v>26861</v>
      </c>
      <c r="X22" s="28">
        <f t="shared" si="14"/>
        <v>24306</v>
      </c>
      <c r="Y22" s="28">
        <f t="shared" si="15"/>
        <v>30015</v>
      </c>
      <c r="Z22" s="28">
        <f t="shared" si="16"/>
        <v>27160</v>
      </c>
      <c r="AA22" s="28">
        <f t="shared" si="17"/>
        <v>31468</v>
      </c>
      <c r="AB22" s="28">
        <f t="shared" si="18"/>
        <v>28475</v>
      </c>
    </row>
    <row r="23" spans="1:28">
      <c r="A23" s="29"/>
      <c r="B23" s="29"/>
      <c r="C23" s="29"/>
      <c r="D23" s="29"/>
      <c r="E23" s="29"/>
      <c r="F23" s="29"/>
      <c r="G23" s="29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>
        <v>28016</v>
      </c>
      <c r="S23" s="31">
        <f>R23-R22</f>
        <v>16946</v>
      </c>
      <c r="T23" s="31"/>
      <c r="U23" s="30"/>
    </row>
    <row r="24" spans="1:28">
      <c r="A24" s="29"/>
      <c r="B24" s="29"/>
      <c r="C24" s="29"/>
      <c r="D24" s="29"/>
      <c r="E24" s="29"/>
      <c r="F24" s="29"/>
      <c r="G24" s="29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1"/>
      <c r="T24" s="31"/>
      <c r="U24" s="30"/>
    </row>
    <row r="25" spans="1:28">
      <c r="A25" s="32"/>
      <c r="S25" s="33" t="b">
        <f>S23=S22</f>
        <v>1</v>
      </c>
      <c r="T25" s="33"/>
    </row>
    <row r="26" spans="1:28">
      <c r="A26" s="29"/>
      <c r="B26" s="29" t="s">
        <v>39</v>
      </c>
      <c r="C26" s="29"/>
      <c r="D26" s="29"/>
      <c r="E26" s="29"/>
      <c r="F26" s="29"/>
      <c r="G26" s="29"/>
    </row>
    <row r="27" spans="1:28" ht="40.15" customHeight="1">
      <c r="A27" s="29"/>
      <c r="B27" s="29"/>
      <c r="C27" s="29"/>
      <c r="D27" s="29"/>
      <c r="E27" s="29"/>
      <c r="F27" s="29"/>
      <c r="G27" s="29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</row>
    <row r="28" spans="1:28">
      <c r="A28" s="29"/>
      <c r="B28" s="29"/>
      <c r="C28" s="29"/>
      <c r="D28" s="29"/>
      <c r="E28" s="29"/>
      <c r="F28" s="29"/>
      <c r="G28" s="29"/>
    </row>
    <row r="29" spans="1:28">
      <c r="A29" s="29"/>
      <c r="B29" s="29"/>
      <c r="C29" s="29"/>
      <c r="D29" s="29"/>
      <c r="E29" s="29"/>
      <c r="F29" s="29"/>
      <c r="G29" s="29"/>
    </row>
    <row r="30" spans="1:28">
      <c r="A30" s="29"/>
      <c r="B30" s="29"/>
      <c r="C30" s="29"/>
      <c r="D30" s="29"/>
      <c r="E30" s="29"/>
      <c r="F30" s="29"/>
      <c r="G30" s="29"/>
    </row>
    <row r="31" spans="1:28">
      <c r="A31" s="29"/>
      <c r="B31" s="29"/>
      <c r="C31" s="29"/>
      <c r="D31" s="29"/>
      <c r="E31" s="29"/>
      <c r="F31" s="29"/>
      <c r="G31" s="29"/>
    </row>
    <row r="32" spans="1:28">
      <c r="A32" s="29"/>
      <c r="B32" s="29"/>
      <c r="C32" s="29"/>
      <c r="D32" s="29"/>
      <c r="E32" s="29"/>
      <c r="F32" s="29"/>
      <c r="G32" s="29"/>
    </row>
    <row r="33" spans="1:7">
      <c r="A33" s="29"/>
      <c r="B33" s="29"/>
      <c r="C33" s="29"/>
      <c r="D33" s="29"/>
      <c r="E33" s="29"/>
      <c r="F33" s="29"/>
      <c r="G33" s="29"/>
    </row>
    <row r="34" spans="1:7">
      <c r="A34" s="29"/>
      <c r="B34" s="29"/>
      <c r="C34" s="29"/>
      <c r="D34" s="29"/>
      <c r="E34" s="29"/>
      <c r="F34" s="29"/>
      <c r="G34" s="29"/>
    </row>
    <row r="35" spans="1:7">
      <c r="A35" s="29"/>
      <c r="B35" s="29"/>
      <c r="C35" s="29"/>
      <c r="D35" s="29"/>
      <c r="E35" s="29"/>
      <c r="F35" s="29"/>
      <c r="G35" s="29"/>
    </row>
    <row r="36" spans="1:7">
      <c r="A36" s="29"/>
      <c r="B36" s="29"/>
      <c r="C36" s="29"/>
      <c r="D36" s="29"/>
      <c r="E36" s="29"/>
      <c r="F36" s="29"/>
      <c r="G36" s="29"/>
    </row>
    <row r="37" spans="1:7">
      <c r="A37" s="29"/>
      <c r="B37" s="29"/>
      <c r="C37" s="29"/>
      <c r="D37" s="29"/>
      <c r="E37" s="29"/>
      <c r="F37" s="29"/>
      <c r="G37" s="29"/>
    </row>
    <row r="38" spans="1:7">
      <c r="A38" s="29"/>
      <c r="B38" s="29"/>
      <c r="C38" s="29"/>
      <c r="D38" s="29"/>
      <c r="E38" s="29"/>
      <c r="F38" s="29"/>
      <c r="G38" s="29"/>
    </row>
    <row r="39" spans="1:7">
      <c r="A39" s="29"/>
      <c r="B39" s="29"/>
      <c r="C39" s="29"/>
      <c r="D39" s="29"/>
      <c r="E39" s="29"/>
      <c r="F39" s="29"/>
      <c r="G39" s="29"/>
    </row>
    <row r="40" spans="1:7">
      <c r="A40" s="29"/>
      <c r="B40" s="29"/>
      <c r="C40" s="29"/>
      <c r="D40" s="29"/>
      <c r="E40" s="29"/>
      <c r="F40" s="29"/>
      <c r="G40" s="29"/>
    </row>
    <row r="41" spans="1:7">
      <c r="A41" s="29"/>
      <c r="B41" s="29"/>
      <c r="C41" s="29"/>
      <c r="D41" s="29"/>
      <c r="E41" s="29"/>
      <c r="F41" s="29"/>
      <c r="G41" s="29"/>
    </row>
    <row r="42" spans="1:7">
      <c r="A42" s="29"/>
      <c r="B42" s="29"/>
      <c r="C42" s="29"/>
      <c r="D42" s="29"/>
      <c r="E42" s="29"/>
      <c r="F42" s="29"/>
      <c r="G42" s="29"/>
    </row>
    <row r="43" spans="1:7">
      <c r="A43" s="29"/>
      <c r="B43" s="29"/>
      <c r="C43" s="29"/>
      <c r="D43" s="29"/>
      <c r="E43" s="29"/>
      <c r="F43" s="29"/>
      <c r="G43" s="29"/>
    </row>
    <row r="44" spans="1:7">
      <c r="A44" s="29"/>
      <c r="B44" s="29"/>
      <c r="C44" s="29"/>
      <c r="D44" s="29"/>
      <c r="E44" s="29"/>
      <c r="F44" s="29"/>
      <c r="G44" s="29"/>
    </row>
    <row r="45" spans="1:7">
      <c r="A45" s="29"/>
      <c r="B45" s="29"/>
      <c r="C45" s="29"/>
      <c r="D45" s="29"/>
      <c r="E45" s="29"/>
      <c r="F45" s="29"/>
      <c r="G45" s="29"/>
    </row>
    <row r="46" spans="1:7">
      <c r="A46" s="29"/>
      <c r="B46" s="29"/>
      <c r="C46" s="29"/>
      <c r="D46" s="29"/>
      <c r="E46" s="29"/>
      <c r="F46" s="29"/>
      <c r="G46" s="29"/>
    </row>
    <row r="47" spans="1:7">
      <c r="A47" s="29"/>
      <c r="B47" s="29"/>
      <c r="C47" s="29"/>
      <c r="D47" s="29"/>
      <c r="E47" s="29"/>
      <c r="F47" s="29"/>
      <c r="G47" s="29"/>
    </row>
    <row r="48" spans="1:7">
      <c r="A48" s="29"/>
      <c r="B48" s="29"/>
      <c r="C48" s="29"/>
      <c r="D48" s="29"/>
      <c r="E48" s="29"/>
      <c r="F48" s="29"/>
      <c r="G48" s="29"/>
    </row>
    <row r="49" spans="1:7">
      <c r="A49" s="29"/>
      <c r="B49" s="29"/>
      <c r="C49" s="29"/>
      <c r="D49" s="29"/>
      <c r="E49" s="29"/>
      <c r="F49" s="29"/>
      <c r="G49" s="29"/>
    </row>
    <row r="50" spans="1:7">
      <c r="A50" s="29"/>
      <c r="B50" s="29"/>
      <c r="C50" s="29"/>
      <c r="D50" s="29"/>
      <c r="E50" s="29"/>
      <c r="F50" s="29"/>
      <c r="G50" s="29"/>
    </row>
    <row r="51" spans="1:7">
      <c r="A51" s="29"/>
      <c r="B51" s="29"/>
      <c r="C51" s="29"/>
      <c r="D51" s="29"/>
      <c r="E51" s="29"/>
      <c r="F51" s="29"/>
      <c r="G51" s="29"/>
    </row>
    <row r="52" spans="1:7">
      <c r="A52" s="29"/>
      <c r="B52" s="29"/>
      <c r="C52" s="29"/>
      <c r="D52" s="29"/>
      <c r="E52" s="29"/>
      <c r="F52" s="29"/>
      <c r="G52" s="29"/>
    </row>
    <row r="53" spans="1:7">
      <c r="A53" s="29"/>
      <c r="B53" s="29"/>
      <c r="C53" s="29"/>
      <c r="D53" s="29"/>
      <c r="E53" s="29"/>
      <c r="F53" s="29"/>
      <c r="G53" s="29"/>
    </row>
    <row r="54" spans="1:7">
      <c r="A54" s="29"/>
      <c r="B54" s="29"/>
      <c r="C54" s="29"/>
      <c r="D54" s="29"/>
      <c r="E54" s="29"/>
      <c r="F54" s="29"/>
      <c r="G54" s="29"/>
    </row>
    <row r="55" spans="1:7">
      <c r="A55" s="29"/>
      <c r="B55" s="29"/>
      <c r="C55" s="29"/>
      <c r="D55" s="29"/>
      <c r="E55" s="29"/>
      <c r="F55" s="29"/>
      <c r="G55" s="29"/>
    </row>
    <row r="56" spans="1:7">
      <c r="A56" s="29"/>
      <c r="B56" s="29"/>
      <c r="C56" s="29"/>
      <c r="D56" s="29"/>
      <c r="E56" s="29"/>
      <c r="F56" s="29"/>
      <c r="G56" s="29"/>
    </row>
    <row r="57" spans="1:7">
      <c r="A57" s="29"/>
      <c r="B57" s="29"/>
      <c r="C57" s="29"/>
      <c r="D57" s="29"/>
      <c r="E57" s="29"/>
      <c r="F57" s="29"/>
      <c r="G57" s="29"/>
    </row>
    <row r="58" spans="1:7">
      <c r="A58" s="29"/>
      <c r="B58" s="29"/>
      <c r="C58" s="29"/>
      <c r="D58" s="29"/>
      <c r="E58" s="29"/>
      <c r="F58" s="29"/>
      <c r="G58" s="29"/>
    </row>
    <row r="59" spans="1:7">
      <c r="A59" s="29"/>
      <c r="B59" s="29"/>
      <c r="C59" s="29"/>
      <c r="D59" s="29"/>
      <c r="E59" s="29"/>
      <c r="F59" s="29"/>
      <c r="G59" s="29"/>
    </row>
    <row r="60" spans="1:7">
      <c r="A60" s="29"/>
      <c r="B60" s="29"/>
      <c r="C60" s="29"/>
      <c r="D60" s="29"/>
      <c r="E60" s="29"/>
      <c r="F60" s="29"/>
      <c r="G60" s="29"/>
    </row>
    <row r="61" spans="1:7">
      <c r="A61" s="29"/>
      <c r="B61" s="29"/>
      <c r="C61" s="29"/>
      <c r="D61" s="29"/>
      <c r="E61" s="29"/>
      <c r="F61" s="29"/>
      <c r="G61" s="29"/>
    </row>
  </sheetData>
  <mergeCells count="27">
    <mergeCell ref="H27:U27"/>
    <mergeCell ref="A1:AB1"/>
    <mergeCell ref="T4:T5"/>
    <mergeCell ref="U4:U5"/>
    <mergeCell ref="V4:V5"/>
    <mergeCell ref="W4:X4"/>
    <mergeCell ref="Y4:Z4"/>
    <mergeCell ref="AA4:AB4"/>
    <mergeCell ref="R3:S4"/>
    <mergeCell ref="T3:V3"/>
    <mergeCell ref="W3:AB3"/>
    <mergeCell ref="H4:H5"/>
    <mergeCell ref="I4:I5"/>
    <mergeCell ref="J4:J5"/>
    <mergeCell ref="K4:K5"/>
    <mergeCell ref="L4:M4"/>
    <mergeCell ref="N4:O4"/>
    <mergeCell ref="P4:Q4"/>
    <mergeCell ref="A3:A5"/>
    <mergeCell ref="B3:B5"/>
    <mergeCell ref="C3:C5"/>
    <mergeCell ref="D3:D5"/>
    <mergeCell ref="E3:E5"/>
    <mergeCell ref="F3:F5"/>
    <mergeCell ref="G3:G5"/>
    <mergeCell ref="H3:K3"/>
    <mergeCell ref="L3:Q3"/>
  </mergeCells>
  <printOptions horizontalCentered="1"/>
  <pageMargins left="0" right="0" top="1.1811023622047245" bottom="0" header="0.51181102362204722" footer="0.51181102362204722"/>
  <pageSetup paperSize="9" scale="66" fitToHeight="0" orientation="landscape" verticalDpi="0" r:id="rId1"/>
  <headerFooter alignWithMargins="0">
    <oddFooter>&amp;R&amp;D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1"/>
  <sheetViews>
    <sheetView zoomScale="70" zoomScaleNormal="70" workbookViewId="0">
      <pane xSplit="1" ySplit="9" topLeftCell="B25" activePane="bottomRight" state="frozen"/>
      <selection pane="topRight" activeCell="B1" sqref="B1"/>
      <selection pane="bottomLeft" activeCell="A11" sqref="A11"/>
      <selection pane="bottomRight" activeCell="H4" sqref="H4:M4"/>
    </sheetView>
  </sheetViews>
  <sheetFormatPr defaultRowHeight="15.75"/>
  <cols>
    <col min="1" max="1" width="30.25" customWidth="1"/>
    <col min="2" max="2" width="8.125" customWidth="1"/>
    <col min="3" max="3" width="6.25" customWidth="1"/>
    <col min="4" max="4" width="9.25" customWidth="1"/>
    <col min="5" max="5" width="7.375" customWidth="1"/>
    <col min="6" max="6" width="5" customWidth="1"/>
    <col min="7" max="7" width="6.75" customWidth="1"/>
    <col min="8" max="8" width="8.5" customWidth="1"/>
    <col min="9" max="9" width="9.25" customWidth="1"/>
    <col min="10" max="11" width="7.75" customWidth="1"/>
    <col min="12" max="12" width="6.125" customWidth="1"/>
    <col min="13" max="13" width="9.25" customWidth="1"/>
    <col min="14" max="14" width="8.625" customWidth="1"/>
    <col min="15" max="15" width="11.125" customWidth="1"/>
    <col min="16" max="16" width="8.125" customWidth="1"/>
    <col min="17" max="17" width="7.375" customWidth="1"/>
    <col min="18" max="18" width="5.875" customWidth="1"/>
    <col min="19" max="19" width="7.625" customWidth="1"/>
  </cols>
  <sheetData>
    <row r="1" spans="1:19" ht="31.15" customHeight="1">
      <c r="A1" s="173" t="s">
        <v>160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</row>
    <row r="3" spans="1:19">
      <c r="S3" t="s">
        <v>26</v>
      </c>
    </row>
    <row r="4" spans="1:19" ht="76.900000000000006" customHeight="1">
      <c r="A4" s="174"/>
      <c r="B4" s="177" t="s">
        <v>40</v>
      </c>
      <c r="C4" s="177"/>
      <c r="D4" s="177"/>
      <c r="E4" s="177"/>
      <c r="F4" s="177"/>
      <c r="G4" s="177"/>
      <c r="H4" s="178" t="s">
        <v>47</v>
      </c>
      <c r="I4" s="179"/>
      <c r="J4" s="179"/>
      <c r="K4" s="179"/>
      <c r="L4" s="179"/>
      <c r="M4" s="180"/>
      <c r="N4" s="178" t="s">
        <v>48</v>
      </c>
      <c r="O4" s="179"/>
      <c r="P4" s="179"/>
      <c r="Q4" s="179"/>
      <c r="R4" s="179"/>
      <c r="S4" s="180"/>
    </row>
    <row r="5" spans="1:19" ht="15.6" customHeight="1">
      <c r="A5" s="175"/>
      <c r="B5" s="181" t="s">
        <v>27</v>
      </c>
      <c r="C5" s="181" t="s">
        <v>28</v>
      </c>
      <c r="D5" s="181"/>
      <c r="E5" s="181"/>
      <c r="F5" s="181"/>
      <c r="G5" s="181"/>
      <c r="H5" s="181" t="s">
        <v>27</v>
      </c>
      <c r="I5" s="181" t="s">
        <v>28</v>
      </c>
      <c r="J5" s="181"/>
      <c r="K5" s="181"/>
      <c r="L5" s="181"/>
      <c r="M5" s="181"/>
      <c r="N5" s="181" t="s">
        <v>27</v>
      </c>
      <c r="O5" s="181" t="s">
        <v>28</v>
      </c>
      <c r="P5" s="181"/>
      <c r="Q5" s="181"/>
      <c r="R5" s="181"/>
      <c r="S5" s="181"/>
    </row>
    <row r="6" spans="1:19" ht="21" customHeight="1">
      <c r="A6" s="175"/>
      <c r="B6" s="181"/>
      <c r="C6" s="182" t="s">
        <v>29</v>
      </c>
      <c r="D6" s="181" t="s">
        <v>30</v>
      </c>
      <c r="E6" s="181"/>
      <c r="F6" s="181"/>
      <c r="G6" s="181"/>
      <c r="H6" s="181"/>
      <c r="I6" s="181" t="s">
        <v>49</v>
      </c>
      <c r="J6" s="181" t="s">
        <v>30</v>
      </c>
      <c r="K6" s="181"/>
      <c r="L6" s="181"/>
      <c r="M6" s="181"/>
      <c r="N6" s="181"/>
      <c r="O6" s="181" t="s">
        <v>43</v>
      </c>
      <c r="P6" s="181" t="s">
        <v>30</v>
      </c>
      <c r="Q6" s="181"/>
      <c r="R6" s="181"/>
      <c r="S6" s="181"/>
    </row>
    <row r="7" spans="1:19" ht="21" customHeight="1">
      <c r="A7" s="175"/>
      <c r="B7" s="181"/>
      <c r="C7" s="183"/>
      <c r="D7" s="181" t="s">
        <v>3</v>
      </c>
      <c r="E7" s="181" t="s">
        <v>31</v>
      </c>
      <c r="F7" s="181"/>
      <c r="G7" s="181"/>
      <c r="H7" s="181"/>
      <c r="I7" s="181"/>
      <c r="J7" s="181" t="s">
        <v>3</v>
      </c>
      <c r="K7" s="181" t="s">
        <v>31</v>
      </c>
      <c r="L7" s="181"/>
      <c r="M7" s="181"/>
      <c r="N7" s="181"/>
      <c r="O7" s="181"/>
      <c r="P7" s="181" t="s">
        <v>3</v>
      </c>
      <c r="Q7" s="181" t="s">
        <v>31</v>
      </c>
      <c r="R7" s="181"/>
      <c r="S7" s="181"/>
    </row>
    <row r="8" spans="1:19" ht="21" customHeight="1">
      <c r="A8" s="175"/>
      <c r="B8" s="181"/>
      <c r="C8" s="183"/>
      <c r="D8" s="181"/>
      <c r="E8" s="181" t="s">
        <v>32</v>
      </c>
      <c r="F8" s="181" t="s">
        <v>33</v>
      </c>
      <c r="G8" s="181"/>
      <c r="H8" s="181"/>
      <c r="I8" s="181"/>
      <c r="J8" s="181"/>
      <c r="K8" s="181" t="s">
        <v>50</v>
      </c>
      <c r="L8" s="181" t="s">
        <v>33</v>
      </c>
      <c r="M8" s="181"/>
      <c r="N8" s="181"/>
      <c r="O8" s="181"/>
      <c r="P8" s="181"/>
      <c r="Q8" s="181" t="s">
        <v>44</v>
      </c>
      <c r="R8" s="181" t="s">
        <v>33</v>
      </c>
      <c r="S8" s="181"/>
    </row>
    <row r="9" spans="1:19" ht="30" customHeight="1">
      <c r="A9" s="176"/>
      <c r="B9" s="181"/>
      <c r="C9" s="184"/>
      <c r="D9" s="181"/>
      <c r="E9" s="181"/>
      <c r="F9" s="35" t="s">
        <v>45</v>
      </c>
      <c r="G9" s="35" t="s">
        <v>34</v>
      </c>
      <c r="H9" s="181"/>
      <c r="I9" s="181"/>
      <c r="J9" s="181"/>
      <c r="K9" s="181"/>
      <c r="L9" s="35" t="s">
        <v>45</v>
      </c>
      <c r="M9" s="35" t="s">
        <v>34</v>
      </c>
      <c r="N9" s="181"/>
      <c r="O9" s="181"/>
      <c r="P9" s="181"/>
      <c r="Q9" s="181"/>
      <c r="R9" s="35" t="s">
        <v>45</v>
      </c>
      <c r="S9" s="35" t="s">
        <v>34</v>
      </c>
    </row>
    <row r="10" spans="1:19">
      <c r="A10" s="36" t="s">
        <v>8</v>
      </c>
      <c r="B10" s="37">
        <v>10512000</v>
      </c>
      <c r="C10" s="38">
        <v>536313</v>
      </c>
      <c r="D10" s="38">
        <f t="shared" ref="D10:D20" si="0">B10-C10</f>
        <v>9975687</v>
      </c>
      <c r="E10" s="38">
        <v>6609186</v>
      </c>
      <c r="F10" s="38">
        <f>ROUND(G10/E10*100,1)</f>
        <v>50.9</v>
      </c>
      <c r="G10" s="38">
        <f>D10-E10</f>
        <v>3366501</v>
      </c>
      <c r="H10" s="37">
        <v>12446000</v>
      </c>
      <c r="I10" s="38">
        <v>536313</v>
      </c>
      <c r="J10" s="38">
        <f t="shared" ref="J10:J20" si="1">H10-I10</f>
        <v>11909687</v>
      </c>
      <c r="K10" s="38">
        <v>6609186</v>
      </c>
      <c r="L10" s="38">
        <f>ROUND(M10/K10*100,1)</f>
        <v>80.2</v>
      </c>
      <c r="M10" s="38">
        <f>J10-K10</f>
        <v>5300501</v>
      </c>
      <c r="N10" s="37">
        <v>12446000</v>
      </c>
      <c r="O10" s="38">
        <f>ROUND(C10*1.04,0)</f>
        <v>557766</v>
      </c>
      <c r="P10" s="38">
        <f>N10-O10</f>
        <v>11888234</v>
      </c>
      <c r="Q10" s="38">
        <f>ROUND(K10*1.04,0)</f>
        <v>6873553</v>
      </c>
      <c r="R10" s="38">
        <f>ROUND(S10/Q10*100,1)</f>
        <v>73</v>
      </c>
      <c r="S10" s="38">
        <f>P10-Q10</f>
        <v>5014681</v>
      </c>
    </row>
    <row r="11" spans="1:19">
      <c r="A11" s="36" t="s">
        <v>9</v>
      </c>
      <c r="B11" s="37">
        <v>3275000</v>
      </c>
      <c r="C11" s="38">
        <v>536313</v>
      </c>
      <c r="D11" s="38">
        <f t="shared" si="0"/>
        <v>2738687</v>
      </c>
      <c r="E11" s="38">
        <v>1691424</v>
      </c>
      <c r="F11" s="38">
        <f t="shared" ref="F11:F26" si="2">ROUND(G11/E11*100,1)</f>
        <v>61.9</v>
      </c>
      <c r="G11" s="38">
        <f t="shared" ref="G11:G25" si="3">D11-E11</f>
        <v>1047263</v>
      </c>
      <c r="H11" s="37">
        <v>3607000</v>
      </c>
      <c r="I11" s="38">
        <v>536313</v>
      </c>
      <c r="J11" s="38">
        <f t="shared" si="1"/>
        <v>3070687</v>
      </c>
      <c r="K11" s="38">
        <v>1691424</v>
      </c>
      <c r="L11" s="38">
        <f t="shared" ref="L11:L21" si="4">ROUND(M11/K11*100,1)</f>
        <v>81.5</v>
      </c>
      <c r="M11" s="38">
        <f t="shared" ref="M11:M20" si="5">J11-K11</f>
        <v>1379263</v>
      </c>
      <c r="N11" s="37">
        <v>3607000</v>
      </c>
      <c r="O11" s="38">
        <f>ROUND(C11*1.04,0)</f>
        <v>557766</v>
      </c>
      <c r="P11" s="38">
        <f t="shared" ref="P11:P25" si="6">N11-O11</f>
        <v>3049234</v>
      </c>
      <c r="Q11" s="38">
        <f t="shared" ref="Q11:Q25" si="7">ROUND(K11*1.04,0)</f>
        <v>1759081</v>
      </c>
      <c r="R11" s="38">
        <f t="shared" ref="R11:R26" si="8">ROUND(S11/Q11*100,1)</f>
        <v>73.3</v>
      </c>
      <c r="S11" s="38">
        <f t="shared" ref="S11:S25" si="9">P11-Q11</f>
        <v>1290153</v>
      </c>
    </row>
    <row r="12" spans="1:19">
      <c r="A12" s="36" t="s">
        <v>10</v>
      </c>
      <c r="B12" s="37">
        <v>5781000</v>
      </c>
      <c r="C12" s="38">
        <v>536313</v>
      </c>
      <c r="D12" s="38">
        <f t="shared" si="0"/>
        <v>5244687</v>
      </c>
      <c r="E12" s="38">
        <v>3609048</v>
      </c>
      <c r="F12" s="38">
        <f t="shared" si="2"/>
        <v>45.3</v>
      </c>
      <c r="G12" s="38">
        <f t="shared" si="3"/>
        <v>1635639</v>
      </c>
      <c r="H12" s="37">
        <v>6756000</v>
      </c>
      <c r="I12" s="38">
        <v>536313</v>
      </c>
      <c r="J12" s="38">
        <f t="shared" si="1"/>
        <v>6219687</v>
      </c>
      <c r="K12" s="38">
        <v>3609048</v>
      </c>
      <c r="L12" s="38">
        <f t="shared" si="4"/>
        <v>72.3</v>
      </c>
      <c r="M12" s="38">
        <f t="shared" si="5"/>
        <v>2610639</v>
      </c>
      <c r="N12" s="37">
        <v>6756000</v>
      </c>
      <c r="O12" s="38">
        <f>ROUND(C12*1.04,0)</f>
        <v>557766</v>
      </c>
      <c r="P12" s="38">
        <f t="shared" si="6"/>
        <v>6198234</v>
      </c>
      <c r="Q12" s="38">
        <f t="shared" si="7"/>
        <v>3753410</v>
      </c>
      <c r="R12" s="38">
        <f t="shared" si="8"/>
        <v>65.099999999999994</v>
      </c>
      <c r="S12" s="38">
        <f t="shared" si="9"/>
        <v>2444824</v>
      </c>
    </row>
    <row r="13" spans="1:19">
      <c r="A13" s="39" t="s">
        <v>35</v>
      </c>
      <c r="B13" s="8">
        <v>66788000</v>
      </c>
      <c r="C13" s="38">
        <v>575555</v>
      </c>
      <c r="D13" s="38">
        <f t="shared" si="0"/>
        <v>66212445</v>
      </c>
      <c r="E13" s="38">
        <v>44008260</v>
      </c>
      <c r="F13" s="38">
        <f t="shared" si="2"/>
        <v>50.5</v>
      </c>
      <c r="G13" s="38">
        <f t="shared" si="3"/>
        <v>22204185</v>
      </c>
      <c r="H13" s="8">
        <v>58233000</v>
      </c>
      <c r="I13" s="38">
        <v>575555</v>
      </c>
      <c r="J13" s="38">
        <f t="shared" si="1"/>
        <v>57657445</v>
      </c>
      <c r="K13" s="38">
        <v>34885212</v>
      </c>
      <c r="L13" s="38">
        <f t="shared" si="4"/>
        <v>65.3</v>
      </c>
      <c r="M13" s="38">
        <f t="shared" si="5"/>
        <v>22772233</v>
      </c>
      <c r="N13" s="8">
        <v>58233000</v>
      </c>
      <c r="O13" s="38">
        <f>ROUND(C13*1.04,0)</f>
        <v>598577</v>
      </c>
      <c r="P13" s="38">
        <f t="shared" si="6"/>
        <v>57634423</v>
      </c>
      <c r="Q13" s="38">
        <f t="shared" si="7"/>
        <v>36280620</v>
      </c>
      <c r="R13" s="38">
        <f t="shared" si="8"/>
        <v>58.9</v>
      </c>
      <c r="S13" s="38">
        <f t="shared" si="9"/>
        <v>21353803</v>
      </c>
    </row>
    <row r="14" spans="1:19">
      <c r="A14" s="39" t="s">
        <v>12</v>
      </c>
      <c r="B14" s="8">
        <v>23709000</v>
      </c>
      <c r="C14" s="38">
        <v>536313</v>
      </c>
      <c r="D14" s="38">
        <f t="shared" si="0"/>
        <v>23172687</v>
      </c>
      <c r="E14" s="38">
        <v>16146744</v>
      </c>
      <c r="F14" s="38">
        <f t="shared" si="2"/>
        <v>43.5</v>
      </c>
      <c r="G14" s="38">
        <f t="shared" si="3"/>
        <v>7025943</v>
      </c>
      <c r="H14" s="8">
        <v>27174000</v>
      </c>
      <c r="I14" s="38">
        <v>536313</v>
      </c>
      <c r="J14" s="38">
        <f t="shared" si="1"/>
        <v>26637687</v>
      </c>
      <c r="K14" s="38">
        <v>16146744</v>
      </c>
      <c r="L14" s="38">
        <f t="shared" si="4"/>
        <v>65</v>
      </c>
      <c r="M14" s="38">
        <f t="shared" si="5"/>
        <v>10490943</v>
      </c>
      <c r="N14" s="8">
        <v>27174000</v>
      </c>
      <c r="O14" s="38">
        <f>ROUND(C14*1.04,0)</f>
        <v>557766</v>
      </c>
      <c r="P14" s="38">
        <f t="shared" si="6"/>
        <v>26616234</v>
      </c>
      <c r="Q14" s="38">
        <f t="shared" si="7"/>
        <v>16792614</v>
      </c>
      <c r="R14" s="38">
        <f t="shared" si="8"/>
        <v>58.5</v>
      </c>
      <c r="S14" s="38">
        <f t="shared" si="9"/>
        <v>9823620</v>
      </c>
    </row>
    <row r="15" spans="1:19">
      <c r="A15" s="36" t="s">
        <v>13</v>
      </c>
      <c r="B15" s="37">
        <v>28469000</v>
      </c>
      <c r="C15" s="40">
        <v>1071660</v>
      </c>
      <c r="D15" s="38">
        <f t="shared" si="0"/>
        <v>27397340</v>
      </c>
      <c r="E15" s="38">
        <v>20177478</v>
      </c>
      <c r="F15" s="38">
        <f t="shared" si="2"/>
        <v>35.799999999999997</v>
      </c>
      <c r="G15" s="38">
        <f t="shared" si="3"/>
        <v>7219862</v>
      </c>
      <c r="H15" s="37">
        <v>31351000</v>
      </c>
      <c r="I15" s="40">
        <v>1082880</v>
      </c>
      <c r="J15" s="38">
        <f t="shared" si="1"/>
        <v>30268120</v>
      </c>
      <c r="K15" s="38">
        <v>20177478</v>
      </c>
      <c r="L15" s="38">
        <f t="shared" si="4"/>
        <v>50</v>
      </c>
      <c r="M15" s="38">
        <f t="shared" si="5"/>
        <v>10090642</v>
      </c>
      <c r="N15" s="37">
        <v>31351000</v>
      </c>
      <c r="O15" s="40">
        <v>1082880</v>
      </c>
      <c r="P15" s="38">
        <f t="shared" si="6"/>
        <v>30268120</v>
      </c>
      <c r="Q15" s="38">
        <f t="shared" si="7"/>
        <v>20984577</v>
      </c>
      <c r="R15" s="38">
        <f t="shared" si="8"/>
        <v>44.2</v>
      </c>
      <c r="S15" s="38">
        <f t="shared" si="9"/>
        <v>9283543</v>
      </c>
    </row>
    <row r="16" spans="1:19">
      <c r="A16" s="36" t="s">
        <v>36</v>
      </c>
      <c r="B16" s="37">
        <v>14483000</v>
      </c>
      <c r="C16" s="38">
        <v>536313</v>
      </c>
      <c r="D16" s="38">
        <f t="shared" si="0"/>
        <v>13946687</v>
      </c>
      <c r="E16" s="38">
        <v>9804642</v>
      </c>
      <c r="F16" s="38">
        <f t="shared" si="2"/>
        <v>42.2</v>
      </c>
      <c r="G16" s="38">
        <f t="shared" si="3"/>
        <v>4142045</v>
      </c>
      <c r="H16" s="37">
        <v>15949000</v>
      </c>
      <c r="I16" s="38">
        <v>536313</v>
      </c>
      <c r="J16" s="38">
        <f t="shared" si="1"/>
        <v>15412687</v>
      </c>
      <c r="K16" s="38">
        <v>9804642</v>
      </c>
      <c r="L16" s="38">
        <f t="shared" si="4"/>
        <v>57.2</v>
      </c>
      <c r="M16" s="38">
        <f t="shared" si="5"/>
        <v>5608045</v>
      </c>
      <c r="N16" s="37">
        <v>15949000</v>
      </c>
      <c r="O16" s="38">
        <f>ROUND(C16*1.04,0)</f>
        <v>557766</v>
      </c>
      <c r="P16" s="38">
        <f t="shared" si="6"/>
        <v>15391234</v>
      </c>
      <c r="Q16" s="38">
        <f t="shared" si="7"/>
        <v>10196828</v>
      </c>
      <c r="R16" s="38">
        <f t="shared" si="8"/>
        <v>50.9</v>
      </c>
      <c r="S16" s="38">
        <f t="shared" si="9"/>
        <v>5194406</v>
      </c>
    </row>
    <row r="17" spans="1:19">
      <c r="A17" s="36" t="s">
        <v>15</v>
      </c>
      <c r="B17" s="37">
        <v>17297000</v>
      </c>
      <c r="C17" s="38">
        <v>575555</v>
      </c>
      <c r="D17" s="38">
        <f t="shared" si="0"/>
        <v>16721445</v>
      </c>
      <c r="E17" s="38">
        <v>12013980</v>
      </c>
      <c r="F17" s="38">
        <f t="shared" si="2"/>
        <v>39.200000000000003</v>
      </c>
      <c r="G17" s="38">
        <f t="shared" si="3"/>
        <v>4707465</v>
      </c>
      <c r="H17" s="37">
        <v>19048000</v>
      </c>
      <c r="I17" s="38">
        <v>575555</v>
      </c>
      <c r="J17" s="38">
        <f t="shared" si="1"/>
        <v>18472445</v>
      </c>
      <c r="K17" s="38">
        <v>12013980</v>
      </c>
      <c r="L17" s="38">
        <f t="shared" si="4"/>
        <v>53.8</v>
      </c>
      <c r="M17" s="38">
        <f t="shared" si="5"/>
        <v>6458465</v>
      </c>
      <c r="N17" s="37">
        <v>19048000</v>
      </c>
      <c r="O17" s="38">
        <f>ROUND(C17*1.04,0)</f>
        <v>598577</v>
      </c>
      <c r="P17" s="38">
        <f t="shared" si="6"/>
        <v>18449423</v>
      </c>
      <c r="Q17" s="38">
        <f t="shared" si="7"/>
        <v>12494539</v>
      </c>
      <c r="R17" s="38">
        <f t="shared" si="8"/>
        <v>47.7</v>
      </c>
      <c r="S17" s="38">
        <f t="shared" si="9"/>
        <v>5954884</v>
      </c>
    </row>
    <row r="18" spans="1:19">
      <c r="A18" s="41" t="s">
        <v>16</v>
      </c>
      <c r="B18" s="37">
        <v>12572000</v>
      </c>
      <c r="C18" s="40">
        <v>669780</v>
      </c>
      <c r="D18" s="38">
        <f t="shared" si="0"/>
        <v>11902220</v>
      </c>
      <c r="E18" s="38">
        <v>8533578</v>
      </c>
      <c r="F18" s="38">
        <f t="shared" si="2"/>
        <v>39.5</v>
      </c>
      <c r="G18" s="38">
        <f t="shared" si="3"/>
        <v>3368642</v>
      </c>
      <c r="H18" s="37">
        <v>13845000</v>
      </c>
      <c r="I18" s="40">
        <v>676800</v>
      </c>
      <c r="J18" s="38">
        <f t="shared" si="1"/>
        <v>13168200</v>
      </c>
      <c r="K18" s="38">
        <v>8533578</v>
      </c>
      <c r="L18" s="38">
        <f t="shared" si="4"/>
        <v>54.3</v>
      </c>
      <c r="M18" s="38">
        <f t="shared" si="5"/>
        <v>4634622</v>
      </c>
      <c r="N18" s="37">
        <v>13845000</v>
      </c>
      <c r="O18" s="40">
        <v>676800</v>
      </c>
      <c r="P18" s="38">
        <f t="shared" si="6"/>
        <v>13168200</v>
      </c>
      <c r="Q18" s="38">
        <f t="shared" si="7"/>
        <v>8874921</v>
      </c>
      <c r="R18" s="38">
        <f t="shared" si="8"/>
        <v>48.4</v>
      </c>
      <c r="S18" s="38">
        <f t="shared" si="9"/>
        <v>4293279</v>
      </c>
    </row>
    <row r="19" spans="1:19">
      <c r="A19" s="36" t="s">
        <v>37</v>
      </c>
      <c r="B19" s="37">
        <v>41800000</v>
      </c>
      <c r="C19" s="38">
        <v>536313</v>
      </c>
      <c r="D19" s="38">
        <f t="shared" si="0"/>
        <v>41263687</v>
      </c>
      <c r="E19" s="38">
        <v>31493469</v>
      </c>
      <c r="F19" s="38">
        <f t="shared" si="2"/>
        <v>31</v>
      </c>
      <c r="G19" s="38">
        <f t="shared" si="3"/>
        <v>9770218</v>
      </c>
      <c r="H19" s="37">
        <v>46031000</v>
      </c>
      <c r="I19" s="38">
        <v>536313</v>
      </c>
      <c r="J19" s="38">
        <f t="shared" si="1"/>
        <v>45494687</v>
      </c>
      <c r="K19" s="38">
        <v>31493469</v>
      </c>
      <c r="L19" s="38">
        <f t="shared" si="4"/>
        <v>44.5</v>
      </c>
      <c r="M19" s="38">
        <f t="shared" si="5"/>
        <v>14001218</v>
      </c>
      <c r="N19" s="37">
        <v>46031000</v>
      </c>
      <c r="O19" s="38">
        <f>ROUND(C19*1.04,0)</f>
        <v>557766</v>
      </c>
      <c r="P19" s="38">
        <f t="shared" si="6"/>
        <v>45473234</v>
      </c>
      <c r="Q19" s="38">
        <f t="shared" si="7"/>
        <v>32753208</v>
      </c>
      <c r="R19" s="38">
        <f t="shared" si="8"/>
        <v>38.799999999999997</v>
      </c>
      <c r="S19" s="38">
        <f t="shared" si="9"/>
        <v>12720026</v>
      </c>
    </row>
    <row r="20" spans="1:19">
      <c r="A20" s="36" t="s">
        <v>18</v>
      </c>
      <c r="B20" s="37">
        <v>10444000</v>
      </c>
      <c r="C20" s="38">
        <v>575555</v>
      </c>
      <c r="D20" s="38">
        <f t="shared" si="0"/>
        <v>9868445</v>
      </c>
      <c r="E20" s="38">
        <v>5824188</v>
      </c>
      <c r="F20" s="38">
        <f t="shared" si="2"/>
        <v>69.400000000000006</v>
      </c>
      <c r="G20" s="38">
        <f t="shared" si="3"/>
        <v>4044257</v>
      </c>
      <c r="H20" s="37">
        <v>11745000</v>
      </c>
      <c r="I20" s="38">
        <v>575555</v>
      </c>
      <c r="J20" s="38">
        <f t="shared" si="1"/>
        <v>11169445</v>
      </c>
      <c r="K20" s="38">
        <v>5824188</v>
      </c>
      <c r="L20" s="38">
        <f t="shared" si="4"/>
        <v>91.8</v>
      </c>
      <c r="M20" s="38">
        <f t="shared" si="5"/>
        <v>5345257</v>
      </c>
      <c r="N20" s="37">
        <v>11745000</v>
      </c>
      <c r="O20" s="38">
        <f>ROUND(C20*1.04,0)</f>
        <v>598577</v>
      </c>
      <c r="P20" s="38">
        <f t="shared" si="6"/>
        <v>11146423</v>
      </c>
      <c r="Q20" s="38">
        <f t="shared" si="7"/>
        <v>6057156</v>
      </c>
      <c r="R20" s="38">
        <f t="shared" si="8"/>
        <v>84</v>
      </c>
      <c r="S20" s="38">
        <f t="shared" si="9"/>
        <v>5089267</v>
      </c>
    </row>
    <row r="21" spans="1:19">
      <c r="A21" s="41" t="s">
        <v>19</v>
      </c>
      <c r="B21" s="37">
        <f>B22+B23</f>
        <v>21583000</v>
      </c>
      <c r="C21" s="37">
        <f t="shared" ref="C21:S21" si="10">C22+C23</f>
        <v>669780</v>
      </c>
      <c r="D21" s="37">
        <f t="shared" si="10"/>
        <v>20913220</v>
      </c>
      <c r="E21" s="37">
        <f t="shared" si="10"/>
        <v>12703242</v>
      </c>
      <c r="F21" s="38">
        <f t="shared" si="2"/>
        <v>64.599999999999994</v>
      </c>
      <c r="G21" s="37">
        <f t="shared" si="10"/>
        <v>8209978</v>
      </c>
      <c r="H21" s="37">
        <f t="shared" si="10"/>
        <v>37361000</v>
      </c>
      <c r="I21" s="37">
        <f t="shared" ref="I21" si="11">I22+I23</f>
        <v>1116720</v>
      </c>
      <c r="J21" s="37">
        <f t="shared" ref="J21" si="12">J22+J23</f>
        <v>36244280</v>
      </c>
      <c r="K21" s="37">
        <f t="shared" ref="K21" si="13">K22+K23</f>
        <v>21826290</v>
      </c>
      <c r="L21" s="38">
        <f t="shared" si="4"/>
        <v>66.099999999999994</v>
      </c>
      <c r="M21" s="37">
        <f t="shared" ref="M21" si="14">M22+M23</f>
        <v>14417990</v>
      </c>
      <c r="N21" s="37">
        <f t="shared" si="10"/>
        <v>37361000</v>
      </c>
      <c r="O21" s="37">
        <f t="shared" si="10"/>
        <v>1116720</v>
      </c>
      <c r="P21" s="37">
        <f t="shared" si="10"/>
        <v>36244280</v>
      </c>
      <c r="Q21" s="37">
        <f t="shared" si="10"/>
        <v>22699342</v>
      </c>
      <c r="R21" s="37">
        <f t="shared" si="10"/>
        <v>118.6</v>
      </c>
      <c r="S21" s="37">
        <f t="shared" si="10"/>
        <v>13544938</v>
      </c>
    </row>
    <row r="22" spans="1:19" s="54" customFormat="1">
      <c r="A22" s="49" t="s">
        <v>41</v>
      </c>
      <c r="B22" s="50">
        <v>21583000</v>
      </c>
      <c r="C22" s="53">
        <v>669780</v>
      </c>
      <c r="D22" s="51">
        <f t="shared" ref="D22:D23" si="15">B22-C22</f>
        <v>20913220</v>
      </c>
      <c r="E22" s="52">
        <v>12703242</v>
      </c>
      <c r="F22" s="51">
        <f t="shared" ref="F22:F23" si="16">ROUND(G22/E22*100,1)</f>
        <v>64.599999999999994</v>
      </c>
      <c r="G22" s="51">
        <f t="shared" ref="G22:G23" si="17">D22-E22</f>
        <v>8209978</v>
      </c>
      <c r="H22" s="50">
        <v>22446000</v>
      </c>
      <c r="I22" s="53">
        <v>1116720</v>
      </c>
      <c r="J22" s="51">
        <f t="shared" ref="J22:J23" si="18">H22-I22</f>
        <v>21329280</v>
      </c>
      <c r="K22" s="52">
        <v>12703242</v>
      </c>
      <c r="L22" s="51">
        <f t="shared" ref="L22:L26" si="19">ROUND(M22/K22*100,1)</f>
        <v>67.900000000000006</v>
      </c>
      <c r="M22" s="51">
        <f t="shared" ref="M22:M25" si="20">J22-K22</f>
        <v>8626038</v>
      </c>
      <c r="N22" s="50">
        <v>22446000</v>
      </c>
      <c r="O22" s="53">
        <v>1116720</v>
      </c>
      <c r="P22" s="51">
        <f t="shared" ref="P22:P23" si="21">N22-O22</f>
        <v>21329280</v>
      </c>
      <c r="Q22" s="51">
        <f t="shared" si="7"/>
        <v>13211372</v>
      </c>
      <c r="R22" s="51">
        <f t="shared" ref="R22:R23" si="22">ROUND(S22/Q22*100,1)</f>
        <v>61.4</v>
      </c>
      <c r="S22" s="51">
        <f t="shared" ref="S22:S23" si="23">P22-Q22</f>
        <v>8117908</v>
      </c>
    </row>
    <row r="23" spans="1:19" s="54" customFormat="1">
      <c r="A23" s="49" t="s">
        <v>42</v>
      </c>
      <c r="B23" s="50"/>
      <c r="C23" s="52"/>
      <c r="D23" s="51">
        <f t="shared" si="15"/>
        <v>0</v>
      </c>
      <c r="E23" s="52"/>
      <c r="F23" s="51" t="e">
        <f t="shared" si="16"/>
        <v>#DIV/0!</v>
      </c>
      <c r="G23" s="51">
        <f t="shared" si="17"/>
        <v>0</v>
      </c>
      <c r="H23" s="50">
        <v>14915000</v>
      </c>
      <c r="I23" s="52"/>
      <c r="J23" s="51">
        <f t="shared" si="18"/>
        <v>14915000</v>
      </c>
      <c r="K23" s="52">
        <v>9123048</v>
      </c>
      <c r="L23" s="51">
        <f t="shared" si="19"/>
        <v>63.5</v>
      </c>
      <c r="M23" s="51">
        <f t="shared" si="20"/>
        <v>5791952</v>
      </c>
      <c r="N23" s="50">
        <v>14915000</v>
      </c>
      <c r="O23" s="52"/>
      <c r="P23" s="51">
        <f t="shared" si="21"/>
        <v>14915000</v>
      </c>
      <c r="Q23" s="51">
        <f t="shared" si="7"/>
        <v>9487970</v>
      </c>
      <c r="R23" s="51">
        <f t="shared" si="22"/>
        <v>57.2</v>
      </c>
      <c r="S23" s="51">
        <f t="shared" si="23"/>
        <v>5427030</v>
      </c>
    </row>
    <row r="24" spans="1:19">
      <c r="A24" s="43" t="s">
        <v>22</v>
      </c>
      <c r="B24" s="37">
        <v>6213000</v>
      </c>
      <c r="C24" s="40">
        <v>819780</v>
      </c>
      <c r="D24" s="38">
        <f>B24-C24</f>
        <v>5393220</v>
      </c>
      <c r="E24" s="42">
        <v>4039971</v>
      </c>
      <c r="F24" s="38">
        <f t="shared" si="2"/>
        <v>33.5</v>
      </c>
      <c r="G24" s="38">
        <f t="shared" si="3"/>
        <v>1353249</v>
      </c>
      <c r="H24" s="37">
        <v>6842000</v>
      </c>
      <c r="I24" s="40">
        <v>845000</v>
      </c>
      <c r="J24" s="38">
        <f>H24-I24</f>
        <v>5997000</v>
      </c>
      <c r="K24" s="42">
        <v>4039971</v>
      </c>
      <c r="L24" s="38">
        <f t="shared" si="19"/>
        <v>48.4</v>
      </c>
      <c r="M24" s="38">
        <f t="shared" si="20"/>
        <v>1957029</v>
      </c>
      <c r="N24" s="37">
        <v>6842000</v>
      </c>
      <c r="O24" s="40">
        <v>846000</v>
      </c>
      <c r="P24" s="38">
        <f t="shared" si="6"/>
        <v>5996000</v>
      </c>
      <c r="Q24" s="38">
        <f t="shared" si="7"/>
        <v>4201570</v>
      </c>
      <c r="R24" s="38">
        <f t="shared" si="8"/>
        <v>42.7</v>
      </c>
      <c r="S24" s="38">
        <f t="shared" si="9"/>
        <v>1794430</v>
      </c>
    </row>
    <row r="25" spans="1:19">
      <c r="A25" s="39" t="s">
        <v>23</v>
      </c>
      <c r="B25" s="8">
        <v>13857000</v>
      </c>
      <c r="C25" s="40">
        <v>770250</v>
      </c>
      <c r="D25" s="38">
        <f>B25-C25</f>
        <v>13086750</v>
      </c>
      <c r="E25" s="42">
        <v>6082014</v>
      </c>
      <c r="F25" s="38">
        <f t="shared" si="2"/>
        <v>115.2</v>
      </c>
      <c r="G25" s="38">
        <f t="shared" si="3"/>
        <v>7004736</v>
      </c>
      <c r="H25" s="8">
        <v>14411000</v>
      </c>
      <c r="I25" s="40">
        <v>778320</v>
      </c>
      <c r="J25" s="38">
        <f>H25-I25</f>
        <v>13632680</v>
      </c>
      <c r="K25" s="42">
        <v>6082014</v>
      </c>
      <c r="L25" s="38">
        <f t="shared" si="19"/>
        <v>124.1</v>
      </c>
      <c r="M25" s="38">
        <f t="shared" si="20"/>
        <v>7550666</v>
      </c>
      <c r="N25" s="8">
        <v>14411000</v>
      </c>
      <c r="O25" s="40">
        <v>778320</v>
      </c>
      <c r="P25" s="38">
        <f t="shared" si="6"/>
        <v>13632680</v>
      </c>
      <c r="Q25" s="38">
        <f t="shared" si="7"/>
        <v>6325295</v>
      </c>
      <c r="R25" s="38">
        <f t="shared" si="8"/>
        <v>115.5</v>
      </c>
      <c r="S25" s="38">
        <f t="shared" si="9"/>
        <v>7307385</v>
      </c>
    </row>
    <row r="26" spans="1:19" s="47" customFormat="1">
      <c r="A26" s="44" t="s">
        <v>38</v>
      </c>
      <c r="B26" s="45">
        <f>SUM(B10:B21,B24:B25)</f>
        <v>276783000</v>
      </c>
      <c r="C26" s="45">
        <f t="shared" ref="C26:G26" si="24">SUM(C10:C21,C24:C25)</f>
        <v>8945793</v>
      </c>
      <c r="D26" s="45">
        <f t="shared" si="24"/>
        <v>267837207</v>
      </c>
      <c r="E26" s="45">
        <f t="shared" si="24"/>
        <v>182737224</v>
      </c>
      <c r="F26" s="46">
        <f t="shared" si="2"/>
        <v>46.6</v>
      </c>
      <c r="G26" s="45">
        <f t="shared" si="24"/>
        <v>85099983</v>
      </c>
      <c r="H26" s="45">
        <f>SUM(H10:H21,H24:H25)</f>
        <v>304799000</v>
      </c>
      <c r="I26" s="45">
        <f t="shared" ref="I26" si="25">SUM(I10:I21,I24:I25)</f>
        <v>9444263</v>
      </c>
      <c r="J26" s="45">
        <f t="shared" ref="J26" si="26">SUM(J10:J21,J24:J25)</f>
        <v>295354737</v>
      </c>
      <c r="K26" s="45">
        <f t="shared" ref="K26" si="27">SUM(K10:K21,K24:K25)</f>
        <v>182737224</v>
      </c>
      <c r="L26" s="46">
        <f t="shared" si="19"/>
        <v>61.6</v>
      </c>
      <c r="M26" s="45">
        <f t="shared" ref="M26" si="28">SUM(M10:M21,M24:M25)</f>
        <v>112617513</v>
      </c>
      <c r="N26" s="45">
        <f t="shared" ref="N26:O26" si="29">SUM(N10:N21,N24:N25)</f>
        <v>304799000</v>
      </c>
      <c r="O26" s="45">
        <f t="shared" si="29"/>
        <v>9643047</v>
      </c>
      <c r="P26" s="45">
        <f t="shared" ref="P26" si="30">SUM(P10:P21,P24:P25)</f>
        <v>295155953</v>
      </c>
      <c r="Q26" s="45">
        <f t="shared" ref="Q26:S26" si="31">SUM(Q10:Q21,Q24:Q25)</f>
        <v>190046714</v>
      </c>
      <c r="R26" s="46">
        <f t="shared" si="8"/>
        <v>55.3</v>
      </c>
      <c r="S26" s="45">
        <f t="shared" si="31"/>
        <v>105109239</v>
      </c>
    </row>
    <row r="27" spans="1:19" s="55" customFormat="1" ht="13.5">
      <c r="A27" s="60" t="s">
        <v>46</v>
      </c>
      <c r="B27" s="61"/>
      <c r="C27" s="61"/>
      <c r="D27" s="62">
        <v>1</v>
      </c>
      <c r="E27" s="63">
        <f>ROUND(E26/D26,3)</f>
        <v>0.68200000000000005</v>
      </c>
      <c r="F27" s="63"/>
      <c r="G27" s="63">
        <f>ROUND(G26/D26,3)</f>
        <v>0.318</v>
      </c>
      <c r="H27" s="61"/>
      <c r="I27" s="61"/>
      <c r="J27" s="62">
        <v>1</v>
      </c>
      <c r="K27" s="63">
        <f>ROUND(K26/J26,3)</f>
        <v>0.61899999999999999</v>
      </c>
      <c r="L27" s="63"/>
      <c r="M27" s="63">
        <f>ROUND(M26/J26,3)</f>
        <v>0.38100000000000001</v>
      </c>
      <c r="N27" s="63"/>
      <c r="O27" s="63"/>
      <c r="P27" s="62">
        <v>1</v>
      </c>
      <c r="Q27" s="63">
        <f>ROUND(Q26/P26,3)</f>
        <v>0.64400000000000002</v>
      </c>
      <c r="R27" s="63"/>
      <c r="S27" s="63">
        <f>ROUND(S26/P26,3)</f>
        <v>0.35599999999999998</v>
      </c>
    </row>
    <row r="28" spans="1:19" s="128" customFormat="1" ht="12.75">
      <c r="A28" s="56" t="s">
        <v>88</v>
      </c>
      <c r="B28" s="57"/>
      <c r="C28" s="57"/>
      <c r="D28" s="58"/>
      <c r="E28" s="59"/>
      <c r="F28" s="59"/>
      <c r="G28" s="59"/>
      <c r="H28" s="57"/>
      <c r="I28" s="57"/>
      <c r="J28" s="58"/>
      <c r="K28" s="59"/>
      <c r="L28" s="59"/>
      <c r="M28" s="59"/>
      <c r="N28" s="59"/>
      <c r="O28" s="59"/>
      <c r="P28" s="58"/>
      <c r="Q28" s="130" t="s">
        <v>89</v>
      </c>
      <c r="R28" s="130"/>
      <c r="S28" s="130" t="s">
        <v>91</v>
      </c>
    </row>
    <row r="29" spans="1:19" s="55" customFormat="1" ht="13.5">
      <c r="A29" s="124"/>
      <c r="B29" s="125"/>
      <c r="C29" s="125"/>
      <c r="D29" s="126"/>
      <c r="E29" s="127"/>
      <c r="F29" s="127"/>
      <c r="G29" s="127"/>
      <c r="H29" s="125"/>
      <c r="I29" s="125"/>
      <c r="J29" s="126"/>
      <c r="K29" s="127"/>
      <c r="L29" s="127"/>
      <c r="M29" s="127"/>
      <c r="N29" s="127"/>
      <c r="O29" s="127"/>
      <c r="P29" s="126"/>
      <c r="Q29" s="129" t="s">
        <v>90</v>
      </c>
      <c r="R29" s="127"/>
      <c r="S29" s="127"/>
    </row>
    <row r="31" spans="1:19">
      <c r="A31" s="48" t="s">
        <v>39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</row>
  </sheetData>
  <mergeCells count="29">
    <mergeCell ref="P6:S6"/>
    <mergeCell ref="D7:D9"/>
    <mergeCell ref="E7:G7"/>
    <mergeCell ref="J7:J9"/>
    <mergeCell ref="K7:M7"/>
    <mergeCell ref="P7:P9"/>
    <mergeCell ref="Q7:S7"/>
    <mergeCell ref="E8:E9"/>
    <mergeCell ref="F8:G8"/>
    <mergeCell ref="K8:K9"/>
    <mergeCell ref="L8:M8"/>
    <mergeCell ref="Q8:Q9"/>
    <mergeCell ref="R8:S8"/>
    <mergeCell ref="A1:S1"/>
    <mergeCell ref="A4:A9"/>
    <mergeCell ref="B4:G4"/>
    <mergeCell ref="H4:M4"/>
    <mergeCell ref="N4:S4"/>
    <mergeCell ref="B5:B9"/>
    <mergeCell ref="C5:G5"/>
    <mergeCell ref="H5:H9"/>
    <mergeCell ref="I5:M5"/>
    <mergeCell ref="N5:N9"/>
    <mergeCell ref="O5:S5"/>
    <mergeCell ref="C6:C9"/>
    <mergeCell ref="D6:G6"/>
    <mergeCell ref="I6:I9"/>
    <mergeCell ref="J6:M6"/>
    <mergeCell ref="O6:O9"/>
  </mergeCells>
  <pageMargins left="0.39370078740157483" right="0.39370078740157483" top="0.74803149606299213" bottom="0.35433070866141736" header="0.31496062992125984" footer="0.31496062992125984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W103"/>
  <sheetViews>
    <sheetView workbookViewId="0">
      <selection activeCell="L3" sqref="L3:P3"/>
    </sheetView>
  </sheetViews>
  <sheetFormatPr defaultColWidth="8" defaultRowHeight="12.75" outlineLevelRow="1" outlineLevelCol="2"/>
  <cols>
    <col min="1" max="1" width="21.75" style="65" customWidth="1"/>
    <col min="2" max="2" width="8.125" style="65" customWidth="1" outlineLevel="2"/>
    <col min="3" max="3" width="8.5" style="65" customWidth="1" outlineLevel="2"/>
    <col min="4" max="4" width="8.625" style="65" customWidth="1" outlineLevel="1"/>
    <col min="5" max="5" width="10.25" style="65" customWidth="1" outlineLevel="1"/>
    <col min="6" max="6" width="9.75" style="65" customWidth="1"/>
    <col min="7" max="9" width="8.875" style="65" customWidth="1"/>
    <col min="10" max="10" width="10.25" style="65" customWidth="1"/>
    <col min="11" max="11" width="9.75" style="65" customWidth="1"/>
    <col min="12" max="12" width="8.5" style="65" customWidth="1" outlineLevel="2"/>
    <col min="13" max="13" width="9" style="65" customWidth="1" outlineLevel="2"/>
    <col min="14" max="14" width="8.875" style="65" customWidth="1" outlineLevel="1"/>
    <col min="15" max="15" width="10.75" style="65" customWidth="1" outlineLevel="2"/>
    <col min="16" max="16" width="9.625" style="65" customWidth="1" outlineLevel="1"/>
    <col min="17" max="16384" width="8" style="65"/>
  </cols>
  <sheetData>
    <row r="1" spans="1:205" ht="23.25" customHeight="1">
      <c r="A1" s="189" t="s">
        <v>94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</row>
    <row r="2" spans="1:205" ht="20.2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152" t="s">
        <v>129</v>
      </c>
    </row>
    <row r="3" spans="1:205" ht="50.45" customHeight="1">
      <c r="A3" s="190" t="s">
        <v>51</v>
      </c>
      <c r="B3" s="191" t="s">
        <v>92</v>
      </c>
      <c r="C3" s="191"/>
      <c r="D3" s="191"/>
      <c r="E3" s="191"/>
      <c r="F3" s="191"/>
      <c r="G3" s="192" t="s">
        <v>158</v>
      </c>
      <c r="H3" s="193"/>
      <c r="I3" s="193"/>
      <c r="J3" s="193"/>
      <c r="K3" s="194"/>
      <c r="L3" s="192" t="s">
        <v>159</v>
      </c>
      <c r="M3" s="193"/>
      <c r="N3" s="193"/>
      <c r="O3" s="193"/>
      <c r="P3" s="194"/>
    </row>
    <row r="4" spans="1:205" ht="26.25" customHeight="1">
      <c r="A4" s="190"/>
      <c r="B4" s="187" t="s">
        <v>52</v>
      </c>
      <c r="C4" s="187" t="s">
        <v>81</v>
      </c>
      <c r="D4" s="187" t="s">
        <v>82</v>
      </c>
      <c r="E4" s="67" t="s">
        <v>53</v>
      </c>
      <c r="F4" s="186" t="s">
        <v>83</v>
      </c>
      <c r="G4" s="187" t="s">
        <v>52</v>
      </c>
      <c r="H4" s="187" t="s">
        <v>81</v>
      </c>
      <c r="I4" s="187" t="s">
        <v>82</v>
      </c>
      <c r="J4" s="67" t="s">
        <v>53</v>
      </c>
      <c r="K4" s="186" t="s">
        <v>83</v>
      </c>
      <c r="L4" s="187" t="s">
        <v>85</v>
      </c>
      <c r="M4" s="187" t="s">
        <v>80</v>
      </c>
      <c r="N4" s="187" t="s">
        <v>82</v>
      </c>
      <c r="O4" s="67" t="s">
        <v>53</v>
      </c>
      <c r="P4" s="186" t="s">
        <v>84</v>
      </c>
    </row>
    <row r="5" spans="1:205" ht="34.9" customHeight="1">
      <c r="A5" s="190"/>
      <c r="B5" s="188"/>
      <c r="C5" s="188"/>
      <c r="D5" s="188"/>
      <c r="E5" s="68">
        <v>54.747430000000001</v>
      </c>
      <c r="F5" s="186"/>
      <c r="G5" s="188"/>
      <c r="H5" s="188"/>
      <c r="I5" s="188"/>
      <c r="J5" s="68">
        <f>ROUND(J31/I27*100,5)</f>
        <v>68.95523</v>
      </c>
      <c r="K5" s="186"/>
      <c r="L5" s="188"/>
      <c r="M5" s="188"/>
      <c r="N5" s="188"/>
      <c r="O5" s="68">
        <f>ROUND(O31/N27*100,5)</f>
        <v>44.716920000000002</v>
      </c>
      <c r="P5" s="186"/>
    </row>
    <row r="6" spans="1:205" ht="18.75" customHeight="1">
      <c r="A6" s="69" t="s">
        <v>143</v>
      </c>
      <c r="B6" s="70">
        <f>[2]предпроф.!AQ10+'[2]общеразв. '!AY10</f>
        <v>8851</v>
      </c>
      <c r="C6" s="71">
        <v>127</v>
      </c>
      <c r="D6" s="72">
        <f>B6+C6</f>
        <v>8978</v>
      </c>
      <c r="E6" s="73">
        <f>ROUND(D6*$E$60/100,0)</f>
        <v>4915</v>
      </c>
      <c r="F6" s="74">
        <f>D6+E6</f>
        <v>13893</v>
      </c>
      <c r="G6" s="73">
        <v>8210</v>
      </c>
      <c r="H6" s="73">
        <v>123</v>
      </c>
      <c r="I6" s="72">
        <f>G6+H6</f>
        <v>8333</v>
      </c>
      <c r="J6" s="73">
        <f>ROUND(I6*$J$5/100,0)</f>
        <v>5746</v>
      </c>
      <c r="K6" s="74">
        <f>I6+J6</f>
        <v>14079</v>
      </c>
      <c r="L6" s="70">
        <v>9627</v>
      </c>
      <c r="M6" s="71">
        <v>128</v>
      </c>
      <c r="N6" s="72">
        <f>L6+M6</f>
        <v>9755</v>
      </c>
      <c r="O6" s="73">
        <f>ROUND(N6*$O$5/100,1)</f>
        <v>4362.1000000000004</v>
      </c>
      <c r="P6" s="74">
        <f>N6+O6</f>
        <v>14117.1</v>
      </c>
    </row>
    <row r="7" spans="1:205">
      <c r="A7" s="75" t="s">
        <v>54</v>
      </c>
      <c r="B7" s="76"/>
      <c r="C7" s="77"/>
      <c r="D7" s="76"/>
      <c r="E7" s="78"/>
      <c r="F7" s="78"/>
      <c r="G7" s="78"/>
      <c r="H7" s="78"/>
      <c r="I7" s="76"/>
      <c r="J7" s="73"/>
      <c r="K7" s="74"/>
      <c r="L7" s="76"/>
      <c r="M7" s="77"/>
      <c r="N7" s="76"/>
      <c r="O7" s="73">
        <f t="shared" ref="O7:O23" si="0">ROUND(N7*$O$5/100,0)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</row>
    <row r="8" spans="1:205">
      <c r="A8" s="80" t="s">
        <v>144</v>
      </c>
      <c r="B8" s="81">
        <f>[2]предпроф.!AQ19+'[2]общеразв. '!AY12</f>
        <v>6105</v>
      </c>
      <c r="C8" s="82">
        <v>62</v>
      </c>
      <c r="D8" s="72">
        <f>B8+C8</f>
        <v>6167</v>
      </c>
      <c r="E8" s="73">
        <f>ROUND(D8*$E$60/100,0)</f>
        <v>3376</v>
      </c>
      <c r="F8" s="74">
        <f>D8+E8</f>
        <v>9543</v>
      </c>
      <c r="G8" s="73">
        <v>5773</v>
      </c>
      <c r="H8" s="73">
        <v>123</v>
      </c>
      <c r="I8" s="72">
        <f>G8+H8</f>
        <v>5896</v>
      </c>
      <c r="J8" s="73">
        <f t="shared" ref="J8:J26" si="1">ROUND(I8*$J$5/100,0)</f>
        <v>4066</v>
      </c>
      <c r="K8" s="74">
        <f t="shared" ref="K8:K9" si="2">I8+J8</f>
        <v>9962</v>
      </c>
      <c r="L8" s="81">
        <v>6771</v>
      </c>
      <c r="M8" s="82">
        <v>128</v>
      </c>
      <c r="N8" s="72">
        <f>L8+M8</f>
        <v>6899</v>
      </c>
      <c r="O8" s="73">
        <f t="shared" si="0"/>
        <v>3085</v>
      </c>
      <c r="P8" s="74">
        <f>N8+O8</f>
        <v>9984</v>
      </c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</row>
    <row r="9" spans="1:205" ht="25.5">
      <c r="A9" s="83" t="s">
        <v>145</v>
      </c>
      <c r="B9" s="81">
        <f>[2]предпроф.!AQ24+'[2]общеразв. '!AY13</f>
        <v>14490</v>
      </c>
      <c r="C9" s="82">
        <v>96</v>
      </c>
      <c r="D9" s="72">
        <f t="shared" ref="D9:D26" si="3">B9+C9</f>
        <v>14586</v>
      </c>
      <c r="E9" s="73">
        <f>ROUND(D9*$E$60/100,0)</f>
        <v>7985</v>
      </c>
      <c r="F9" s="74">
        <f>D9+E9</f>
        <v>22571</v>
      </c>
      <c r="G9" s="73">
        <v>14491</v>
      </c>
      <c r="H9" s="73">
        <v>96</v>
      </c>
      <c r="I9" s="72">
        <f t="shared" ref="I9:I26" si="4">G9+H9</f>
        <v>14587</v>
      </c>
      <c r="J9" s="73">
        <f t="shared" si="1"/>
        <v>10058</v>
      </c>
      <c r="K9" s="74">
        <f t="shared" si="2"/>
        <v>24645</v>
      </c>
      <c r="L9" s="81">
        <v>16996</v>
      </c>
      <c r="M9" s="82">
        <v>99</v>
      </c>
      <c r="N9" s="72">
        <f t="shared" ref="N9" si="5">L9+M9</f>
        <v>17095</v>
      </c>
      <c r="O9" s="73">
        <f t="shared" si="0"/>
        <v>7644</v>
      </c>
      <c r="P9" s="74">
        <f>N9+O9</f>
        <v>24739</v>
      </c>
    </row>
    <row r="10" spans="1:205">
      <c r="A10" s="84" t="s">
        <v>55</v>
      </c>
      <c r="B10" s="81"/>
      <c r="C10" s="85"/>
      <c r="D10" s="72"/>
      <c r="E10" s="86"/>
      <c r="F10" s="86"/>
      <c r="G10" s="86"/>
      <c r="H10" s="86"/>
      <c r="I10" s="72"/>
      <c r="J10" s="73"/>
      <c r="K10" s="74"/>
      <c r="L10" s="81"/>
      <c r="M10" s="85"/>
      <c r="N10" s="72"/>
      <c r="O10" s="73">
        <f t="shared" si="0"/>
        <v>0</v>
      </c>
      <c r="P10" s="86"/>
    </row>
    <row r="11" spans="1:205" ht="29.45" customHeight="1">
      <c r="A11" s="80" t="s">
        <v>106</v>
      </c>
      <c r="B11" s="81">
        <f>[2]предпроф.!AQ34+'[2]общеразв. '!AY15</f>
        <v>15678</v>
      </c>
      <c r="C11" s="82">
        <v>123</v>
      </c>
      <c r="D11" s="72">
        <f t="shared" si="3"/>
        <v>15801</v>
      </c>
      <c r="E11" s="73">
        <f t="shared" ref="E11:E17" si="6">ROUND(D11*$E$60/100,0)</f>
        <v>8651</v>
      </c>
      <c r="F11" s="74">
        <f t="shared" ref="F11:F26" si="7">D11+E11</f>
        <v>24452</v>
      </c>
      <c r="G11" s="73">
        <v>15679</v>
      </c>
      <c r="H11" s="73">
        <v>123</v>
      </c>
      <c r="I11" s="72">
        <f t="shared" si="4"/>
        <v>15802</v>
      </c>
      <c r="J11" s="73">
        <f t="shared" si="1"/>
        <v>10896</v>
      </c>
      <c r="K11" s="74">
        <f t="shared" ref="K11:K26" si="8">I11+J11</f>
        <v>26698</v>
      </c>
      <c r="L11" s="81">
        <v>18386</v>
      </c>
      <c r="M11" s="82">
        <v>128</v>
      </c>
      <c r="N11" s="72">
        <f t="shared" ref="N11:N17" si="9">L11+M11</f>
        <v>18514</v>
      </c>
      <c r="O11" s="73">
        <f t="shared" si="0"/>
        <v>8279</v>
      </c>
      <c r="P11" s="74">
        <f t="shared" ref="P11:P26" si="10">N11+O11</f>
        <v>26793</v>
      </c>
    </row>
    <row r="12" spans="1:205" ht="25.5">
      <c r="A12" s="80" t="s">
        <v>146</v>
      </c>
      <c r="B12" s="81">
        <f>[2]предпроф.!AQ43+'[2]общеразв. '!AY16</f>
        <v>11183</v>
      </c>
      <c r="C12" s="82">
        <v>185</v>
      </c>
      <c r="D12" s="72">
        <f t="shared" si="3"/>
        <v>11368</v>
      </c>
      <c r="E12" s="73">
        <f t="shared" si="6"/>
        <v>6224</v>
      </c>
      <c r="F12" s="88">
        <f t="shared" si="7"/>
        <v>17592</v>
      </c>
      <c r="G12" s="86">
        <v>11183</v>
      </c>
      <c r="H12" s="86">
        <v>185</v>
      </c>
      <c r="I12" s="72">
        <f t="shared" si="4"/>
        <v>11368</v>
      </c>
      <c r="J12" s="89">
        <f>ROUND(I12*$J$5/100,0)+1</f>
        <v>7840</v>
      </c>
      <c r="K12" s="74">
        <f t="shared" si="8"/>
        <v>19208</v>
      </c>
      <c r="L12" s="81">
        <v>13116</v>
      </c>
      <c r="M12" s="82">
        <v>193</v>
      </c>
      <c r="N12" s="72">
        <f t="shared" si="9"/>
        <v>13309</v>
      </c>
      <c r="O12" s="87">
        <f>ROUND(N12*$O$5/100,0)</f>
        <v>5951</v>
      </c>
      <c r="P12" s="88">
        <f t="shared" si="10"/>
        <v>19260</v>
      </c>
    </row>
    <row r="13" spans="1:205">
      <c r="A13" s="80" t="s">
        <v>147</v>
      </c>
      <c r="B13" s="81">
        <f>[2]предпроф.!AQ53+'[2]общеразв. '!AY17</f>
        <v>3587</v>
      </c>
      <c r="C13" s="82">
        <v>123</v>
      </c>
      <c r="D13" s="72">
        <f t="shared" si="3"/>
        <v>3710</v>
      </c>
      <c r="E13" s="73">
        <f t="shared" si="6"/>
        <v>2031</v>
      </c>
      <c r="F13" s="88">
        <f t="shared" si="7"/>
        <v>5741</v>
      </c>
      <c r="G13" s="86">
        <v>3586</v>
      </c>
      <c r="H13" s="86">
        <v>123</v>
      </c>
      <c r="I13" s="72">
        <f t="shared" si="4"/>
        <v>3709</v>
      </c>
      <c r="J13" s="73">
        <f t="shared" si="1"/>
        <v>2558</v>
      </c>
      <c r="K13" s="74">
        <f t="shared" si="8"/>
        <v>6267</v>
      </c>
      <c r="L13" s="81">
        <v>4208</v>
      </c>
      <c r="M13" s="82">
        <v>128</v>
      </c>
      <c r="N13" s="72">
        <f t="shared" si="9"/>
        <v>4336</v>
      </c>
      <c r="O13" s="87">
        <f>ROUND(N13*$O$5/100,0)</f>
        <v>1939</v>
      </c>
      <c r="P13" s="88">
        <f t="shared" si="10"/>
        <v>6275</v>
      </c>
    </row>
    <row r="14" spans="1:205">
      <c r="A14" s="80" t="s">
        <v>109</v>
      </c>
      <c r="B14" s="81">
        <f>[2]предпроф.!AQ62+'[2]общеразв. '!AY18</f>
        <v>4076</v>
      </c>
      <c r="C14" s="82">
        <v>48</v>
      </c>
      <c r="D14" s="72">
        <f t="shared" si="3"/>
        <v>4124</v>
      </c>
      <c r="E14" s="73">
        <f t="shared" si="6"/>
        <v>2258</v>
      </c>
      <c r="F14" s="88">
        <f t="shared" si="7"/>
        <v>6382</v>
      </c>
      <c r="G14" s="86">
        <v>4078</v>
      </c>
      <c r="H14" s="86">
        <v>48</v>
      </c>
      <c r="I14" s="72">
        <f t="shared" si="4"/>
        <v>4126</v>
      </c>
      <c r="J14" s="73">
        <f t="shared" si="1"/>
        <v>2845</v>
      </c>
      <c r="K14" s="74">
        <f t="shared" si="8"/>
        <v>6971</v>
      </c>
      <c r="L14" s="81">
        <v>4783</v>
      </c>
      <c r="M14" s="82">
        <v>50</v>
      </c>
      <c r="N14" s="72">
        <f t="shared" si="9"/>
        <v>4833</v>
      </c>
      <c r="O14" s="73">
        <f t="shared" si="0"/>
        <v>2161</v>
      </c>
      <c r="P14" s="88">
        <f t="shared" si="10"/>
        <v>6994</v>
      </c>
    </row>
    <row r="15" spans="1:205">
      <c r="A15" s="80" t="s">
        <v>148</v>
      </c>
      <c r="B15" s="81">
        <f>[2]предпроф.!AQ68+'[2]общеразв. '!AY19</f>
        <v>4745</v>
      </c>
      <c r="C15" s="82">
        <v>150</v>
      </c>
      <c r="D15" s="72">
        <f t="shared" si="3"/>
        <v>4895</v>
      </c>
      <c r="E15" s="73">
        <f t="shared" si="6"/>
        <v>2680</v>
      </c>
      <c r="F15" s="88">
        <f t="shared" si="7"/>
        <v>7575</v>
      </c>
      <c r="G15" s="86">
        <v>4744</v>
      </c>
      <c r="H15" s="86">
        <v>150</v>
      </c>
      <c r="I15" s="72">
        <f t="shared" si="4"/>
        <v>4894</v>
      </c>
      <c r="J15" s="73">
        <f t="shared" si="1"/>
        <v>3375</v>
      </c>
      <c r="K15" s="74">
        <f t="shared" si="8"/>
        <v>8269</v>
      </c>
      <c r="L15" s="81">
        <v>5565</v>
      </c>
      <c r="M15" s="82">
        <v>156</v>
      </c>
      <c r="N15" s="72">
        <f t="shared" si="9"/>
        <v>5721</v>
      </c>
      <c r="O15" s="73">
        <f t="shared" si="0"/>
        <v>2558</v>
      </c>
      <c r="P15" s="88">
        <f t="shared" si="10"/>
        <v>8279</v>
      </c>
    </row>
    <row r="16" spans="1:205">
      <c r="A16" s="80" t="s">
        <v>149</v>
      </c>
      <c r="B16" s="81">
        <f>[2]предпроф.!AQ73+'[2]общеразв. '!AY20</f>
        <v>8552</v>
      </c>
      <c r="C16" s="82">
        <v>205</v>
      </c>
      <c r="D16" s="72">
        <f t="shared" si="3"/>
        <v>8757</v>
      </c>
      <c r="E16" s="73">
        <f t="shared" si="6"/>
        <v>4794</v>
      </c>
      <c r="F16" s="88">
        <f t="shared" si="7"/>
        <v>13551</v>
      </c>
      <c r="G16" s="86">
        <v>8552</v>
      </c>
      <c r="H16" s="86">
        <v>219</v>
      </c>
      <c r="I16" s="72">
        <f t="shared" si="4"/>
        <v>8771</v>
      </c>
      <c r="J16" s="73">
        <f t="shared" si="1"/>
        <v>6048</v>
      </c>
      <c r="K16" s="74">
        <f t="shared" si="8"/>
        <v>14819</v>
      </c>
      <c r="L16" s="81">
        <v>10033</v>
      </c>
      <c r="M16" s="82">
        <v>228</v>
      </c>
      <c r="N16" s="72">
        <f t="shared" si="9"/>
        <v>10261</v>
      </c>
      <c r="O16" s="73">
        <f t="shared" si="0"/>
        <v>4588</v>
      </c>
      <c r="P16" s="88">
        <f t="shared" si="10"/>
        <v>14849</v>
      </c>
    </row>
    <row r="17" spans="1:16" ht="15.75" customHeight="1">
      <c r="A17" s="83" t="s">
        <v>150</v>
      </c>
      <c r="B17" s="81">
        <f>[2]предпроф.!AQ81+'[2]общеразв. '!AY21</f>
        <v>8157</v>
      </c>
      <c r="C17" s="82">
        <v>0</v>
      </c>
      <c r="D17" s="72">
        <f t="shared" si="3"/>
        <v>8157</v>
      </c>
      <c r="E17" s="73">
        <f t="shared" si="6"/>
        <v>4466</v>
      </c>
      <c r="F17" s="88">
        <f t="shared" si="7"/>
        <v>12623</v>
      </c>
      <c r="G17" s="86">
        <v>8161</v>
      </c>
      <c r="H17" s="86"/>
      <c r="I17" s="72">
        <f t="shared" si="4"/>
        <v>8161</v>
      </c>
      <c r="J17" s="73">
        <f t="shared" si="1"/>
        <v>5627</v>
      </c>
      <c r="K17" s="74">
        <f t="shared" si="8"/>
        <v>13788</v>
      </c>
      <c r="L17" s="81">
        <v>9571</v>
      </c>
      <c r="M17" s="82">
        <v>0</v>
      </c>
      <c r="N17" s="72">
        <f t="shared" si="9"/>
        <v>9571</v>
      </c>
      <c r="O17" s="73">
        <f t="shared" si="0"/>
        <v>4280</v>
      </c>
      <c r="P17" s="88">
        <f t="shared" si="10"/>
        <v>13851</v>
      </c>
    </row>
    <row r="18" spans="1:16" s="90" customFormat="1" ht="16.149999999999999" customHeight="1">
      <c r="A18" s="84" t="s">
        <v>56</v>
      </c>
      <c r="B18" s="81"/>
      <c r="C18" s="85"/>
      <c r="D18" s="72"/>
      <c r="E18" s="86"/>
      <c r="F18" s="88"/>
      <c r="G18" s="86"/>
      <c r="H18" s="86"/>
      <c r="I18" s="72"/>
      <c r="J18" s="73"/>
      <c r="K18" s="74"/>
      <c r="L18" s="81"/>
      <c r="M18" s="85"/>
      <c r="N18" s="72"/>
      <c r="O18" s="73"/>
      <c r="P18" s="88"/>
    </row>
    <row r="19" spans="1:16" s="90" customFormat="1">
      <c r="A19" s="80" t="s">
        <v>151</v>
      </c>
      <c r="B19" s="81">
        <f>[2]предпроф.!AQ90+'[2]общеразв. '!AY23</f>
        <v>951</v>
      </c>
      <c r="C19" s="82">
        <v>51</v>
      </c>
      <c r="D19" s="72">
        <f t="shared" si="3"/>
        <v>1002</v>
      </c>
      <c r="E19" s="73">
        <f>ROUND(D19*$E$60/100,0)</f>
        <v>549</v>
      </c>
      <c r="F19" s="88">
        <f t="shared" si="7"/>
        <v>1551</v>
      </c>
      <c r="G19" s="86">
        <v>952</v>
      </c>
      <c r="H19" s="86">
        <v>51</v>
      </c>
      <c r="I19" s="72">
        <f t="shared" si="4"/>
        <v>1003</v>
      </c>
      <c r="J19" s="73">
        <f t="shared" si="1"/>
        <v>692</v>
      </c>
      <c r="K19" s="74">
        <f t="shared" si="8"/>
        <v>1695</v>
      </c>
      <c r="L19" s="81">
        <v>1116</v>
      </c>
      <c r="M19" s="82">
        <v>53</v>
      </c>
      <c r="N19" s="72">
        <f t="shared" ref="N19:N23" si="11">L19+M19</f>
        <v>1169</v>
      </c>
      <c r="O19" s="73">
        <f t="shared" si="0"/>
        <v>523</v>
      </c>
      <c r="P19" s="88">
        <f t="shared" si="10"/>
        <v>1692</v>
      </c>
    </row>
    <row r="20" spans="1:16" s="90" customFormat="1">
      <c r="A20" s="80" t="s">
        <v>114</v>
      </c>
      <c r="B20" s="81">
        <f>[2]предпроф.!AQ92+'[2]общеразв. '!AY24</f>
        <v>1395</v>
      </c>
      <c r="C20" s="82">
        <f>48</f>
        <v>48</v>
      </c>
      <c r="D20" s="72">
        <f t="shared" si="3"/>
        <v>1443</v>
      </c>
      <c r="E20" s="73">
        <f>ROUND(D20*$E$60/100,0)</f>
        <v>790</v>
      </c>
      <c r="F20" s="88">
        <f t="shared" si="7"/>
        <v>2233</v>
      </c>
      <c r="G20" s="86">
        <v>1395</v>
      </c>
      <c r="H20" s="86">
        <v>96</v>
      </c>
      <c r="I20" s="72">
        <f t="shared" si="4"/>
        <v>1491</v>
      </c>
      <c r="J20" s="73">
        <f t="shared" si="1"/>
        <v>1028</v>
      </c>
      <c r="K20" s="74">
        <f t="shared" si="8"/>
        <v>2519</v>
      </c>
      <c r="L20" s="81">
        <v>1636</v>
      </c>
      <c r="M20" s="82">
        <v>99</v>
      </c>
      <c r="N20" s="72">
        <f t="shared" si="11"/>
        <v>1735</v>
      </c>
      <c r="O20" s="73">
        <f t="shared" si="0"/>
        <v>776</v>
      </c>
      <c r="P20" s="88">
        <f t="shared" si="10"/>
        <v>2511</v>
      </c>
    </row>
    <row r="21" spans="1:16" s="90" customFormat="1">
      <c r="A21" s="80" t="s">
        <v>152</v>
      </c>
      <c r="B21" s="81">
        <f>[2]предпроф.!AQ95+'[2]общеразв. '!AY25</f>
        <v>1284</v>
      </c>
      <c r="C21" s="82">
        <v>55</v>
      </c>
      <c r="D21" s="72">
        <f t="shared" si="3"/>
        <v>1339</v>
      </c>
      <c r="E21" s="73">
        <f>ROUND(D21*$E$60/100,0)</f>
        <v>733</v>
      </c>
      <c r="F21" s="88">
        <f t="shared" si="7"/>
        <v>2072</v>
      </c>
      <c r="G21" s="86">
        <v>1284</v>
      </c>
      <c r="H21" s="86">
        <v>55</v>
      </c>
      <c r="I21" s="72">
        <f t="shared" si="4"/>
        <v>1339</v>
      </c>
      <c r="J21" s="73">
        <f t="shared" si="1"/>
        <v>923</v>
      </c>
      <c r="K21" s="74">
        <f t="shared" si="8"/>
        <v>2262</v>
      </c>
      <c r="L21" s="81">
        <v>1505</v>
      </c>
      <c r="M21" s="82">
        <v>57</v>
      </c>
      <c r="N21" s="72">
        <f t="shared" si="11"/>
        <v>1562</v>
      </c>
      <c r="O21" s="73">
        <f t="shared" si="0"/>
        <v>698</v>
      </c>
      <c r="P21" s="88">
        <f t="shared" si="10"/>
        <v>2260</v>
      </c>
    </row>
    <row r="22" spans="1:16" s="90" customFormat="1">
      <c r="A22" s="80" t="s">
        <v>153</v>
      </c>
      <c r="B22" s="81">
        <f>[2]предпроф.!AQ98+'[2]общеразв. '!AY26</f>
        <v>1901</v>
      </c>
      <c r="C22" s="82">
        <v>123</v>
      </c>
      <c r="D22" s="72">
        <f t="shared" si="3"/>
        <v>2024</v>
      </c>
      <c r="E22" s="73">
        <f>ROUND(D22*$E$60/100,0)</f>
        <v>1108</v>
      </c>
      <c r="F22" s="88">
        <f t="shared" si="7"/>
        <v>3132</v>
      </c>
      <c r="G22" s="86">
        <v>1897</v>
      </c>
      <c r="H22" s="86">
        <v>123</v>
      </c>
      <c r="I22" s="72">
        <f t="shared" si="4"/>
        <v>2020</v>
      </c>
      <c r="J22" s="73">
        <f t="shared" si="1"/>
        <v>1393</v>
      </c>
      <c r="K22" s="74">
        <f t="shared" si="8"/>
        <v>3413</v>
      </c>
      <c r="L22" s="81">
        <v>2226</v>
      </c>
      <c r="M22" s="82">
        <v>128</v>
      </c>
      <c r="N22" s="72">
        <f t="shared" si="11"/>
        <v>2354</v>
      </c>
      <c r="O22" s="73">
        <f t="shared" si="0"/>
        <v>1053</v>
      </c>
      <c r="P22" s="88">
        <f t="shared" si="10"/>
        <v>3407</v>
      </c>
    </row>
    <row r="23" spans="1:16" s="90" customFormat="1" ht="16.899999999999999" customHeight="1">
      <c r="A23" s="91" t="s">
        <v>57</v>
      </c>
      <c r="B23" s="81">
        <f>[2]предпроф.!AQ101+'[2]общеразв. '!AY27</f>
        <v>3977</v>
      </c>
      <c r="C23" s="82">
        <v>55</v>
      </c>
      <c r="D23" s="72">
        <f t="shared" si="3"/>
        <v>4032</v>
      </c>
      <c r="E23" s="73">
        <f>ROUND(D23*$E$60/100,0)</f>
        <v>2207</v>
      </c>
      <c r="F23" s="88">
        <f t="shared" si="7"/>
        <v>6239</v>
      </c>
      <c r="G23" s="86">
        <v>3977</v>
      </c>
      <c r="H23" s="86">
        <v>55</v>
      </c>
      <c r="I23" s="72">
        <f t="shared" si="4"/>
        <v>4032</v>
      </c>
      <c r="J23" s="73">
        <f t="shared" si="1"/>
        <v>2780</v>
      </c>
      <c r="K23" s="74">
        <f t="shared" si="8"/>
        <v>6812</v>
      </c>
      <c r="L23" s="81">
        <v>4663</v>
      </c>
      <c r="M23" s="82">
        <v>57</v>
      </c>
      <c r="N23" s="72">
        <f t="shared" si="11"/>
        <v>4720</v>
      </c>
      <c r="O23" s="73">
        <f t="shared" si="0"/>
        <v>2111</v>
      </c>
      <c r="P23" s="88">
        <f t="shared" si="10"/>
        <v>6831</v>
      </c>
    </row>
    <row r="24" spans="1:16" s="90" customFormat="1">
      <c r="A24" s="91" t="s">
        <v>58</v>
      </c>
      <c r="B24" s="81"/>
      <c r="C24" s="85"/>
      <c r="D24" s="72"/>
      <c r="E24" s="86"/>
      <c r="F24" s="88"/>
      <c r="G24" s="86"/>
      <c r="H24" s="86"/>
      <c r="I24" s="72"/>
      <c r="J24" s="73"/>
      <c r="K24" s="74"/>
      <c r="L24" s="81"/>
      <c r="M24" s="85"/>
      <c r="N24" s="72"/>
      <c r="O24" s="73"/>
      <c r="P24" s="88"/>
    </row>
    <row r="25" spans="1:16" s="90" customFormat="1">
      <c r="A25" s="83" t="s">
        <v>154</v>
      </c>
      <c r="B25" s="81">
        <f>'[2]общеразв. '!AY29</f>
        <v>4347</v>
      </c>
      <c r="C25" s="82">
        <v>1067</v>
      </c>
      <c r="D25" s="72">
        <f t="shared" si="3"/>
        <v>5414</v>
      </c>
      <c r="E25" s="73">
        <f>ROUND(D25*$E$60/100,0)</f>
        <v>2964</v>
      </c>
      <c r="F25" s="88">
        <f t="shared" si="7"/>
        <v>8378</v>
      </c>
      <c r="G25" s="86">
        <v>4347</v>
      </c>
      <c r="H25" s="86">
        <v>1067</v>
      </c>
      <c r="I25" s="72">
        <f t="shared" si="4"/>
        <v>5414</v>
      </c>
      <c r="J25" s="73">
        <f t="shared" si="1"/>
        <v>3733</v>
      </c>
      <c r="K25" s="74">
        <f t="shared" si="8"/>
        <v>9147</v>
      </c>
      <c r="L25" s="81">
        <v>5096</v>
      </c>
      <c r="M25" s="82">
        <v>1109</v>
      </c>
      <c r="N25" s="72">
        <f t="shared" ref="N25:N26" si="12">L25+M25</f>
        <v>6205</v>
      </c>
      <c r="O25" s="87">
        <f>ROUND(N25*$O$5/100,0)</f>
        <v>2775</v>
      </c>
      <c r="P25" s="88">
        <f t="shared" si="10"/>
        <v>8980</v>
      </c>
    </row>
    <row r="26" spans="1:16" s="90" customFormat="1" ht="16.899999999999999" customHeight="1">
      <c r="A26" s="83" t="s">
        <v>155</v>
      </c>
      <c r="B26" s="81">
        <f>'[2]общеразв. '!AY30</f>
        <v>3045</v>
      </c>
      <c r="C26" s="82">
        <v>1563</v>
      </c>
      <c r="D26" s="72">
        <f t="shared" si="3"/>
        <v>4608</v>
      </c>
      <c r="E26" s="73">
        <f>ROUND(D26*$E$60/100,0)</f>
        <v>2523</v>
      </c>
      <c r="F26" s="88">
        <f t="shared" si="7"/>
        <v>7131</v>
      </c>
      <c r="G26" s="86">
        <v>3045</v>
      </c>
      <c r="H26" s="86">
        <v>1563</v>
      </c>
      <c r="I26" s="72">
        <f t="shared" si="4"/>
        <v>4608</v>
      </c>
      <c r="J26" s="73">
        <f t="shared" si="1"/>
        <v>3177</v>
      </c>
      <c r="K26" s="74">
        <f t="shared" si="8"/>
        <v>7785</v>
      </c>
      <c r="L26" s="81">
        <v>3569</v>
      </c>
      <c r="M26" s="82">
        <v>1625</v>
      </c>
      <c r="N26" s="72">
        <f t="shared" si="12"/>
        <v>5194</v>
      </c>
      <c r="O26" s="87">
        <f>ROUND(N26*$O$5/100,0)</f>
        <v>2323</v>
      </c>
      <c r="P26" s="88">
        <f t="shared" si="10"/>
        <v>7517</v>
      </c>
    </row>
    <row r="27" spans="1:16" s="90" customFormat="1" ht="13.9" customHeight="1">
      <c r="A27" s="92" t="s">
        <v>156</v>
      </c>
      <c r="B27" s="93">
        <f t="shared" ref="B27:P27" si="13">SUM(B6:B26)</f>
        <v>102324</v>
      </c>
      <c r="C27" s="94">
        <f t="shared" si="13"/>
        <v>4081</v>
      </c>
      <c r="D27" s="95">
        <f t="shared" si="13"/>
        <v>106405</v>
      </c>
      <c r="E27" s="95">
        <f t="shared" si="13"/>
        <v>58254</v>
      </c>
      <c r="F27" s="95">
        <f t="shared" si="13"/>
        <v>164659</v>
      </c>
      <c r="G27" s="95">
        <f t="shared" si="13"/>
        <v>101354</v>
      </c>
      <c r="H27" s="95">
        <f t="shared" si="13"/>
        <v>4200</v>
      </c>
      <c r="I27" s="95">
        <f t="shared" si="13"/>
        <v>105554</v>
      </c>
      <c r="J27" s="95">
        <f t="shared" si="13"/>
        <v>72785</v>
      </c>
      <c r="K27" s="95">
        <f t="shared" si="13"/>
        <v>178339</v>
      </c>
      <c r="L27" s="93">
        <f t="shared" si="13"/>
        <v>118867</v>
      </c>
      <c r="M27" s="95">
        <f t="shared" si="13"/>
        <v>4366</v>
      </c>
      <c r="N27" s="95">
        <f t="shared" si="13"/>
        <v>123233</v>
      </c>
      <c r="O27" s="95">
        <f>SUM(O6:O26)</f>
        <v>55106.1</v>
      </c>
      <c r="P27" s="95">
        <f t="shared" si="13"/>
        <v>178339.1</v>
      </c>
    </row>
    <row r="28" spans="1:16" s="97" customFormat="1">
      <c r="A28" s="96" t="s">
        <v>59</v>
      </c>
      <c r="B28" s="96"/>
      <c r="C28" s="96"/>
      <c r="D28" s="96"/>
      <c r="E28" s="111"/>
      <c r="F28" s="111"/>
      <c r="G28" s="111"/>
      <c r="H28" s="112">
        <v>48</v>
      </c>
      <c r="I28" s="113">
        <f t="shared" ref="I28:I29" si="14">G28+H28</f>
        <v>48</v>
      </c>
      <c r="J28" s="114">
        <f>ROUND(I28*$E$60/100,0)</f>
        <v>26</v>
      </c>
      <c r="K28" s="114">
        <f t="shared" ref="K28:K29" si="15">I28+J28</f>
        <v>74</v>
      </c>
      <c r="L28" s="96"/>
      <c r="M28" s="112"/>
      <c r="N28" s="113"/>
      <c r="O28" s="114"/>
      <c r="P28" s="115"/>
    </row>
    <row r="29" spans="1:16" s="97" customFormat="1">
      <c r="A29" s="96" t="s">
        <v>60</v>
      </c>
      <c r="B29" s="96"/>
      <c r="C29" s="96"/>
      <c r="D29" s="96"/>
      <c r="E29" s="111"/>
      <c r="F29" s="111"/>
      <c r="G29" s="111"/>
      <c r="H29" s="112">
        <v>61</v>
      </c>
      <c r="I29" s="113">
        <f t="shared" si="14"/>
        <v>61</v>
      </c>
      <c r="J29" s="114">
        <v>31</v>
      </c>
      <c r="K29" s="114">
        <f t="shared" si="15"/>
        <v>92</v>
      </c>
      <c r="L29" s="96"/>
      <c r="M29" s="112"/>
      <c r="N29" s="113"/>
      <c r="O29" s="114"/>
      <c r="P29" s="114"/>
    </row>
    <row r="30" spans="1:16" s="100" customFormat="1" hidden="1" outlineLevel="1">
      <c r="A30" s="98" t="s">
        <v>61</v>
      </c>
      <c r="B30" s="99">
        <f>SUM(B8:B26)</f>
        <v>93473</v>
      </c>
      <c r="C30" s="99">
        <f>SUM(C8:C26)</f>
        <v>3954</v>
      </c>
      <c r="D30" s="99">
        <f>SUM(D8:D26)</f>
        <v>97427</v>
      </c>
      <c r="E30" s="99">
        <f t="shared" ref="E30:F30" si="16">SUM(E8:E26)</f>
        <v>53339</v>
      </c>
      <c r="F30" s="99">
        <f t="shared" si="16"/>
        <v>150766</v>
      </c>
      <c r="G30" s="116"/>
      <c r="H30" s="116"/>
      <c r="I30" s="116"/>
      <c r="J30" s="116"/>
      <c r="K30" s="116"/>
    </row>
    <row r="31" spans="1:16" s="108" customFormat="1" ht="10.5" collapsed="1">
      <c r="A31" s="107"/>
      <c r="B31" s="107"/>
      <c r="C31" s="107"/>
      <c r="D31" s="107"/>
      <c r="E31" s="118">
        <f>E87-D27</f>
        <v>58254</v>
      </c>
      <c r="F31" s="109"/>
      <c r="G31" s="109"/>
      <c r="H31" s="109"/>
      <c r="I31" s="109"/>
      <c r="J31" s="118">
        <f>K31-I27</f>
        <v>72785</v>
      </c>
      <c r="K31" s="118">
        <f>F27+K28+K29+13147+367</f>
        <v>178339</v>
      </c>
      <c r="O31" s="110">
        <f>P31-N27</f>
        <v>55106</v>
      </c>
      <c r="P31" s="110">
        <f>K31</f>
        <v>178339</v>
      </c>
    </row>
    <row r="32" spans="1:16" ht="27" hidden="1" customHeight="1">
      <c r="A32" s="195" t="s">
        <v>62</v>
      </c>
      <c r="B32" s="195"/>
      <c r="C32" s="195"/>
      <c r="D32" s="101"/>
    </row>
    <row r="33" spans="1:11" hidden="1">
      <c r="A33" s="64"/>
      <c r="B33" s="64"/>
      <c r="C33" s="64"/>
      <c r="D33" s="64"/>
      <c r="E33" s="102"/>
      <c r="F33" s="102"/>
      <c r="G33" s="102"/>
      <c r="H33" s="102"/>
      <c r="I33" s="102"/>
      <c r="J33" s="102"/>
      <c r="K33" s="102"/>
    </row>
    <row r="34" spans="1:11" hidden="1">
      <c r="B34" s="65">
        <v>94021</v>
      </c>
      <c r="C34" s="65">
        <v>2698</v>
      </c>
      <c r="D34" s="65">
        <f>B34+C34</f>
        <v>96719</v>
      </c>
    </row>
    <row r="35" spans="1:11" hidden="1"/>
    <row r="36" spans="1:11" ht="3" hidden="1" customHeight="1"/>
    <row r="37" spans="1:11" hidden="1"/>
    <row r="38" spans="1:11" ht="26.25" hidden="1" customHeight="1">
      <c r="A38" s="196" t="s">
        <v>63</v>
      </c>
      <c r="B38" s="197"/>
      <c r="C38" s="197"/>
      <c r="D38" s="197"/>
      <c r="E38" s="197"/>
      <c r="F38" s="197"/>
      <c r="G38" s="117"/>
      <c r="H38" s="117"/>
      <c r="I38" s="117"/>
      <c r="J38" s="117"/>
      <c r="K38" s="117"/>
    </row>
    <row r="39" spans="1:11" hidden="1">
      <c r="C39" s="102"/>
    </row>
    <row r="40" spans="1:11" hidden="1">
      <c r="A40" s="100" t="s">
        <v>64</v>
      </c>
    </row>
    <row r="41" spans="1:11" hidden="1">
      <c r="A41" s="97" t="s">
        <v>65</v>
      </c>
    </row>
    <row r="42" spans="1:11" hidden="1">
      <c r="A42" s="65" t="s">
        <v>66</v>
      </c>
    </row>
    <row r="43" spans="1:11" hidden="1">
      <c r="A43" s="65" t="s">
        <v>67</v>
      </c>
    </row>
    <row r="44" spans="1:11" hidden="1">
      <c r="A44" s="65" t="s">
        <v>68</v>
      </c>
    </row>
    <row r="45" spans="1:11" hidden="1">
      <c r="A45" s="65" t="s">
        <v>69</v>
      </c>
    </row>
    <row r="46" spans="1:11" hidden="1">
      <c r="A46" s="65" t="s">
        <v>70</v>
      </c>
    </row>
    <row r="47" spans="1:11" hidden="1">
      <c r="A47" s="65" t="s">
        <v>71</v>
      </c>
    </row>
    <row r="48" spans="1:11" hidden="1">
      <c r="A48" s="97" t="s">
        <v>72</v>
      </c>
    </row>
    <row r="49" spans="1:5" hidden="1">
      <c r="A49" s="97" t="s">
        <v>73</v>
      </c>
    </row>
    <row r="50" spans="1:5" hidden="1"/>
    <row r="51" spans="1:5" hidden="1">
      <c r="A51" s="65" t="s">
        <v>74</v>
      </c>
    </row>
    <row r="52" spans="1:5" hidden="1">
      <c r="A52" s="65" t="s">
        <v>75</v>
      </c>
    </row>
    <row r="53" spans="1:5" hidden="1"/>
    <row r="54" spans="1:5" hidden="1">
      <c r="A54" s="65" t="s">
        <v>76</v>
      </c>
    </row>
    <row r="55" spans="1:5" hidden="1"/>
    <row r="56" spans="1:5" hidden="1">
      <c r="A56" s="65" t="s">
        <v>77</v>
      </c>
    </row>
    <row r="57" spans="1:5" hidden="1"/>
    <row r="58" spans="1:5" hidden="1">
      <c r="A58" s="65" t="s">
        <v>78</v>
      </c>
    </row>
    <row r="59" spans="1:5" hidden="1">
      <c r="A59" s="65" t="s">
        <v>79</v>
      </c>
    </row>
    <row r="60" spans="1:5" hidden="1" outlineLevel="1">
      <c r="E60" s="65">
        <f>ROUND(E31/D27*100,5)</f>
        <v>54.747430000000001</v>
      </c>
    </row>
    <row r="61" spans="1:5" hidden="1" outlineLevel="1"/>
    <row r="62" spans="1:5" hidden="1" outlineLevel="1"/>
    <row r="63" spans="1:5" hidden="1" outlineLevel="1"/>
    <row r="64" spans="1:5" hidden="1" outlineLevel="1"/>
    <row r="65" hidden="1" outlineLevel="1"/>
    <row r="66" hidden="1" outlineLevel="1"/>
    <row r="67" hidden="1" outlineLevel="1"/>
    <row r="68" hidden="1" outlineLevel="1"/>
    <row r="69" hidden="1" outlineLevel="1"/>
    <row r="70" hidden="1" outlineLevel="1"/>
    <row r="71" hidden="1" outlineLevel="1"/>
    <row r="72" hidden="1" outlineLevel="1"/>
    <row r="73" hidden="1" outlineLevel="1"/>
    <row r="74" hidden="1" outlineLevel="1"/>
    <row r="75" hidden="1" outlineLevel="1"/>
    <row r="76" hidden="1" outlineLevel="1"/>
    <row r="77" hidden="1" outlineLevel="1"/>
    <row r="78" hidden="1" outlineLevel="1"/>
    <row r="79" hidden="1" outlineLevel="1"/>
    <row r="80" hidden="1" outlineLevel="1"/>
    <row r="81" spans="1:16" hidden="1" outlineLevel="1"/>
    <row r="82" spans="1:16" hidden="1" outlineLevel="1"/>
    <row r="83" spans="1:16" hidden="1" outlineLevel="1"/>
    <row r="84" spans="1:16" hidden="1" outlineLevel="1"/>
    <row r="85" spans="1:16" hidden="1" outlineLevel="1"/>
    <row r="86" spans="1:16" ht="12.75" hidden="1" customHeight="1" outlineLevel="1">
      <c r="A86" s="197"/>
      <c r="B86" s="197"/>
      <c r="C86" s="197"/>
      <c r="D86" s="197"/>
      <c r="E86" s="197"/>
      <c r="F86" s="197"/>
      <c r="G86" s="117"/>
      <c r="H86" s="117"/>
      <c r="I86" s="117"/>
      <c r="J86" s="117"/>
      <c r="K86" s="117"/>
    </row>
    <row r="87" spans="1:16" hidden="1" outlineLevel="1">
      <c r="E87" s="65">
        <f>129353+20893+14413</f>
        <v>164659</v>
      </c>
    </row>
    <row r="88" spans="1:16" hidden="1"/>
    <row r="89" spans="1:16" ht="31.15" hidden="1" customHeight="1"/>
    <row r="90" spans="1:16" hidden="1">
      <c r="C90" s="198"/>
      <c r="D90" s="103"/>
      <c r="E90" s="198"/>
      <c r="F90" s="198"/>
      <c r="G90" s="103"/>
      <c r="H90" s="103"/>
      <c r="I90" s="103"/>
      <c r="J90" s="103"/>
      <c r="K90" s="103"/>
    </row>
    <row r="91" spans="1:16" hidden="1">
      <c r="C91" s="198"/>
      <c r="D91" s="79"/>
      <c r="E91" s="79"/>
      <c r="F91" s="79"/>
      <c r="G91" s="79"/>
      <c r="H91" s="79"/>
      <c r="I91" s="79"/>
      <c r="J91" s="79"/>
      <c r="K91" s="79"/>
    </row>
    <row r="92" spans="1:16" s="120" customFormat="1" ht="13.5">
      <c r="A92" s="119" t="s">
        <v>46</v>
      </c>
      <c r="B92" s="121"/>
      <c r="C92" s="122"/>
      <c r="D92" s="122">
        <f>ROUND(D27/F27,3)</f>
        <v>0.64600000000000002</v>
      </c>
      <c r="E92" s="122">
        <f>ROUND(E27/F27,3)</f>
        <v>0.35399999999999998</v>
      </c>
      <c r="F92" s="122">
        <v>1</v>
      </c>
      <c r="G92" s="122"/>
      <c r="H92" s="122"/>
      <c r="I92" s="122">
        <f>ROUND(I27/K27,3)</f>
        <v>0.59199999999999997</v>
      </c>
      <c r="J92" s="122">
        <f>ROUND(J27/K27,3)</f>
        <v>0.40799999999999997</v>
      </c>
      <c r="K92" s="122">
        <v>1</v>
      </c>
      <c r="L92" s="121"/>
      <c r="M92" s="121"/>
      <c r="N92" s="122">
        <f>ROUND(N27/P27,3)</f>
        <v>0.69099999999999995</v>
      </c>
      <c r="O92" s="122">
        <f>ROUND(O27/P27,3)</f>
        <v>0.309</v>
      </c>
      <c r="P92" s="122">
        <v>1</v>
      </c>
    </row>
    <row r="93" spans="1:16" s="111" customFormat="1" ht="22.5">
      <c r="A93" s="123" t="s">
        <v>86</v>
      </c>
      <c r="C93" s="112"/>
      <c r="D93" s="112"/>
      <c r="E93" s="112"/>
      <c r="F93" s="112"/>
      <c r="G93" s="112"/>
      <c r="H93" s="112"/>
      <c r="I93" s="112"/>
      <c r="J93" s="112"/>
      <c r="K93" s="112"/>
      <c r="N93" s="111" t="s">
        <v>87</v>
      </c>
    </row>
    <row r="94" spans="1:16">
      <c r="C94" s="79"/>
      <c r="D94" s="79"/>
      <c r="E94" s="79"/>
      <c r="F94" s="79"/>
      <c r="G94" s="79"/>
      <c r="H94" s="79"/>
      <c r="I94" s="79"/>
      <c r="J94" s="79"/>
      <c r="K94" s="79"/>
    </row>
    <row r="95" spans="1:16">
      <c r="C95" s="79"/>
      <c r="D95" s="79"/>
      <c r="E95" s="79"/>
      <c r="F95" s="79"/>
      <c r="G95" s="79"/>
      <c r="H95" s="79"/>
      <c r="I95" s="79"/>
      <c r="J95" s="79"/>
      <c r="K95" s="79"/>
    </row>
    <row r="96" spans="1:16" hidden="1">
      <c r="B96" s="102">
        <f>B27-B6</f>
        <v>93473</v>
      </c>
      <c r="C96" s="104"/>
      <c r="D96" s="79"/>
      <c r="E96" s="79"/>
      <c r="F96" s="79"/>
      <c r="G96" s="79"/>
      <c r="H96" s="79"/>
      <c r="I96" s="79"/>
      <c r="J96" s="79"/>
      <c r="K96" s="79"/>
    </row>
    <row r="97" spans="1:11">
      <c r="A97" s="64" t="s">
        <v>39</v>
      </c>
      <c r="C97" s="185"/>
      <c r="D97" s="105"/>
      <c r="E97" s="105"/>
      <c r="F97" s="105"/>
      <c r="G97" s="105"/>
      <c r="H97" s="105"/>
      <c r="I97" s="105"/>
      <c r="J97" s="105"/>
      <c r="K97" s="105"/>
    </row>
    <row r="98" spans="1:11" ht="23.25" customHeight="1">
      <c r="C98" s="185"/>
      <c r="D98" s="105"/>
      <c r="E98" s="105"/>
      <c r="F98" s="105"/>
      <c r="G98" s="105"/>
      <c r="H98" s="105"/>
      <c r="I98" s="105"/>
      <c r="J98" s="105"/>
      <c r="K98" s="105"/>
    </row>
    <row r="102" spans="1:11">
      <c r="E102" s="106"/>
      <c r="F102" s="106"/>
      <c r="G102" s="106"/>
      <c r="H102" s="106"/>
      <c r="I102" s="106"/>
      <c r="J102" s="106"/>
      <c r="K102" s="106"/>
    </row>
    <row r="103" spans="1:11">
      <c r="D103" s="90"/>
    </row>
  </sheetData>
  <mergeCells count="23">
    <mergeCell ref="E90:F90"/>
    <mergeCell ref="N4:N5"/>
    <mergeCell ref="G3:K3"/>
    <mergeCell ref="G4:G5"/>
    <mergeCell ref="H4:H5"/>
    <mergeCell ref="I4:I5"/>
    <mergeCell ref="K4:K5"/>
    <mergeCell ref="C97:C98"/>
    <mergeCell ref="F4:F5"/>
    <mergeCell ref="P4:P5"/>
    <mergeCell ref="L4:L5"/>
    <mergeCell ref="A1:P1"/>
    <mergeCell ref="A3:A5"/>
    <mergeCell ref="B3:F3"/>
    <mergeCell ref="L3:P3"/>
    <mergeCell ref="M4:M5"/>
    <mergeCell ref="B4:B5"/>
    <mergeCell ref="C4:C5"/>
    <mergeCell ref="D4:D5"/>
    <mergeCell ref="A32:C32"/>
    <mergeCell ref="A38:F38"/>
    <mergeCell ref="A86:F86"/>
    <mergeCell ref="C90:C91"/>
  </mergeCells>
  <pageMargins left="0.39370078740157483" right="0.39370078740157483" top="0.59055118110236227" bottom="0.19685039370078741" header="0" footer="0"/>
  <pageSetup paperSize="9" scale="78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K84"/>
  <sheetViews>
    <sheetView showZeros="0" tabSelected="1" zoomScale="70" zoomScaleNormal="70" workbookViewId="0">
      <selection activeCell="H4" sqref="H4:K4"/>
    </sheetView>
  </sheetViews>
  <sheetFormatPr defaultColWidth="7.25" defaultRowHeight="12.75" outlineLevelRow="1" outlineLevelCol="1"/>
  <cols>
    <col min="1" max="1" width="3" style="1" customWidth="1"/>
    <col min="2" max="2" width="25.5" style="1" customWidth="1"/>
    <col min="3" max="3" width="6.75" style="1" customWidth="1" outlineLevel="1"/>
    <col min="4" max="4" width="7.75" style="1" customWidth="1" outlineLevel="1"/>
    <col min="5" max="5" width="7.375" style="1" customWidth="1" outlineLevel="1"/>
    <col min="6" max="6" width="6.25" style="1" customWidth="1" outlineLevel="1"/>
    <col min="7" max="7" width="7.25" style="1" customWidth="1" outlineLevel="1"/>
    <col min="8" max="8" width="7.375" style="1" customWidth="1"/>
    <col min="9" max="9" width="7.625" style="1" customWidth="1"/>
    <col min="10" max="10" width="6.75" style="1" customWidth="1"/>
    <col min="11" max="11" width="7.5" style="1" customWidth="1"/>
    <col min="12" max="16384" width="7.25" style="1"/>
  </cols>
  <sheetData>
    <row r="1" spans="1:11" ht="64.150000000000006" customHeight="1">
      <c r="A1" s="162" t="s">
        <v>157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13.5" customHeight="1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0.15" customHeight="1">
      <c r="B3" s="29"/>
      <c r="K3" s="1" t="s">
        <v>129</v>
      </c>
    </row>
    <row r="4" spans="1:11" ht="45" customHeight="1">
      <c r="A4" s="154"/>
      <c r="B4" s="154"/>
      <c r="C4" s="158" t="s">
        <v>95</v>
      </c>
      <c r="D4" s="159"/>
      <c r="E4" s="159"/>
      <c r="F4" s="159"/>
      <c r="G4" s="160"/>
      <c r="H4" s="158" t="s">
        <v>128</v>
      </c>
      <c r="I4" s="159"/>
      <c r="J4" s="159"/>
      <c r="K4" s="160"/>
    </row>
    <row r="5" spans="1:11" ht="13.15" customHeight="1">
      <c r="A5" s="154"/>
      <c r="B5" s="154"/>
      <c r="C5" s="163" t="s">
        <v>96</v>
      </c>
      <c r="D5" s="201" t="s">
        <v>31</v>
      </c>
      <c r="E5" s="202"/>
      <c r="F5" s="164" t="s">
        <v>97</v>
      </c>
      <c r="G5" s="165" t="s">
        <v>3</v>
      </c>
      <c r="H5" s="163" t="s">
        <v>96</v>
      </c>
      <c r="I5" s="199" t="s">
        <v>142</v>
      </c>
      <c r="J5" s="164" t="s">
        <v>97</v>
      </c>
      <c r="K5" s="165" t="s">
        <v>3</v>
      </c>
    </row>
    <row r="6" spans="1:11" ht="24" customHeight="1">
      <c r="A6" s="154"/>
      <c r="B6" s="154"/>
      <c r="C6" s="163"/>
      <c r="D6" s="132" t="s">
        <v>98</v>
      </c>
      <c r="E6" s="133" t="s">
        <v>99</v>
      </c>
      <c r="F6" s="164"/>
      <c r="G6" s="166"/>
      <c r="H6" s="163"/>
      <c r="I6" s="200"/>
      <c r="J6" s="164"/>
      <c r="K6" s="166"/>
    </row>
    <row r="7" spans="1:11">
      <c r="A7" s="4">
        <v>1</v>
      </c>
      <c r="B7" s="5" t="s">
        <v>100</v>
      </c>
      <c r="C7" s="134">
        <f t="shared" ref="C7:G7" si="0">C8+C9</f>
        <v>0</v>
      </c>
      <c r="D7" s="135">
        <f t="shared" si="0"/>
        <v>0</v>
      </c>
      <c r="E7" s="135"/>
      <c r="F7" s="135">
        <f t="shared" si="0"/>
        <v>0</v>
      </c>
      <c r="G7" s="134">
        <f t="shared" si="0"/>
        <v>0</v>
      </c>
      <c r="H7" s="134">
        <f>H8+H9</f>
        <v>0</v>
      </c>
      <c r="I7" s="135">
        <f t="shared" ref="I7:K7" si="1">I8+I9</f>
        <v>0</v>
      </c>
      <c r="J7" s="135">
        <f t="shared" si="1"/>
        <v>0</v>
      </c>
      <c r="K7" s="134">
        <f t="shared" si="1"/>
        <v>0</v>
      </c>
    </row>
    <row r="8" spans="1:11" s="131" customFormat="1">
      <c r="A8" s="4"/>
      <c r="B8" s="136" t="s">
        <v>101</v>
      </c>
      <c r="C8" s="135">
        <f>D8</f>
        <v>0</v>
      </c>
      <c r="D8" s="135"/>
      <c r="E8" s="135"/>
      <c r="F8" s="19">
        <f t="shared" ref="F8:F9" si="2">ROUND(C8*30.2%,0)</f>
        <v>0</v>
      </c>
      <c r="G8" s="19">
        <f t="shared" ref="G8:G26" si="3">C8+F8</f>
        <v>0</v>
      </c>
      <c r="H8" s="135">
        <f>I8</f>
        <v>0</v>
      </c>
      <c r="I8" s="135"/>
      <c r="J8" s="19">
        <f>ROUND(H8*29.5%,0)</f>
        <v>0</v>
      </c>
      <c r="K8" s="19">
        <f t="shared" ref="K8:K26" si="4">H8+J8</f>
        <v>0</v>
      </c>
    </row>
    <row r="9" spans="1:11" s="131" customFormat="1">
      <c r="A9" s="4"/>
      <c r="B9" s="136" t="s">
        <v>102</v>
      </c>
      <c r="C9" s="135">
        <f>D9</f>
        <v>0</v>
      </c>
      <c r="D9" s="135"/>
      <c r="E9" s="135"/>
      <c r="F9" s="19">
        <f t="shared" si="2"/>
        <v>0</v>
      </c>
      <c r="G9" s="19">
        <f t="shared" si="3"/>
        <v>0</v>
      </c>
      <c r="H9" s="135">
        <f>I9</f>
        <v>0</v>
      </c>
      <c r="I9" s="135"/>
      <c r="J9" s="19">
        <f>ROUND(H9*29.5%,0)</f>
        <v>0</v>
      </c>
      <c r="K9" s="19">
        <f t="shared" si="4"/>
        <v>0</v>
      </c>
    </row>
    <row r="10" spans="1:11" s="131" customFormat="1">
      <c r="A10" s="4">
        <v>2</v>
      </c>
      <c r="B10" s="5" t="s">
        <v>103</v>
      </c>
      <c r="C10" s="134">
        <f>D10+E10</f>
        <v>218</v>
      </c>
      <c r="D10" s="135">
        <v>29</v>
      </c>
      <c r="E10" s="135">
        <v>189</v>
      </c>
      <c r="F10" s="9">
        <f>ROUND(C10*29.5%,0)</f>
        <v>64</v>
      </c>
      <c r="G10" s="9">
        <f t="shared" si="3"/>
        <v>282</v>
      </c>
      <c r="H10" s="134">
        <f>I10</f>
        <v>1041</v>
      </c>
      <c r="I10" s="135">
        <v>1041</v>
      </c>
      <c r="J10" s="9">
        <f>ROUND(H10*29.5%,0)</f>
        <v>307</v>
      </c>
      <c r="K10" s="9">
        <f t="shared" si="4"/>
        <v>1348</v>
      </c>
    </row>
    <row r="11" spans="1:11">
      <c r="A11" s="4">
        <v>3</v>
      </c>
      <c r="B11" s="138" t="s">
        <v>104</v>
      </c>
      <c r="C11" s="134">
        <f t="shared" ref="C11:C26" si="5">D11+E11</f>
        <v>143</v>
      </c>
      <c r="D11" s="134">
        <v>21</v>
      </c>
      <c r="E11" s="135">
        <v>122</v>
      </c>
      <c r="F11" s="9">
        <f t="shared" ref="F11:F26" si="6">ROUND(C11*29.5%,0)</f>
        <v>42</v>
      </c>
      <c r="G11" s="9">
        <f t="shared" si="3"/>
        <v>185</v>
      </c>
      <c r="H11" s="134">
        <f t="shared" ref="H11:H26" si="7">I11</f>
        <v>736</v>
      </c>
      <c r="I11" s="134">
        <v>736</v>
      </c>
      <c r="J11" s="9">
        <f t="shared" ref="J11:J26" si="8">ROUND(H11*29.5%,0)</f>
        <v>217</v>
      </c>
      <c r="K11" s="9">
        <f t="shared" si="4"/>
        <v>953</v>
      </c>
    </row>
    <row r="12" spans="1:11">
      <c r="A12" s="4">
        <v>4</v>
      </c>
      <c r="B12" s="5" t="s">
        <v>105</v>
      </c>
      <c r="C12" s="134">
        <f t="shared" si="5"/>
        <v>291</v>
      </c>
      <c r="D12" s="134">
        <v>51</v>
      </c>
      <c r="E12" s="135">
        <v>240</v>
      </c>
      <c r="F12" s="9">
        <f t="shared" si="6"/>
        <v>86</v>
      </c>
      <c r="G12" s="9">
        <f t="shared" si="3"/>
        <v>377</v>
      </c>
      <c r="H12" s="134">
        <f t="shared" si="7"/>
        <v>1823</v>
      </c>
      <c r="I12" s="134">
        <v>1823</v>
      </c>
      <c r="J12" s="9">
        <f t="shared" si="8"/>
        <v>538</v>
      </c>
      <c r="K12" s="9">
        <f t="shared" si="4"/>
        <v>2361</v>
      </c>
    </row>
    <row r="13" spans="1:11">
      <c r="A13" s="4">
        <v>5</v>
      </c>
      <c r="B13" s="5" t="s">
        <v>106</v>
      </c>
      <c r="C13" s="134">
        <f t="shared" si="5"/>
        <v>358</v>
      </c>
      <c r="D13" s="134">
        <v>55</v>
      </c>
      <c r="E13" s="135">
        <v>303</v>
      </c>
      <c r="F13" s="9">
        <f t="shared" si="6"/>
        <v>106</v>
      </c>
      <c r="G13" s="9">
        <f t="shared" si="3"/>
        <v>464</v>
      </c>
      <c r="H13" s="134">
        <f t="shared" si="7"/>
        <v>1975</v>
      </c>
      <c r="I13" s="134">
        <v>1975</v>
      </c>
      <c r="J13" s="9">
        <f t="shared" si="8"/>
        <v>583</v>
      </c>
      <c r="K13" s="9">
        <f t="shared" si="4"/>
        <v>2558</v>
      </c>
    </row>
    <row r="14" spans="1:11">
      <c r="A14" s="4">
        <v>6</v>
      </c>
      <c r="B14" s="138" t="s">
        <v>107</v>
      </c>
      <c r="C14" s="134">
        <f t="shared" si="5"/>
        <v>243</v>
      </c>
      <c r="D14" s="134">
        <v>39</v>
      </c>
      <c r="E14" s="135">
        <v>204</v>
      </c>
      <c r="F14" s="9">
        <f t="shared" si="6"/>
        <v>72</v>
      </c>
      <c r="G14" s="9">
        <f t="shared" si="3"/>
        <v>315</v>
      </c>
      <c r="H14" s="134">
        <f t="shared" si="7"/>
        <v>1420</v>
      </c>
      <c r="I14" s="134">
        <v>1420</v>
      </c>
      <c r="J14" s="9">
        <f t="shared" si="8"/>
        <v>419</v>
      </c>
      <c r="K14" s="9">
        <f t="shared" si="4"/>
        <v>1839</v>
      </c>
    </row>
    <row r="15" spans="1:11">
      <c r="A15" s="4">
        <v>7</v>
      </c>
      <c r="B15" s="5" t="s">
        <v>108</v>
      </c>
      <c r="C15" s="134">
        <f t="shared" si="5"/>
        <v>132</v>
      </c>
      <c r="D15" s="134">
        <v>13</v>
      </c>
      <c r="E15" s="135">
        <v>119</v>
      </c>
      <c r="F15" s="9">
        <f t="shared" si="6"/>
        <v>39</v>
      </c>
      <c r="G15" s="9">
        <f t="shared" si="3"/>
        <v>171</v>
      </c>
      <c r="H15" s="134">
        <f t="shared" si="7"/>
        <v>462</v>
      </c>
      <c r="I15" s="134">
        <v>462</v>
      </c>
      <c r="J15" s="9">
        <f t="shared" si="8"/>
        <v>136</v>
      </c>
      <c r="K15" s="9">
        <f t="shared" si="4"/>
        <v>598</v>
      </c>
    </row>
    <row r="16" spans="1:11">
      <c r="A16" s="4">
        <v>8</v>
      </c>
      <c r="B16" s="5" t="s">
        <v>109</v>
      </c>
      <c r="C16" s="134">
        <f t="shared" si="5"/>
        <v>132</v>
      </c>
      <c r="D16" s="134">
        <v>14</v>
      </c>
      <c r="E16" s="135">
        <v>118</v>
      </c>
      <c r="F16" s="9">
        <f t="shared" si="6"/>
        <v>39</v>
      </c>
      <c r="G16" s="9">
        <f t="shared" si="3"/>
        <v>171</v>
      </c>
      <c r="H16" s="134">
        <f t="shared" si="7"/>
        <v>516</v>
      </c>
      <c r="I16" s="134">
        <v>516</v>
      </c>
      <c r="J16" s="9">
        <f t="shared" si="8"/>
        <v>152</v>
      </c>
      <c r="K16" s="9">
        <f t="shared" si="4"/>
        <v>668</v>
      </c>
    </row>
    <row r="17" spans="1:11">
      <c r="A17" s="4">
        <v>9</v>
      </c>
      <c r="B17" s="5" t="s">
        <v>110</v>
      </c>
      <c r="C17" s="134">
        <f t="shared" si="5"/>
        <v>178</v>
      </c>
      <c r="D17" s="134">
        <v>30</v>
      </c>
      <c r="E17" s="135">
        <v>148</v>
      </c>
      <c r="F17" s="137">
        <f>ROUND(C17*29.5%,0)-1</f>
        <v>52</v>
      </c>
      <c r="G17" s="9">
        <f t="shared" si="3"/>
        <v>230</v>
      </c>
      <c r="H17" s="134">
        <f t="shared" si="7"/>
        <v>1095</v>
      </c>
      <c r="I17" s="134">
        <v>1095</v>
      </c>
      <c r="J17" s="9">
        <f t="shared" si="8"/>
        <v>323</v>
      </c>
      <c r="K17" s="9">
        <f t="shared" si="4"/>
        <v>1418</v>
      </c>
    </row>
    <row r="18" spans="1:11">
      <c r="A18" s="4">
        <v>10</v>
      </c>
      <c r="B18" s="5" t="s">
        <v>111</v>
      </c>
      <c r="C18" s="134">
        <f t="shared" si="5"/>
        <v>141</v>
      </c>
      <c r="D18" s="134">
        <v>17</v>
      </c>
      <c r="E18" s="135">
        <v>124</v>
      </c>
      <c r="F18" s="9">
        <f t="shared" si="6"/>
        <v>42</v>
      </c>
      <c r="G18" s="9">
        <f t="shared" si="3"/>
        <v>183</v>
      </c>
      <c r="H18" s="134">
        <f t="shared" si="7"/>
        <v>610</v>
      </c>
      <c r="I18" s="134">
        <v>610</v>
      </c>
      <c r="J18" s="9">
        <f t="shared" si="8"/>
        <v>180</v>
      </c>
      <c r="K18" s="9">
        <f t="shared" si="4"/>
        <v>790</v>
      </c>
    </row>
    <row r="19" spans="1:11">
      <c r="A19" s="4">
        <v>11</v>
      </c>
      <c r="B19" s="5" t="s">
        <v>112</v>
      </c>
      <c r="C19" s="134">
        <f t="shared" si="5"/>
        <v>185</v>
      </c>
      <c r="D19" s="134">
        <v>29</v>
      </c>
      <c r="E19" s="135">
        <v>156</v>
      </c>
      <c r="F19" s="9">
        <f t="shared" si="6"/>
        <v>55</v>
      </c>
      <c r="G19" s="9">
        <f t="shared" si="3"/>
        <v>240</v>
      </c>
      <c r="H19" s="134">
        <f t="shared" si="7"/>
        <v>1021</v>
      </c>
      <c r="I19" s="134">
        <v>1021</v>
      </c>
      <c r="J19" s="9">
        <f t="shared" si="8"/>
        <v>301</v>
      </c>
      <c r="K19" s="9">
        <f t="shared" si="4"/>
        <v>1322</v>
      </c>
    </row>
    <row r="20" spans="1:11">
      <c r="A20" s="4">
        <v>12</v>
      </c>
      <c r="B20" s="5" t="s">
        <v>113</v>
      </c>
      <c r="C20" s="134">
        <f t="shared" si="5"/>
        <v>55</v>
      </c>
      <c r="D20" s="134">
        <v>4</v>
      </c>
      <c r="E20" s="135">
        <v>51</v>
      </c>
      <c r="F20" s="9">
        <f t="shared" si="6"/>
        <v>16</v>
      </c>
      <c r="G20" s="9">
        <f t="shared" si="3"/>
        <v>71</v>
      </c>
      <c r="H20" s="134">
        <f t="shared" si="7"/>
        <v>124</v>
      </c>
      <c r="I20" s="134">
        <v>124</v>
      </c>
      <c r="J20" s="9">
        <f t="shared" si="8"/>
        <v>37</v>
      </c>
      <c r="K20" s="9">
        <f t="shared" si="4"/>
        <v>161</v>
      </c>
    </row>
    <row r="21" spans="1:11">
      <c r="A21" s="4">
        <v>13</v>
      </c>
      <c r="B21" s="5" t="s">
        <v>114</v>
      </c>
      <c r="C21" s="134">
        <f t="shared" si="5"/>
        <v>102</v>
      </c>
      <c r="D21" s="134">
        <v>5</v>
      </c>
      <c r="E21" s="135">
        <v>97</v>
      </c>
      <c r="F21" s="9">
        <f t="shared" si="6"/>
        <v>30</v>
      </c>
      <c r="G21" s="9">
        <f t="shared" si="3"/>
        <v>132</v>
      </c>
      <c r="H21" s="134">
        <f t="shared" si="7"/>
        <v>185</v>
      </c>
      <c r="I21" s="134">
        <v>185</v>
      </c>
      <c r="J21" s="9">
        <f t="shared" si="8"/>
        <v>55</v>
      </c>
      <c r="K21" s="9">
        <f t="shared" si="4"/>
        <v>240</v>
      </c>
    </row>
    <row r="22" spans="1:11">
      <c r="A22" s="4">
        <v>14</v>
      </c>
      <c r="B22" s="5" t="s">
        <v>115</v>
      </c>
      <c r="C22" s="134">
        <f t="shared" si="5"/>
        <v>75</v>
      </c>
      <c r="D22" s="134">
        <v>4</v>
      </c>
      <c r="E22" s="135">
        <v>71</v>
      </c>
      <c r="F22" s="9">
        <f t="shared" si="6"/>
        <v>22</v>
      </c>
      <c r="G22" s="9">
        <f t="shared" si="3"/>
        <v>97</v>
      </c>
      <c r="H22" s="134">
        <f t="shared" si="7"/>
        <v>167</v>
      </c>
      <c r="I22" s="134">
        <v>167</v>
      </c>
      <c r="J22" s="9">
        <f t="shared" si="8"/>
        <v>49</v>
      </c>
      <c r="K22" s="9">
        <f t="shared" si="4"/>
        <v>216</v>
      </c>
    </row>
    <row r="23" spans="1:11">
      <c r="A23" s="4">
        <v>15</v>
      </c>
      <c r="B23" s="5" t="s">
        <v>116</v>
      </c>
      <c r="C23" s="134">
        <f t="shared" si="5"/>
        <v>94</v>
      </c>
      <c r="D23" s="134">
        <v>7</v>
      </c>
      <c r="E23" s="135">
        <v>87</v>
      </c>
      <c r="F23" s="9">
        <f t="shared" si="6"/>
        <v>28</v>
      </c>
      <c r="G23" s="9">
        <f t="shared" si="3"/>
        <v>122</v>
      </c>
      <c r="H23" s="134">
        <f t="shared" si="7"/>
        <v>252</v>
      </c>
      <c r="I23" s="134">
        <v>252</v>
      </c>
      <c r="J23" s="9">
        <f t="shared" si="8"/>
        <v>74</v>
      </c>
      <c r="K23" s="9">
        <f t="shared" si="4"/>
        <v>326</v>
      </c>
    </row>
    <row r="24" spans="1:11">
      <c r="A24" s="4">
        <f t="shared" ref="A24" si="9">A23+1</f>
        <v>16</v>
      </c>
      <c r="B24" s="5" t="s">
        <v>117</v>
      </c>
      <c r="C24" s="134">
        <f t="shared" si="5"/>
        <v>140</v>
      </c>
      <c r="D24" s="134">
        <v>14</v>
      </c>
      <c r="E24" s="135">
        <v>126</v>
      </c>
      <c r="F24" s="9">
        <f t="shared" si="6"/>
        <v>41</v>
      </c>
      <c r="G24" s="9">
        <f t="shared" si="3"/>
        <v>181</v>
      </c>
      <c r="H24" s="134">
        <f t="shared" si="7"/>
        <v>504</v>
      </c>
      <c r="I24" s="134">
        <v>504</v>
      </c>
      <c r="J24" s="9">
        <f t="shared" si="8"/>
        <v>149</v>
      </c>
      <c r="K24" s="9">
        <f t="shared" si="4"/>
        <v>653</v>
      </c>
    </row>
    <row r="25" spans="1:11">
      <c r="A25" s="4">
        <v>17</v>
      </c>
      <c r="B25" s="5" t="s">
        <v>118</v>
      </c>
      <c r="C25" s="134">
        <f t="shared" si="5"/>
        <v>306</v>
      </c>
      <c r="D25" s="134">
        <v>19</v>
      </c>
      <c r="E25" s="135">
        <v>287</v>
      </c>
      <c r="F25" s="9">
        <f t="shared" si="6"/>
        <v>90</v>
      </c>
      <c r="G25" s="9">
        <f t="shared" si="3"/>
        <v>396</v>
      </c>
      <c r="H25" s="134">
        <f t="shared" si="7"/>
        <v>662</v>
      </c>
      <c r="I25" s="134">
        <v>662</v>
      </c>
      <c r="J25" s="9">
        <f t="shared" si="8"/>
        <v>195</v>
      </c>
      <c r="K25" s="9">
        <f t="shared" si="4"/>
        <v>857</v>
      </c>
    </row>
    <row r="26" spans="1:11">
      <c r="A26" s="4">
        <v>18</v>
      </c>
      <c r="B26" s="5" t="s">
        <v>119</v>
      </c>
      <c r="C26" s="134">
        <f t="shared" si="5"/>
        <v>322</v>
      </c>
      <c r="D26" s="134">
        <v>16</v>
      </c>
      <c r="E26" s="135">
        <v>306</v>
      </c>
      <c r="F26" s="9">
        <f t="shared" si="6"/>
        <v>95</v>
      </c>
      <c r="G26" s="9">
        <f t="shared" si="3"/>
        <v>417</v>
      </c>
      <c r="H26" s="134">
        <f t="shared" si="7"/>
        <v>554</v>
      </c>
      <c r="I26" s="134">
        <v>554</v>
      </c>
      <c r="J26" s="9">
        <f t="shared" si="8"/>
        <v>163</v>
      </c>
      <c r="K26" s="9">
        <f t="shared" si="4"/>
        <v>717</v>
      </c>
    </row>
    <row r="27" spans="1:11" s="14" customFormat="1" ht="13.5">
      <c r="A27" s="140"/>
      <c r="B27" s="141" t="s">
        <v>120</v>
      </c>
      <c r="C27" s="142">
        <f t="shared" ref="C27:K27" si="10">SUM(C9:C26)</f>
        <v>3115</v>
      </c>
      <c r="D27" s="142">
        <f t="shared" si="10"/>
        <v>367</v>
      </c>
      <c r="E27" s="142">
        <f t="shared" si="10"/>
        <v>2748</v>
      </c>
      <c r="F27" s="142">
        <f t="shared" si="10"/>
        <v>919</v>
      </c>
      <c r="G27" s="142">
        <f t="shared" si="10"/>
        <v>4034</v>
      </c>
      <c r="H27" s="142">
        <f t="shared" si="10"/>
        <v>13147</v>
      </c>
      <c r="I27" s="142">
        <f t="shared" si="10"/>
        <v>13147</v>
      </c>
      <c r="J27" s="142">
        <f t="shared" si="10"/>
        <v>3878</v>
      </c>
      <c r="K27" s="142">
        <f t="shared" si="10"/>
        <v>17025</v>
      </c>
    </row>
    <row r="28" spans="1:11" s="14" customFormat="1" ht="13.5">
      <c r="A28" s="140"/>
      <c r="B28" s="143" t="s">
        <v>121</v>
      </c>
      <c r="C28" s="144">
        <f t="shared" ref="C28:K28" si="11">C27+C8</f>
        <v>3115</v>
      </c>
      <c r="D28" s="144">
        <f t="shared" si="11"/>
        <v>367</v>
      </c>
      <c r="E28" s="144">
        <f t="shared" si="11"/>
        <v>2748</v>
      </c>
      <c r="F28" s="144">
        <f t="shared" si="11"/>
        <v>919</v>
      </c>
      <c r="G28" s="144">
        <f t="shared" si="11"/>
        <v>4034</v>
      </c>
      <c r="H28" s="144">
        <f t="shared" si="11"/>
        <v>13147</v>
      </c>
      <c r="I28" s="144">
        <f t="shared" si="11"/>
        <v>13147</v>
      </c>
      <c r="J28" s="144">
        <f t="shared" si="11"/>
        <v>3878</v>
      </c>
      <c r="K28" s="144">
        <f t="shared" si="11"/>
        <v>17025</v>
      </c>
    </row>
    <row r="29" spans="1:11">
      <c r="A29" s="4">
        <v>19</v>
      </c>
      <c r="B29" s="5" t="s">
        <v>8</v>
      </c>
      <c r="C29" s="9"/>
      <c r="D29" s="9"/>
      <c r="E29" s="9"/>
      <c r="F29" s="9"/>
      <c r="G29" s="9"/>
      <c r="H29" s="8">
        <v>1934</v>
      </c>
      <c r="I29" s="135"/>
      <c r="J29" s="139">
        <f>ROUND(H29*29.5%,0)</f>
        <v>571</v>
      </c>
      <c r="K29" s="9">
        <f>H29+J29</f>
        <v>2505</v>
      </c>
    </row>
    <row r="30" spans="1:11">
      <c r="A30" s="4">
        <v>20</v>
      </c>
      <c r="B30" s="5" t="s">
        <v>9</v>
      </c>
      <c r="C30" s="9"/>
      <c r="D30" s="9"/>
      <c r="E30" s="9"/>
      <c r="F30" s="9"/>
      <c r="G30" s="9"/>
      <c r="H30" s="8">
        <v>332</v>
      </c>
      <c r="I30" s="135"/>
      <c r="J30" s="139">
        <f t="shared" ref="J30:J48" si="12">ROUND(H30*29.5%,0)</f>
        <v>98</v>
      </c>
      <c r="K30" s="9">
        <f>H30+J30</f>
        <v>430</v>
      </c>
    </row>
    <row r="31" spans="1:11">
      <c r="A31" s="4">
        <v>21</v>
      </c>
      <c r="B31" s="5" t="s">
        <v>10</v>
      </c>
      <c r="C31" s="9"/>
      <c r="D31" s="9"/>
      <c r="E31" s="9"/>
      <c r="F31" s="9"/>
      <c r="G31" s="9"/>
      <c r="H31" s="8">
        <v>975</v>
      </c>
      <c r="I31" s="135"/>
      <c r="J31" s="139">
        <f t="shared" si="12"/>
        <v>288</v>
      </c>
      <c r="K31" s="9">
        <f>H31+J31</f>
        <v>1263</v>
      </c>
    </row>
    <row r="32" spans="1:11" s="14" customFormat="1">
      <c r="A32" s="24"/>
      <c r="B32" s="145" t="s">
        <v>122</v>
      </c>
      <c r="C32" s="144"/>
      <c r="D32" s="144"/>
      <c r="E32" s="144"/>
      <c r="F32" s="144"/>
      <c r="G32" s="144"/>
      <c r="H32" s="144">
        <f>SUM(H29:H31)</f>
        <v>3241</v>
      </c>
      <c r="I32" s="142"/>
      <c r="J32" s="144">
        <f>SUM(J29:J31)</f>
        <v>957</v>
      </c>
      <c r="K32" s="144">
        <f>SUM(K29:K31)</f>
        <v>4198</v>
      </c>
    </row>
    <row r="33" spans="1:11">
      <c r="A33" s="4">
        <v>22</v>
      </c>
      <c r="B33" s="11" t="s">
        <v>11</v>
      </c>
      <c r="C33" s="9"/>
      <c r="D33" s="9"/>
      <c r="E33" s="9"/>
      <c r="F33" s="9"/>
      <c r="G33" s="9"/>
      <c r="H33" s="8">
        <v>5171</v>
      </c>
      <c r="I33" s="135"/>
      <c r="J33" s="146">
        <f>ROUND(H33*29.5%,0)+1</f>
        <v>1526</v>
      </c>
      <c r="K33" s="9">
        <f>H33+J33</f>
        <v>6697</v>
      </c>
    </row>
    <row r="34" spans="1:11">
      <c r="A34" s="4">
        <v>23</v>
      </c>
      <c r="B34" s="11" t="s">
        <v>12</v>
      </c>
      <c r="C34" s="9"/>
      <c r="D34" s="9"/>
      <c r="E34" s="9"/>
      <c r="F34" s="9"/>
      <c r="G34" s="9"/>
      <c r="H34" s="147">
        <v>3465</v>
      </c>
      <c r="I34" s="135"/>
      <c r="J34" s="139">
        <f t="shared" si="12"/>
        <v>1022</v>
      </c>
      <c r="K34" s="9">
        <f>H34+J34</f>
        <v>4487</v>
      </c>
    </row>
    <row r="35" spans="1:11" s="14" customFormat="1">
      <c r="A35" s="24"/>
      <c r="B35" s="145" t="s">
        <v>123</v>
      </c>
      <c r="C35" s="144"/>
      <c r="D35" s="144"/>
      <c r="E35" s="144"/>
      <c r="F35" s="144"/>
      <c r="G35" s="144"/>
      <c r="H35" s="144">
        <f t="shared" ref="H35:K35" si="13">SUM(H33:H34)</f>
        <v>8636</v>
      </c>
      <c r="I35" s="144">
        <f t="shared" si="13"/>
        <v>0</v>
      </c>
      <c r="J35" s="144">
        <f t="shared" si="13"/>
        <v>2548</v>
      </c>
      <c r="K35" s="144">
        <f t="shared" si="13"/>
        <v>11184</v>
      </c>
    </row>
    <row r="36" spans="1:11">
      <c r="A36" s="4">
        <v>24</v>
      </c>
      <c r="B36" s="5" t="s">
        <v>13</v>
      </c>
      <c r="C36" s="9"/>
      <c r="D36" s="9"/>
      <c r="E36" s="9"/>
      <c r="F36" s="9"/>
      <c r="G36" s="9"/>
      <c r="H36" s="8">
        <v>2882</v>
      </c>
      <c r="I36" s="135"/>
      <c r="J36" s="146">
        <f>ROUND(H36*29.5%,0)+1</f>
        <v>851</v>
      </c>
      <c r="K36" s="9">
        <f>H36+J36</f>
        <v>3733</v>
      </c>
    </row>
    <row r="37" spans="1:11">
      <c r="A37" s="4">
        <f>A36+1</f>
        <v>25</v>
      </c>
      <c r="B37" s="5" t="s">
        <v>14</v>
      </c>
      <c r="C37" s="9"/>
      <c r="D37" s="9"/>
      <c r="E37" s="9"/>
      <c r="F37" s="9"/>
      <c r="G37" s="9"/>
      <c r="H37" s="8">
        <v>1466</v>
      </c>
      <c r="I37" s="135"/>
      <c r="J37" s="146">
        <f>ROUND(H37*29.5%,0)+1</f>
        <v>433</v>
      </c>
      <c r="K37" s="9">
        <f>H37+J37</f>
        <v>1899</v>
      </c>
    </row>
    <row r="38" spans="1:11">
      <c r="A38" s="4">
        <f>A37+1</f>
        <v>26</v>
      </c>
      <c r="B38" s="5" t="s">
        <v>15</v>
      </c>
      <c r="C38" s="9"/>
      <c r="D38" s="9"/>
      <c r="E38" s="9"/>
      <c r="F38" s="9"/>
      <c r="G38" s="9"/>
      <c r="H38" s="8">
        <v>1751</v>
      </c>
      <c r="I38" s="135"/>
      <c r="J38" s="146">
        <f>ROUND(H38*29.5%,0)-1</f>
        <v>516</v>
      </c>
      <c r="K38" s="9">
        <f>H38+J38</f>
        <v>2267</v>
      </c>
    </row>
    <row r="39" spans="1:11">
      <c r="A39" s="4">
        <v>27</v>
      </c>
      <c r="B39" s="13" t="s">
        <v>16</v>
      </c>
      <c r="C39" s="9"/>
      <c r="D39" s="9"/>
      <c r="E39" s="9"/>
      <c r="F39" s="9"/>
      <c r="G39" s="9"/>
      <c r="H39" s="8">
        <v>1273</v>
      </c>
      <c r="I39" s="148"/>
      <c r="J39" s="146">
        <f>ROUND(H39*29.5%,0)-1</f>
        <v>375</v>
      </c>
      <c r="K39" s="9">
        <f>H39+J39</f>
        <v>1648</v>
      </c>
    </row>
    <row r="40" spans="1:11">
      <c r="A40" s="4">
        <v>28</v>
      </c>
      <c r="B40" s="5" t="s">
        <v>17</v>
      </c>
      <c r="C40" s="9"/>
      <c r="D40" s="9"/>
      <c r="E40" s="9"/>
      <c r="F40" s="9"/>
      <c r="G40" s="9"/>
      <c r="H40" s="8">
        <v>4231</v>
      </c>
      <c r="I40" s="135"/>
      <c r="J40" s="139">
        <f t="shared" si="12"/>
        <v>1248</v>
      </c>
      <c r="K40" s="9">
        <f>H40+J40</f>
        <v>5479</v>
      </c>
    </row>
    <row r="41" spans="1:11" s="14" customFormat="1" ht="24.6" customHeight="1">
      <c r="A41" s="24"/>
      <c r="B41" s="145" t="s">
        <v>124</v>
      </c>
      <c r="C41" s="144"/>
      <c r="D41" s="144"/>
      <c r="E41" s="144"/>
      <c r="F41" s="144"/>
      <c r="G41" s="144"/>
      <c r="H41" s="144">
        <f>SUM(H36:H40)</f>
        <v>11603</v>
      </c>
      <c r="I41" s="142"/>
      <c r="J41" s="144">
        <f t="shared" ref="J41:K41" si="14">SUM(J36:J40)</f>
        <v>3423</v>
      </c>
      <c r="K41" s="144">
        <f t="shared" si="14"/>
        <v>15026</v>
      </c>
    </row>
    <row r="42" spans="1:11" s="14" customFormat="1">
      <c r="A42" s="4">
        <v>29</v>
      </c>
      <c r="B42" s="5" t="s">
        <v>18</v>
      </c>
      <c r="D42" s="9"/>
      <c r="E42" s="9"/>
      <c r="F42" s="9"/>
      <c r="G42" s="9"/>
      <c r="H42" s="8">
        <v>1301</v>
      </c>
      <c r="I42" s="135"/>
      <c r="J42" s="139">
        <f t="shared" si="12"/>
        <v>384</v>
      </c>
      <c r="K42" s="9">
        <f>H42+J42</f>
        <v>1685</v>
      </c>
    </row>
    <row r="43" spans="1:11" s="14" customFormat="1" outlineLevel="1">
      <c r="A43" s="4">
        <v>30</v>
      </c>
      <c r="B43" s="13" t="s">
        <v>19</v>
      </c>
      <c r="C43" s="8">
        <f t="shared" ref="C43:K43" si="15">C44+C45</f>
        <v>0</v>
      </c>
      <c r="D43" s="8">
        <f t="shared" si="15"/>
        <v>0</v>
      </c>
      <c r="E43" s="8">
        <f t="shared" si="15"/>
        <v>0</v>
      </c>
      <c r="F43" s="8">
        <f t="shared" si="15"/>
        <v>0</v>
      </c>
      <c r="G43" s="8">
        <f t="shared" si="15"/>
        <v>0</v>
      </c>
      <c r="H43" s="8">
        <f t="shared" si="15"/>
        <v>2052</v>
      </c>
      <c r="I43" s="8">
        <f t="shared" si="15"/>
        <v>0</v>
      </c>
      <c r="J43" s="8">
        <f t="shared" si="15"/>
        <v>605</v>
      </c>
      <c r="K43" s="8">
        <f t="shared" si="15"/>
        <v>2657</v>
      </c>
    </row>
    <row r="44" spans="1:11" s="21" customFormat="1" ht="13.5" outlineLevel="1">
      <c r="A44" s="15"/>
      <c r="B44" s="16" t="s">
        <v>125</v>
      </c>
      <c r="C44" s="19"/>
      <c r="D44" s="19"/>
      <c r="E44" s="19"/>
      <c r="F44" s="19"/>
      <c r="G44" s="19"/>
      <c r="H44" s="18">
        <v>863</v>
      </c>
      <c r="I44" s="148"/>
      <c r="J44" s="149">
        <f>ROUND(H44*29.5%,0)-1</f>
        <v>254</v>
      </c>
      <c r="K44" s="19">
        <f>H44+J44</f>
        <v>1117</v>
      </c>
    </row>
    <row r="45" spans="1:11" s="21" customFormat="1" ht="13.5" outlineLevel="1">
      <c r="A45" s="15"/>
      <c r="B45" s="16" t="s">
        <v>21</v>
      </c>
      <c r="C45" s="19"/>
      <c r="D45" s="19"/>
      <c r="E45" s="19"/>
      <c r="F45" s="19"/>
      <c r="G45" s="19"/>
      <c r="H45" s="18">
        <f>549+640</f>
        <v>1189</v>
      </c>
      <c r="I45" s="148"/>
      <c r="J45" s="150">
        <f t="shared" si="12"/>
        <v>351</v>
      </c>
      <c r="K45" s="19">
        <f>H45+J45</f>
        <v>1540</v>
      </c>
    </row>
    <row r="46" spans="1:11" s="14" customFormat="1" outlineLevel="1">
      <c r="A46" s="4">
        <v>31</v>
      </c>
      <c r="B46" s="22" t="s">
        <v>22</v>
      </c>
      <c r="C46" s="9"/>
      <c r="D46" s="9"/>
      <c r="E46" s="9"/>
      <c r="F46" s="9"/>
      <c r="G46" s="9"/>
      <c r="H46" s="8">
        <v>629</v>
      </c>
      <c r="I46" s="148"/>
      <c r="J46" s="139">
        <f>ROUND(H46*29.5%,0)</f>
        <v>186</v>
      </c>
      <c r="K46" s="9">
        <f>H46+J46</f>
        <v>815</v>
      </c>
    </row>
    <row r="47" spans="1:11" s="14" customFormat="1" outlineLevel="1">
      <c r="A47" s="24"/>
      <c r="B47" s="145" t="s">
        <v>126</v>
      </c>
      <c r="C47" s="151">
        <f>C44+C43+C46</f>
        <v>0</v>
      </c>
      <c r="D47" s="151">
        <f t="shared" ref="D47:K47" si="16">D42+D43+D46</f>
        <v>0</v>
      </c>
      <c r="E47" s="151">
        <f t="shared" si="16"/>
        <v>0</v>
      </c>
      <c r="F47" s="151">
        <f t="shared" si="16"/>
        <v>0</v>
      </c>
      <c r="G47" s="151">
        <f t="shared" si="16"/>
        <v>0</v>
      </c>
      <c r="H47" s="151">
        <f t="shared" si="16"/>
        <v>3982</v>
      </c>
      <c r="I47" s="151">
        <f t="shared" si="16"/>
        <v>0</v>
      </c>
      <c r="J47" s="151">
        <f t="shared" si="16"/>
        <v>1175</v>
      </c>
      <c r="K47" s="151">
        <f t="shared" si="16"/>
        <v>5157</v>
      </c>
    </row>
    <row r="48" spans="1:11" s="23" customFormat="1" outlineLevel="1">
      <c r="A48" s="4">
        <v>32</v>
      </c>
      <c r="B48" s="11" t="s">
        <v>23</v>
      </c>
      <c r="C48" s="9"/>
      <c r="D48" s="9"/>
      <c r="E48" s="9"/>
      <c r="F48" s="9"/>
      <c r="G48" s="9"/>
      <c r="H48" s="8">
        <v>554</v>
      </c>
      <c r="I48" s="148"/>
      <c r="J48" s="139">
        <f t="shared" si="12"/>
        <v>163</v>
      </c>
      <c r="K48" s="9">
        <f>H48+J48</f>
        <v>717</v>
      </c>
    </row>
    <row r="49" spans="1:11" s="23" customFormat="1" ht="13.5" outlineLevel="1">
      <c r="A49" s="24"/>
      <c r="B49" s="25" t="s">
        <v>24</v>
      </c>
      <c r="C49" s="144">
        <f t="shared" ref="C49:K49" si="17">C32+C35+C41+C47+C48</f>
        <v>0</v>
      </c>
      <c r="D49" s="144">
        <f t="shared" si="17"/>
        <v>0</v>
      </c>
      <c r="E49" s="144"/>
      <c r="F49" s="144">
        <f t="shared" si="17"/>
        <v>0</v>
      </c>
      <c r="G49" s="144">
        <f t="shared" si="17"/>
        <v>0</v>
      </c>
      <c r="H49" s="144">
        <f t="shared" si="17"/>
        <v>28016</v>
      </c>
      <c r="I49" s="144">
        <f t="shared" si="17"/>
        <v>0</v>
      </c>
      <c r="J49" s="144">
        <f t="shared" si="17"/>
        <v>8266</v>
      </c>
      <c r="K49" s="144">
        <f t="shared" si="17"/>
        <v>36282</v>
      </c>
    </row>
    <row r="50" spans="1:11" s="23" customFormat="1" ht="13.5" outlineLevel="1">
      <c r="A50" s="140"/>
      <c r="B50" s="25" t="s">
        <v>127</v>
      </c>
      <c r="C50" s="144">
        <f t="shared" ref="C50:K50" si="18">C28+C49</f>
        <v>3115</v>
      </c>
      <c r="D50" s="144">
        <f t="shared" si="18"/>
        <v>367</v>
      </c>
      <c r="E50" s="144"/>
      <c r="F50" s="144">
        <f t="shared" si="18"/>
        <v>919</v>
      </c>
      <c r="G50" s="144">
        <f t="shared" si="18"/>
        <v>4034</v>
      </c>
      <c r="H50" s="144">
        <f t="shared" si="18"/>
        <v>41163</v>
      </c>
      <c r="I50" s="144">
        <f t="shared" si="18"/>
        <v>13147</v>
      </c>
      <c r="J50" s="144">
        <f t="shared" si="18"/>
        <v>12144</v>
      </c>
      <c r="K50" s="144">
        <f t="shared" si="18"/>
        <v>53307</v>
      </c>
    </row>
    <row r="51" spans="1:11" ht="3" hidden="1" customHeight="1">
      <c r="A51" s="29"/>
      <c r="B51" s="29"/>
      <c r="C51" s="31"/>
      <c r="D51" s="31"/>
      <c r="E51" s="31"/>
      <c r="F51" s="31"/>
      <c r="G51" s="31"/>
      <c r="H51" s="31"/>
      <c r="I51" s="31"/>
      <c r="J51" s="31"/>
      <c r="K51" s="30"/>
    </row>
    <row r="52" spans="1:11" ht="10.5" customHeight="1">
      <c r="A52" s="32"/>
      <c r="H52" s="33"/>
      <c r="I52" s="33"/>
      <c r="J52" s="33"/>
    </row>
    <row r="53" spans="1:11" ht="8.25" customHeight="1">
      <c r="A53" s="32"/>
      <c r="H53" s="33"/>
      <c r="I53" s="33"/>
      <c r="J53" s="33"/>
    </row>
    <row r="54" spans="1:11" ht="10.5" customHeight="1">
      <c r="A54" s="32"/>
      <c r="H54" s="33"/>
      <c r="I54" s="33"/>
      <c r="J54" s="33"/>
    </row>
    <row r="55" spans="1:11" ht="23.45" customHeight="1">
      <c r="A55" s="29"/>
      <c r="B55" s="29" t="s">
        <v>39</v>
      </c>
    </row>
    <row r="56" spans="1:11" ht="10.5" customHeight="1">
      <c r="A56" s="29"/>
      <c r="B56" s="29"/>
    </row>
    <row r="57" spans="1:11" ht="10.5" customHeight="1">
      <c r="A57" s="29"/>
      <c r="B57" s="29"/>
    </row>
    <row r="58" spans="1:11">
      <c r="A58" s="29"/>
      <c r="B58" s="29"/>
    </row>
    <row r="59" spans="1:11">
      <c r="A59" s="29"/>
      <c r="B59" s="29"/>
    </row>
    <row r="60" spans="1:11">
      <c r="A60" s="29"/>
      <c r="B60" s="29"/>
    </row>
    <row r="61" spans="1:11">
      <c r="A61" s="29"/>
      <c r="B61" s="29"/>
    </row>
    <row r="62" spans="1:11">
      <c r="A62" s="29"/>
      <c r="B62" s="29"/>
    </row>
    <row r="63" spans="1:11">
      <c r="A63" s="29"/>
      <c r="B63" s="29"/>
    </row>
    <row r="64" spans="1:11">
      <c r="A64" s="29"/>
      <c r="B64" s="29"/>
    </row>
    <row r="65" spans="1:2">
      <c r="A65" s="29"/>
      <c r="B65" s="29"/>
    </row>
    <row r="66" spans="1:2">
      <c r="A66" s="29"/>
      <c r="B66" s="29"/>
    </row>
    <row r="67" spans="1:2">
      <c r="A67" s="29"/>
      <c r="B67" s="29"/>
    </row>
    <row r="68" spans="1:2">
      <c r="A68" s="29"/>
      <c r="B68" s="29"/>
    </row>
    <row r="69" spans="1:2">
      <c r="A69" s="29"/>
      <c r="B69" s="29"/>
    </row>
    <row r="70" spans="1:2">
      <c r="A70" s="29"/>
      <c r="B70" s="29"/>
    </row>
    <row r="71" spans="1:2">
      <c r="A71" s="29"/>
      <c r="B71" s="29"/>
    </row>
    <row r="72" spans="1:2">
      <c r="A72" s="29"/>
      <c r="B72" s="29"/>
    </row>
    <row r="73" spans="1:2">
      <c r="A73" s="29"/>
      <c r="B73" s="29"/>
    </row>
    <row r="74" spans="1:2">
      <c r="A74" s="29"/>
      <c r="B74" s="29"/>
    </row>
    <row r="75" spans="1:2">
      <c r="A75" s="29"/>
      <c r="B75" s="29"/>
    </row>
    <row r="76" spans="1:2">
      <c r="A76" s="29"/>
      <c r="B76" s="29"/>
    </row>
    <row r="77" spans="1:2">
      <c r="A77" s="29"/>
      <c r="B77" s="29"/>
    </row>
    <row r="78" spans="1:2">
      <c r="A78" s="29"/>
      <c r="B78" s="29"/>
    </row>
    <row r="79" spans="1:2">
      <c r="A79" s="29"/>
      <c r="B79" s="29"/>
    </row>
    <row r="80" spans="1:2">
      <c r="A80" s="29"/>
      <c r="B80" s="29"/>
    </row>
    <row r="81" spans="1:2">
      <c r="A81" s="29"/>
      <c r="B81" s="29"/>
    </row>
    <row r="82" spans="1:2">
      <c r="A82" s="29"/>
      <c r="B82" s="29"/>
    </row>
    <row r="83" spans="1:2">
      <c r="A83" s="29"/>
      <c r="B83" s="29"/>
    </row>
    <row r="84" spans="1:2">
      <c r="A84" s="29"/>
      <c r="B84" s="29"/>
    </row>
  </sheetData>
  <mergeCells count="13">
    <mergeCell ref="A1:K1"/>
    <mergeCell ref="G5:G6"/>
    <mergeCell ref="H5:H6"/>
    <mergeCell ref="I5:I6"/>
    <mergeCell ref="J5:J6"/>
    <mergeCell ref="K5:K6"/>
    <mergeCell ref="C5:C6"/>
    <mergeCell ref="D5:E5"/>
    <mergeCell ref="F5:F6"/>
    <mergeCell ref="H4:K4"/>
    <mergeCell ref="A4:A6"/>
    <mergeCell ref="B4:B6"/>
    <mergeCell ref="C4:G4"/>
  </mergeCells>
  <printOptions horizontalCentered="1"/>
  <pageMargins left="0" right="0" top="0" bottom="0" header="0.51181102362204722" footer="0.51181102362204722"/>
  <pageSetup paperSize="9" fitToHeight="0" orientation="portrait" verticalDpi="0" r:id="rId1"/>
  <headerFooter alignWithMargins="0"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анализ ср зпл и распред культ</vt:lpstr>
      <vt:lpstr>анализ ФОТ культ</vt:lpstr>
      <vt:lpstr>анализ ФОТ педаг</vt:lpstr>
      <vt:lpstr>доп.ассигн</vt:lpstr>
      <vt:lpstr>'анализ ср зпл и распред культ'!Заголовки_для_печати</vt:lpstr>
      <vt:lpstr>'анализ ФОТ культ'!Заголовки_для_печати</vt:lpstr>
      <vt:lpstr>доп.ассигн!Заголовки_для_печати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2018-12-18T07:26:22Z</cp:lastPrinted>
  <dcterms:created xsi:type="dcterms:W3CDTF">2018-12-17T05:25:55Z</dcterms:created>
  <dcterms:modified xsi:type="dcterms:W3CDTF">2019-01-16T05:10:51Z</dcterms:modified>
</cp:coreProperties>
</file>