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77D7ADB-2024-4D1B-BC37-E4C40D28B552}" xr6:coauthVersionLast="47" xr6:coauthVersionMax="47" xr10:uidLastSave="{00000000-0000-0000-0000-000000000000}"/>
  <bookViews>
    <workbookView xWindow="345" yWindow="660" windowWidth="15360" windowHeight="11220" tabRatio="822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Лист1!$A$1:$BB$104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0" i="1" l="1"/>
  <c r="O85" i="1" l="1"/>
  <c r="O54" i="1" l="1"/>
  <c r="O77" i="1" l="1"/>
  <c r="O100" i="1"/>
  <c r="O95" i="1"/>
  <c r="O32" i="1"/>
  <c r="O15" i="1" l="1"/>
  <c r="O19" i="1" l="1"/>
  <c r="O16" i="1"/>
  <c r="O33" i="1"/>
  <c r="O44" i="1"/>
  <c r="O30" i="1"/>
  <c r="O37" i="1"/>
  <c r="O27" i="1" l="1"/>
  <c r="O26" i="1" l="1"/>
  <c r="O23" i="1"/>
  <c r="O93" i="1" l="1"/>
  <c r="N32" i="1" l="1"/>
  <c r="N94" i="1" l="1"/>
  <c r="AF85" i="1" l="1"/>
  <c r="M64" i="1" l="1"/>
  <c r="M86" i="1" l="1"/>
  <c r="M85" i="1"/>
  <c r="M48" i="1" l="1"/>
  <c r="M80" i="1"/>
  <c r="M77" i="1" l="1"/>
  <c r="M28" i="1" l="1"/>
  <c r="M20" i="1" l="1"/>
  <c r="G69" i="1" l="1"/>
  <c r="H69" i="1"/>
  <c r="I69" i="1"/>
  <c r="J69" i="1"/>
  <c r="K69" i="1"/>
  <c r="M69" i="1"/>
  <c r="N69" i="1"/>
  <c r="O69" i="1"/>
  <c r="P69" i="1"/>
  <c r="Q69" i="1"/>
  <c r="R69" i="1"/>
  <c r="S69" i="1"/>
  <c r="T69" i="1"/>
  <c r="U69" i="1"/>
  <c r="W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M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D69" i="1"/>
  <c r="E69" i="1"/>
  <c r="AO70" i="1"/>
  <c r="AO69" i="1" s="1"/>
  <c r="AN70" i="1"/>
  <c r="BB70" i="1" s="1"/>
  <c r="Y70" i="1"/>
  <c r="Y69" i="1" s="1"/>
  <c r="X70" i="1"/>
  <c r="X69" i="1" s="1"/>
  <c r="L70" i="1"/>
  <c r="L69" i="1" s="1"/>
  <c r="F70" i="1"/>
  <c r="F69" i="1" s="1"/>
  <c r="E70" i="1"/>
  <c r="BB71" i="1"/>
  <c r="AL71" i="1"/>
  <c r="V71" i="1"/>
  <c r="V70" i="1"/>
  <c r="AL70" i="1" l="1"/>
  <c r="AL69" i="1" s="1"/>
  <c r="BB69" i="1"/>
  <c r="AN69" i="1"/>
  <c r="V69" i="1"/>
  <c r="M93" i="1"/>
  <c r="M32" i="1" l="1"/>
  <c r="L54" i="1" l="1"/>
  <c r="L55" i="1"/>
  <c r="L85" i="1"/>
  <c r="L19" i="1" l="1"/>
  <c r="L33" i="1" l="1"/>
  <c r="L63" i="1" l="1"/>
  <c r="L32" i="1" l="1"/>
  <c r="L28" i="1" l="1"/>
  <c r="L79" i="1" l="1"/>
  <c r="L15" i="1"/>
  <c r="L37" i="1"/>
  <c r="L76" i="1"/>
  <c r="AE32" i="1"/>
  <c r="L80" i="1" l="1"/>
  <c r="L75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D81" i="1"/>
  <c r="BB84" i="1"/>
  <c r="AL84" i="1"/>
  <c r="V84" i="1"/>
  <c r="BB83" i="1"/>
  <c r="AL83" i="1"/>
  <c r="V83" i="1"/>
  <c r="BB82" i="1"/>
  <c r="AL82" i="1"/>
  <c r="V82" i="1"/>
  <c r="AL81" i="1" l="1"/>
  <c r="BB81" i="1"/>
  <c r="V81" i="1"/>
  <c r="J54" i="1"/>
  <c r="J63" i="1" l="1"/>
  <c r="J100" i="1"/>
  <c r="J93" i="1"/>
  <c r="J64" i="1"/>
  <c r="J60" i="1" l="1"/>
  <c r="J57" i="1"/>
  <c r="J37" i="1"/>
  <c r="J20" i="1"/>
  <c r="J98" i="1" l="1"/>
  <c r="J32" i="1"/>
  <c r="J15" i="1"/>
  <c r="I63" i="1"/>
  <c r="I68" i="1" l="1"/>
  <c r="I86" i="1" l="1"/>
  <c r="I100" i="1"/>
  <c r="I54" i="1"/>
  <c r="I94" i="1"/>
  <c r="I85" i="1"/>
  <c r="I32" i="1" l="1"/>
  <c r="AR32" i="1"/>
  <c r="AB32" i="1"/>
  <c r="I41" i="1" l="1"/>
  <c r="I80" i="1"/>
  <c r="H85" i="1" l="1"/>
  <c r="H44" i="1"/>
  <c r="H37" i="1" l="1"/>
  <c r="AA94" i="1" l="1"/>
  <c r="AA44" i="1"/>
  <c r="H54" i="1"/>
  <c r="H95" i="1"/>
  <c r="H86" i="1"/>
  <c r="H94" i="1"/>
  <c r="H68" i="1" l="1"/>
  <c r="H63" i="1"/>
  <c r="H57" i="1"/>
  <c r="H33" i="1" l="1"/>
  <c r="H80" i="1" l="1"/>
  <c r="H32" i="1" l="1"/>
  <c r="AQ32" i="1" l="1"/>
  <c r="AA32" i="1"/>
  <c r="H76" i="1"/>
  <c r="H20" i="1"/>
  <c r="G63" i="1" l="1"/>
  <c r="Z80" i="1" l="1"/>
  <c r="Z75" i="1"/>
  <c r="AP32" i="1" l="1"/>
  <c r="Z32" i="1"/>
  <c r="G32" i="1"/>
  <c r="G76" i="1"/>
  <c r="G96" i="1"/>
  <c r="G50" i="1"/>
  <c r="G15" i="1" l="1"/>
  <c r="H61" i="1" l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X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E61" i="1"/>
  <c r="G61" i="1"/>
  <c r="D61" i="1"/>
  <c r="F103" i="1" l="1"/>
  <c r="F100" i="1"/>
  <c r="F95" i="1"/>
  <c r="F33" i="1" l="1"/>
  <c r="F44" i="1"/>
  <c r="F64" i="1"/>
  <c r="F61" i="1" s="1"/>
  <c r="Y44" i="1"/>
  <c r="Y64" i="1"/>
  <c r="Y61" i="1" s="1"/>
  <c r="F80" i="1" l="1"/>
  <c r="F20" i="1"/>
  <c r="F49" i="1" l="1"/>
  <c r="AO32" i="1"/>
  <c r="Y32" i="1"/>
  <c r="F32" i="1"/>
  <c r="AO15" i="1"/>
  <c r="Y15" i="1"/>
  <c r="F15" i="1"/>
  <c r="E54" i="1" l="1"/>
  <c r="E55" i="1"/>
  <c r="E33" i="1" l="1"/>
  <c r="W80" i="1" l="1"/>
  <c r="D80" i="1"/>
  <c r="D20" i="1" l="1"/>
  <c r="E37" i="1" l="1"/>
  <c r="E49" i="1"/>
  <c r="AN37" i="1"/>
  <c r="X37" i="1"/>
  <c r="AN67" i="1" l="1"/>
  <c r="X67" i="1"/>
  <c r="BB66" i="1"/>
  <c r="BB64" i="1"/>
  <c r="BB63" i="1"/>
  <c r="BB62" i="1"/>
  <c r="BB60" i="1"/>
  <c r="BB59" i="1"/>
  <c r="AL66" i="1"/>
  <c r="AL64" i="1"/>
  <c r="AL62" i="1"/>
  <c r="AL60" i="1"/>
  <c r="AL59" i="1"/>
  <c r="BB61" i="1" l="1"/>
  <c r="BB58" i="1"/>
  <c r="AL58" i="1"/>
  <c r="E75" i="1"/>
  <c r="D98" i="1" l="1"/>
  <c r="D32" i="1"/>
  <c r="AM35" i="1" l="1"/>
  <c r="W35" i="1"/>
  <c r="W54" i="1" l="1"/>
  <c r="AM54" i="1"/>
  <c r="D54" i="1" l="1"/>
  <c r="V54" i="1" s="1"/>
  <c r="D50" i="1" l="1"/>
  <c r="BB92" i="1"/>
  <c r="AL92" i="1"/>
  <c r="V92" i="1"/>
  <c r="D85" i="1"/>
  <c r="D28" i="1" l="1"/>
  <c r="W79" i="1"/>
  <c r="D79" i="1"/>
  <c r="D48" i="1"/>
  <c r="D44" i="1"/>
  <c r="W32" i="1" l="1"/>
  <c r="W100" i="1" l="1"/>
  <c r="W63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F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W61" i="1" l="1"/>
  <c r="AL63" i="1"/>
  <c r="AL61" i="1" s="1"/>
  <c r="D37" i="1"/>
  <c r="D40" i="1" l="1"/>
  <c r="D103" i="1"/>
  <c r="D100" i="1"/>
  <c r="D86" i="1"/>
  <c r="D95" i="1"/>
  <c r="D94" i="1"/>
  <c r="D55" i="1"/>
  <c r="W50" i="1"/>
  <c r="W95" i="1"/>
  <c r="W94" i="1"/>
  <c r="AM55" i="1"/>
  <c r="W55" i="1"/>
  <c r="AM85" i="1"/>
  <c r="W85" i="1"/>
  <c r="W57" i="1"/>
  <c r="AL57" i="1" s="1"/>
  <c r="AM57" i="1"/>
  <c r="D35" i="1" l="1"/>
  <c r="D33" i="1" l="1"/>
  <c r="W44" i="1"/>
  <c r="AM41" i="1"/>
  <c r="W41" i="1"/>
  <c r="D41" i="1"/>
  <c r="D30" i="1" l="1"/>
  <c r="AM37" i="1"/>
  <c r="W37" i="1"/>
  <c r="D75" i="1" l="1"/>
  <c r="W75" i="1"/>
  <c r="W78" i="1" l="1"/>
  <c r="D78" i="1"/>
  <c r="W76" i="1"/>
  <c r="D76" i="1"/>
  <c r="W93" i="1"/>
  <c r="D93" i="1"/>
  <c r="V37" i="1" l="1"/>
  <c r="V38" i="1"/>
  <c r="V39" i="1"/>
  <c r="V40" i="1"/>
  <c r="V41" i="1"/>
  <c r="V44" i="1"/>
  <c r="V46" i="1"/>
  <c r="V47" i="1"/>
  <c r="V48" i="1"/>
  <c r="V64" i="1" l="1"/>
  <c r="K73" i="1" l="1"/>
  <c r="I101" i="1" l="1"/>
  <c r="I96" i="1"/>
  <c r="I89" i="1"/>
  <c r="I73" i="1"/>
  <c r="I67" i="1"/>
  <c r="I65" i="1"/>
  <c r="I58" i="1"/>
  <c r="I45" i="1"/>
  <c r="I42" i="1"/>
  <c r="I36" i="1"/>
  <c r="I25" i="1"/>
  <c r="I22" i="1"/>
  <c r="I14" i="1"/>
  <c r="I18" i="1" l="1"/>
  <c r="I31" i="1"/>
  <c r="I56" i="1"/>
  <c r="I104" i="1" l="1"/>
  <c r="Z85" i="1"/>
  <c r="AN50" i="1" l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AM50" i="1"/>
  <c r="BB54" i="1"/>
  <c r="BB53" i="1"/>
  <c r="BB52" i="1"/>
  <c r="BB51" i="1"/>
  <c r="AL54" i="1"/>
  <c r="AL53" i="1"/>
  <c r="AL52" i="1"/>
  <c r="AL51" i="1"/>
  <c r="AL50" i="1" l="1"/>
  <c r="BB50" i="1"/>
  <c r="E73" i="1" l="1"/>
  <c r="F73" i="1"/>
  <c r="G73" i="1"/>
  <c r="H73" i="1"/>
  <c r="J73" i="1"/>
  <c r="L73" i="1"/>
  <c r="M73" i="1"/>
  <c r="N73" i="1"/>
  <c r="O73" i="1"/>
  <c r="P73" i="1"/>
  <c r="Q73" i="1"/>
  <c r="R73" i="1"/>
  <c r="S73" i="1"/>
  <c r="T73" i="1"/>
  <c r="U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D73" i="1"/>
  <c r="V66" i="1" l="1"/>
  <c r="V65" i="1" s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U65" i="1"/>
  <c r="T65" i="1"/>
  <c r="S65" i="1"/>
  <c r="R65" i="1"/>
  <c r="Q65" i="1"/>
  <c r="P65" i="1"/>
  <c r="O65" i="1"/>
  <c r="N65" i="1"/>
  <c r="M65" i="1"/>
  <c r="L65" i="1"/>
  <c r="K65" i="1"/>
  <c r="J65" i="1"/>
  <c r="H65" i="1"/>
  <c r="G65" i="1"/>
  <c r="F65" i="1"/>
  <c r="E65" i="1"/>
  <c r="D65" i="1"/>
  <c r="BB23" i="1"/>
  <c r="AL23" i="1"/>
  <c r="BB41" i="1"/>
  <c r="BB40" i="1"/>
  <c r="BB39" i="1"/>
  <c r="BB38" i="1"/>
  <c r="BB37" i="1"/>
  <c r="AL41" i="1"/>
  <c r="AL40" i="1"/>
  <c r="AL39" i="1"/>
  <c r="AL38" i="1"/>
  <c r="AL37" i="1"/>
  <c r="E36" i="1"/>
  <c r="F36" i="1"/>
  <c r="G36" i="1"/>
  <c r="H36" i="1"/>
  <c r="J36" i="1"/>
  <c r="K36" i="1"/>
  <c r="L36" i="1"/>
  <c r="M36" i="1"/>
  <c r="N36" i="1"/>
  <c r="O36" i="1"/>
  <c r="P36" i="1"/>
  <c r="Q36" i="1"/>
  <c r="R36" i="1"/>
  <c r="S36" i="1"/>
  <c r="T36" i="1"/>
  <c r="U36" i="1"/>
  <c r="V24" i="1"/>
  <c r="V23" i="1"/>
  <c r="E22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D101" i="1"/>
  <c r="BB65" i="1" l="1"/>
  <c r="AL65" i="1"/>
  <c r="V22" i="1"/>
  <c r="V36" i="1"/>
  <c r="AL44" i="1"/>
  <c r="AL43" i="1"/>
  <c r="AA101" i="1" l="1"/>
  <c r="AB101" i="1"/>
  <c r="V52" i="1" l="1"/>
  <c r="V53" i="1" l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1" i="1"/>
  <c r="E31" i="1"/>
  <c r="F31" i="1"/>
  <c r="G31" i="1"/>
  <c r="J31" i="1"/>
  <c r="K31" i="1"/>
  <c r="O31" i="1"/>
  <c r="P31" i="1"/>
  <c r="Q31" i="1"/>
  <c r="R31" i="1"/>
  <c r="S31" i="1"/>
  <c r="T31" i="1"/>
  <c r="U31" i="1"/>
  <c r="X31" i="1"/>
  <c r="Y31" i="1"/>
  <c r="AA31" i="1"/>
  <c r="AB31" i="1"/>
  <c r="AC31" i="1"/>
  <c r="AD31" i="1"/>
  <c r="AE31" i="1"/>
  <c r="AF31" i="1"/>
  <c r="AG31" i="1"/>
  <c r="AH31" i="1"/>
  <c r="AI31" i="1"/>
  <c r="AJ31" i="1"/>
  <c r="AK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4" i="1"/>
  <c r="AL34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4" i="1"/>
  <c r="AL22" i="1"/>
  <c r="M14" i="1" l="1"/>
  <c r="M60" i="1" l="1"/>
  <c r="V51" i="1" l="1"/>
  <c r="V50" i="1" s="1"/>
  <c r="E50" i="1"/>
  <c r="M18" i="1" l="1"/>
  <c r="AE101" i="1" l="1"/>
  <c r="AE96" i="1"/>
  <c r="AE89" i="1"/>
  <c r="AE67" i="1"/>
  <c r="AE58" i="1"/>
  <c r="AE45" i="1"/>
  <c r="AE42" i="1"/>
  <c r="AE36" i="1"/>
  <c r="AE25" i="1"/>
  <c r="AE56" i="1" l="1"/>
  <c r="AE104" i="1" s="1"/>
  <c r="M31" i="1" l="1"/>
  <c r="L31" i="1" l="1"/>
  <c r="L18" i="1"/>
  <c r="AY101" i="1" l="1"/>
  <c r="AX101" i="1"/>
  <c r="AW101" i="1"/>
  <c r="AV101" i="1"/>
  <c r="AU101" i="1"/>
  <c r="AT101" i="1"/>
  <c r="AY96" i="1"/>
  <c r="AX96" i="1"/>
  <c r="AW96" i="1"/>
  <c r="AV96" i="1"/>
  <c r="AU96" i="1"/>
  <c r="AT96" i="1"/>
  <c r="AY89" i="1"/>
  <c r="AX89" i="1"/>
  <c r="AW89" i="1"/>
  <c r="AV89" i="1"/>
  <c r="AU89" i="1"/>
  <c r="AT89" i="1"/>
  <c r="AY67" i="1"/>
  <c r="AX67" i="1"/>
  <c r="AW67" i="1"/>
  <c r="AV67" i="1"/>
  <c r="AU67" i="1"/>
  <c r="AT67" i="1"/>
  <c r="AY58" i="1"/>
  <c r="AX58" i="1"/>
  <c r="AW58" i="1"/>
  <c r="AV58" i="1"/>
  <c r="AU58" i="1"/>
  <c r="AT58" i="1"/>
  <c r="AY45" i="1"/>
  <c r="AX45" i="1"/>
  <c r="AW45" i="1"/>
  <c r="AV45" i="1"/>
  <c r="AU45" i="1"/>
  <c r="AT45" i="1"/>
  <c r="AY42" i="1"/>
  <c r="AX42" i="1"/>
  <c r="AW42" i="1"/>
  <c r="AV42" i="1"/>
  <c r="AU42" i="1"/>
  <c r="AT42" i="1"/>
  <c r="AY36" i="1"/>
  <c r="AX36" i="1"/>
  <c r="AW36" i="1"/>
  <c r="AV36" i="1"/>
  <c r="AU36" i="1"/>
  <c r="AT36" i="1"/>
  <c r="AY25" i="1"/>
  <c r="AX25" i="1"/>
  <c r="AW25" i="1"/>
  <c r="AV25" i="1"/>
  <c r="AU25" i="1"/>
  <c r="AT25" i="1"/>
  <c r="AI101" i="1"/>
  <c r="AH101" i="1"/>
  <c r="AG101" i="1"/>
  <c r="AF101" i="1"/>
  <c r="AD101" i="1"/>
  <c r="AI96" i="1"/>
  <c r="AH96" i="1"/>
  <c r="AG96" i="1"/>
  <c r="AF96" i="1"/>
  <c r="AD96" i="1"/>
  <c r="AI89" i="1"/>
  <c r="AH89" i="1"/>
  <c r="AG89" i="1"/>
  <c r="AF89" i="1"/>
  <c r="AD89" i="1"/>
  <c r="AI67" i="1"/>
  <c r="AH67" i="1"/>
  <c r="AG67" i="1"/>
  <c r="AF67" i="1"/>
  <c r="AD67" i="1"/>
  <c r="AI58" i="1"/>
  <c r="AH58" i="1"/>
  <c r="AG58" i="1"/>
  <c r="AF58" i="1"/>
  <c r="AD58" i="1"/>
  <c r="AI45" i="1"/>
  <c r="AH45" i="1"/>
  <c r="AG45" i="1"/>
  <c r="AF45" i="1"/>
  <c r="AD45" i="1"/>
  <c r="AI42" i="1"/>
  <c r="AH42" i="1"/>
  <c r="AG42" i="1"/>
  <c r="AF42" i="1"/>
  <c r="AD42" i="1"/>
  <c r="AI36" i="1"/>
  <c r="AH36" i="1"/>
  <c r="AG36" i="1"/>
  <c r="AF36" i="1"/>
  <c r="AD36" i="1"/>
  <c r="AI25" i="1"/>
  <c r="AH25" i="1"/>
  <c r="AG25" i="1"/>
  <c r="AF25" i="1"/>
  <c r="AD25" i="1"/>
  <c r="P101" i="1"/>
  <c r="O101" i="1"/>
  <c r="P96" i="1"/>
  <c r="O96" i="1"/>
  <c r="P89" i="1"/>
  <c r="O89" i="1"/>
  <c r="P67" i="1"/>
  <c r="O67" i="1"/>
  <c r="P58" i="1"/>
  <c r="O58" i="1"/>
  <c r="P45" i="1"/>
  <c r="O45" i="1"/>
  <c r="P42" i="1"/>
  <c r="O42" i="1"/>
  <c r="P25" i="1"/>
  <c r="O25" i="1"/>
  <c r="T101" i="1"/>
  <c r="S101" i="1"/>
  <c r="R101" i="1"/>
  <c r="Q101" i="1"/>
  <c r="N101" i="1"/>
  <c r="M101" i="1"/>
  <c r="T96" i="1"/>
  <c r="S96" i="1"/>
  <c r="R96" i="1"/>
  <c r="Q96" i="1"/>
  <c r="N96" i="1"/>
  <c r="M96" i="1"/>
  <c r="T89" i="1"/>
  <c r="S89" i="1"/>
  <c r="R89" i="1"/>
  <c r="Q89" i="1"/>
  <c r="N89" i="1"/>
  <c r="M89" i="1"/>
  <c r="T67" i="1"/>
  <c r="S67" i="1"/>
  <c r="R67" i="1"/>
  <c r="Q67" i="1"/>
  <c r="N67" i="1"/>
  <c r="M67" i="1"/>
  <c r="T58" i="1"/>
  <c r="S58" i="1"/>
  <c r="R58" i="1"/>
  <c r="Q58" i="1"/>
  <c r="N58" i="1"/>
  <c r="M58" i="1"/>
  <c r="T45" i="1"/>
  <c r="S45" i="1"/>
  <c r="R45" i="1"/>
  <c r="Q45" i="1"/>
  <c r="N45" i="1"/>
  <c r="M45" i="1"/>
  <c r="T42" i="1"/>
  <c r="S42" i="1"/>
  <c r="R42" i="1"/>
  <c r="Q42" i="1"/>
  <c r="N42" i="1"/>
  <c r="M42" i="1"/>
  <c r="T25" i="1"/>
  <c r="S25" i="1"/>
  <c r="R25" i="1"/>
  <c r="Q25" i="1"/>
  <c r="N25" i="1"/>
  <c r="M25" i="1"/>
  <c r="M56" i="1" l="1"/>
  <c r="M104" i="1" s="1"/>
  <c r="S56" i="1"/>
  <c r="S104" i="1" s="1"/>
  <c r="AV56" i="1"/>
  <c r="AV104" i="1" s="1"/>
  <c r="R56" i="1"/>
  <c r="R104" i="1" s="1"/>
  <c r="P56" i="1"/>
  <c r="P104" i="1" s="1"/>
  <c r="AH56" i="1"/>
  <c r="AH104" i="1" s="1"/>
  <c r="AG56" i="1"/>
  <c r="AG104" i="1" s="1"/>
  <c r="AU56" i="1"/>
  <c r="AU104" i="1" s="1"/>
  <c r="AY56" i="1"/>
  <c r="AY104" i="1" s="1"/>
  <c r="N56" i="1"/>
  <c r="N104" i="1" s="1"/>
  <c r="T56" i="1"/>
  <c r="T104" i="1" s="1"/>
  <c r="AD56" i="1"/>
  <c r="AD104" i="1" s="1"/>
  <c r="AI56" i="1"/>
  <c r="AI104" i="1" s="1"/>
  <c r="AW56" i="1"/>
  <c r="AW104" i="1" s="1"/>
  <c r="Q56" i="1"/>
  <c r="Q104" i="1" s="1"/>
  <c r="O56" i="1"/>
  <c r="O104" i="1" s="1"/>
  <c r="AF56" i="1"/>
  <c r="AF104" i="1" s="1"/>
  <c r="AT56" i="1"/>
  <c r="AT104" i="1" s="1"/>
  <c r="AX56" i="1"/>
  <c r="AX104" i="1" s="1"/>
  <c r="AL103" i="1"/>
  <c r="AL102" i="1"/>
  <c r="AL101" i="1" l="1"/>
  <c r="AL97" i="1"/>
  <c r="AL98" i="1"/>
  <c r="AL99" i="1"/>
  <c r="AL100" i="1"/>
  <c r="AL96" i="1" l="1"/>
  <c r="AQ101" i="1" l="1"/>
  <c r="AR101" i="1"/>
  <c r="AS101" i="1"/>
  <c r="AZ101" i="1"/>
  <c r="BA101" i="1"/>
  <c r="AQ96" i="1"/>
  <c r="AR96" i="1"/>
  <c r="AS96" i="1"/>
  <c r="AZ96" i="1"/>
  <c r="BA96" i="1"/>
  <c r="AQ89" i="1"/>
  <c r="AR89" i="1"/>
  <c r="AS89" i="1"/>
  <c r="AZ89" i="1"/>
  <c r="BA89" i="1"/>
  <c r="AQ67" i="1"/>
  <c r="AR67" i="1"/>
  <c r="AS67" i="1"/>
  <c r="AZ67" i="1"/>
  <c r="BA67" i="1"/>
  <c r="AQ58" i="1"/>
  <c r="AR58" i="1"/>
  <c r="AS58" i="1"/>
  <c r="AZ58" i="1"/>
  <c r="BA58" i="1"/>
  <c r="AQ45" i="1"/>
  <c r="AR45" i="1"/>
  <c r="AS45" i="1"/>
  <c r="AZ45" i="1"/>
  <c r="BA45" i="1"/>
  <c r="AQ42" i="1"/>
  <c r="AR42" i="1"/>
  <c r="AS42" i="1"/>
  <c r="AZ42" i="1"/>
  <c r="BA42" i="1"/>
  <c r="AQ36" i="1"/>
  <c r="AR36" i="1"/>
  <c r="AS36" i="1"/>
  <c r="AZ36" i="1"/>
  <c r="BA36" i="1"/>
  <c r="AQ25" i="1"/>
  <c r="AR25" i="1"/>
  <c r="AS25" i="1"/>
  <c r="AZ25" i="1"/>
  <c r="BA25" i="1"/>
  <c r="AC101" i="1"/>
  <c r="AJ101" i="1"/>
  <c r="AK101" i="1"/>
  <c r="AA96" i="1"/>
  <c r="AB96" i="1"/>
  <c r="AC96" i="1"/>
  <c r="AJ96" i="1"/>
  <c r="AK96" i="1"/>
  <c r="AA89" i="1"/>
  <c r="AB89" i="1"/>
  <c r="AC89" i="1"/>
  <c r="AJ89" i="1"/>
  <c r="AK89" i="1"/>
  <c r="AA67" i="1"/>
  <c r="AB67" i="1"/>
  <c r="AC67" i="1"/>
  <c r="AJ67" i="1"/>
  <c r="AK67" i="1"/>
  <c r="AA58" i="1"/>
  <c r="AB58" i="1"/>
  <c r="AC58" i="1"/>
  <c r="AJ58" i="1"/>
  <c r="AK58" i="1"/>
  <c r="AA45" i="1"/>
  <c r="AB45" i="1"/>
  <c r="AC45" i="1"/>
  <c r="AJ45" i="1"/>
  <c r="AK45" i="1"/>
  <c r="AA42" i="1"/>
  <c r="AB42" i="1"/>
  <c r="AC42" i="1"/>
  <c r="AJ42" i="1"/>
  <c r="AK42" i="1"/>
  <c r="AA36" i="1"/>
  <c r="AB36" i="1"/>
  <c r="AC36" i="1"/>
  <c r="AJ36" i="1"/>
  <c r="AK36" i="1"/>
  <c r="AA25" i="1"/>
  <c r="AB25" i="1"/>
  <c r="AC25" i="1"/>
  <c r="AJ25" i="1"/>
  <c r="AK25" i="1"/>
  <c r="J101" i="1"/>
  <c r="K101" i="1"/>
  <c r="L101" i="1"/>
  <c r="U101" i="1"/>
  <c r="J96" i="1"/>
  <c r="K96" i="1"/>
  <c r="L96" i="1"/>
  <c r="U96" i="1"/>
  <c r="J89" i="1"/>
  <c r="K89" i="1"/>
  <c r="L89" i="1"/>
  <c r="U89" i="1"/>
  <c r="J67" i="1"/>
  <c r="K67" i="1"/>
  <c r="L67" i="1"/>
  <c r="U67" i="1"/>
  <c r="J58" i="1"/>
  <c r="K58" i="1"/>
  <c r="L58" i="1"/>
  <c r="U58" i="1"/>
  <c r="J45" i="1"/>
  <c r="K45" i="1"/>
  <c r="L45" i="1"/>
  <c r="U45" i="1"/>
  <c r="J42" i="1"/>
  <c r="K42" i="1"/>
  <c r="L42" i="1"/>
  <c r="U42" i="1"/>
  <c r="J25" i="1"/>
  <c r="K25" i="1"/>
  <c r="L25" i="1"/>
  <c r="U25" i="1"/>
  <c r="J56" i="1" l="1"/>
  <c r="J104" i="1" s="1"/>
  <c r="AB56" i="1"/>
  <c r="AB104" i="1" s="1"/>
  <c r="L56" i="1"/>
  <c r="L104" i="1" s="1"/>
  <c r="AJ56" i="1"/>
  <c r="AJ104" i="1" s="1"/>
  <c r="AR56" i="1"/>
  <c r="AR104" i="1" s="1"/>
  <c r="K56" i="1"/>
  <c r="K104" i="1" s="1"/>
  <c r="AC56" i="1"/>
  <c r="AC104" i="1" s="1"/>
  <c r="BA56" i="1"/>
  <c r="BA104" i="1" s="1"/>
  <c r="AQ56" i="1"/>
  <c r="AQ104" i="1" s="1"/>
  <c r="AZ56" i="1"/>
  <c r="AZ104" i="1" s="1"/>
  <c r="U56" i="1"/>
  <c r="U104" i="1" s="1"/>
  <c r="AK56" i="1"/>
  <c r="AK104" i="1" s="1"/>
  <c r="AA56" i="1"/>
  <c r="AA104" i="1" s="1"/>
  <c r="AS56" i="1"/>
  <c r="AS104" i="1" s="1"/>
  <c r="BB103" i="1" l="1"/>
  <c r="BB102" i="1"/>
  <c r="BB100" i="1"/>
  <c r="BB99" i="1"/>
  <c r="BB98" i="1"/>
  <c r="BB97" i="1"/>
  <c r="BB94" i="1"/>
  <c r="BB93" i="1"/>
  <c r="BB91" i="1"/>
  <c r="BB90" i="1"/>
  <c r="BB87" i="1"/>
  <c r="BB88" i="1"/>
  <c r="BB72" i="1"/>
  <c r="BB68" i="1"/>
  <c r="BB67" i="1" s="1"/>
  <c r="BB57" i="1"/>
  <c r="BB55" i="1"/>
  <c r="BB47" i="1"/>
  <c r="BB43" i="1"/>
  <c r="BB35" i="1"/>
  <c r="BB33" i="1"/>
  <c r="BB32" i="1"/>
  <c r="BB30" i="1"/>
  <c r="BB29" i="1"/>
  <c r="BB28" i="1"/>
  <c r="BB27" i="1"/>
  <c r="BB26" i="1"/>
  <c r="BB19" i="1"/>
  <c r="BB16" i="1"/>
  <c r="AL91" i="1"/>
  <c r="AL90" i="1"/>
  <c r="AL87" i="1"/>
  <c r="AL88" i="1"/>
  <c r="AL72" i="1"/>
  <c r="AL55" i="1"/>
  <c r="AL47" i="1"/>
  <c r="AL30" i="1"/>
  <c r="AL29" i="1"/>
  <c r="AL28" i="1"/>
  <c r="AL27" i="1"/>
  <c r="AL26" i="1"/>
  <c r="AL16" i="1"/>
  <c r="BB31" i="1" l="1"/>
  <c r="V102" i="1"/>
  <c r="V98" i="1"/>
  <c r="V97" i="1"/>
  <c r="V91" i="1"/>
  <c r="V74" i="1"/>
  <c r="V62" i="1"/>
  <c r="V59" i="1"/>
  <c r="V43" i="1"/>
  <c r="V30" i="1"/>
  <c r="V29" i="1"/>
  <c r="V26" i="1"/>
  <c r="V16" i="1"/>
  <c r="AP101" i="1" l="1"/>
  <c r="Z101" i="1"/>
  <c r="H101" i="1"/>
  <c r="AP96" i="1"/>
  <c r="Z96" i="1"/>
  <c r="H96" i="1"/>
  <c r="AP89" i="1"/>
  <c r="Z89" i="1"/>
  <c r="H89" i="1"/>
  <c r="AP67" i="1"/>
  <c r="Z67" i="1"/>
  <c r="H67" i="1"/>
  <c r="AP58" i="1"/>
  <c r="Z58" i="1"/>
  <c r="H58" i="1"/>
  <c r="H45" i="1"/>
  <c r="Z45" i="1"/>
  <c r="AP45" i="1"/>
  <c r="AP42" i="1"/>
  <c r="Z42" i="1"/>
  <c r="H42" i="1"/>
  <c r="Z36" i="1"/>
  <c r="AP36" i="1"/>
  <c r="AP25" i="1"/>
  <c r="Z25" i="1"/>
  <c r="H25" i="1"/>
  <c r="H56" i="1" l="1"/>
  <c r="Z56" i="1"/>
  <c r="AP56" i="1"/>
  <c r="AP104" i="1" s="1"/>
  <c r="Z31" i="1"/>
  <c r="Z104" i="1" l="1"/>
  <c r="H31" i="1"/>
  <c r="H104" i="1" s="1"/>
  <c r="AL19" i="1" l="1"/>
  <c r="Y18" i="1"/>
  <c r="V20" i="1" l="1"/>
  <c r="G18" i="1"/>
  <c r="E101" i="1"/>
  <c r="F101" i="1"/>
  <c r="G101" i="1"/>
  <c r="W101" i="1"/>
  <c r="X101" i="1"/>
  <c r="Y101" i="1"/>
  <c r="AM101" i="1"/>
  <c r="AN101" i="1"/>
  <c r="AO101" i="1"/>
  <c r="E89" i="1"/>
  <c r="F89" i="1"/>
  <c r="G89" i="1"/>
  <c r="X89" i="1"/>
  <c r="Y89" i="1"/>
  <c r="AM89" i="1"/>
  <c r="AN89" i="1"/>
  <c r="AO89" i="1"/>
  <c r="BB89" i="1"/>
  <c r="E67" i="1"/>
  <c r="F67" i="1"/>
  <c r="G67" i="1"/>
  <c r="Y67" i="1"/>
  <c r="AM67" i="1"/>
  <c r="AO67" i="1"/>
  <c r="X58" i="1"/>
  <c r="Y58" i="1"/>
  <c r="AM58" i="1"/>
  <c r="AN58" i="1"/>
  <c r="AO58" i="1"/>
  <c r="E58" i="1"/>
  <c r="F58" i="1"/>
  <c r="G58" i="1"/>
  <c r="E42" i="1"/>
  <c r="F42" i="1"/>
  <c r="G42" i="1"/>
  <c r="X42" i="1"/>
  <c r="Y42" i="1"/>
  <c r="AN42" i="1"/>
  <c r="AO42" i="1"/>
  <c r="X36" i="1"/>
  <c r="Y36" i="1"/>
  <c r="AM36" i="1"/>
  <c r="AN36" i="1"/>
  <c r="AO36" i="1"/>
  <c r="BB36" i="1"/>
  <c r="W25" i="1"/>
  <c r="X25" i="1"/>
  <c r="Y25" i="1"/>
  <c r="AL25" i="1"/>
  <c r="AM25" i="1"/>
  <c r="AN25" i="1"/>
  <c r="AO25" i="1"/>
  <c r="BB25" i="1"/>
  <c r="E25" i="1"/>
  <c r="F25" i="1"/>
  <c r="G25" i="1"/>
  <c r="G56" i="1" l="1"/>
  <c r="Y56" i="1"/>
  <c r="AO56" i="1"/>
  <c r="X56" i="1"/>
  <c r="F56" i="1"/>
  <c r="AN56" i="1"/>
  <c r="E56" i="1"/>
  <c r="AM56" i="1"/>
  <c r="V42" i="1"/>
  <c r="BB56" i="1" l="1"/>
  <c r="D42" i="1"/>
  <c r="BB44" i="1"/>
  <c r="BB42" i="1" s="1"/>
  <c r="AM42" i="1"/>
  <c r="AL42" i="1"/>
  <c r="W42" i="1"/>
  <c r="E45" i="1"/>
  <c r="F45" i="1"/>
  <c r="G45" i="1"/>
  <c r="X45" i="1"/>
  <c r="Y45" i="1"/>
  <c r="AN45" i="1"/>
  <c r="AO45" i="1"/>
  <c r="E96" i="1"/>
  <c r="F96" i="1"/>
  <c r="W96" i="1"/>
  <c r="X96" i="1"/>
  <c r="Y96" i="1"/>
  <c r="AM96" i="1"/>
  <c r="AN96" i="1"/>
  <c r="AO96" i="1"/>
  <c r="BB96" i="1"/>
  <c r="F104" i="1" l="1"/>
  <c r="G104" i="1"/>
  <c r="E104" i="1"/>
  <c r="AO104" i="1"/>
  <c r="Y104" i="1"/>
  <c r="X104" i="1"/>
  <c r="AN104" i="1"/>
  <c r="BB80" i="1"/>
  <c r="BB79" i="1"/>
  <c r="BB78" i="1"/>
  <c r="BB77" i="1"/>
  <c r="BB76" i="1"/>
  <c r="BB101" i="1"/>
  <c r="BB74" i="1"/>
  <c r="BB49" i="1"/>
  <c r="BB48" i="1"/>
  <c r="AM18" i="1"/>
  <c r="AM14" i="1"/>
  <c r="BB95" i="1"/>
  <c r="BB86" i="1"/>
  <c r="BB85" i="1"/>
  <c r="BB15" i="1" l="1"/>
  <c r="BB14" i="1" s="1"/>
  <c r="BB46" i="1"/>
  <c r="BB45" i="1" s="1"/>
  <c r="AM45" i="1"/>
  <c r="AM104" i="1" s="1"/>
  <c r="BB20" i="1"/>
  <c r="BB18" i="1" s="1"/>
  <c r="BB75" i="1"/>
  <c r="BB73" i="1" s="1"/>
  <c r="AL94" i="1"/>
  <c r="AL80" i="1"/>
  <c r="AL79" i="1"/>
  <c r="AL78" i="1"/>
  <c r="AL77" i="1"/>
  <c r="AL76" i="1"/>
  <c r="AL74" i="1"/>
  <c r="AL49" i="1"/>
  <c r="AL48" i="1"/>
  <c r="W18" i="1"/>
  <c r="W14" i="1"/>
  <c r="AL95" i="1"/>
  <c r="AL86" i="1"/>
  <c r="AL85" i="1"/>
  <c r="AL35" i="1"/>
  <c r="AL33" i="1"/>
  <c r="V60" i="1"/>
  <c r="V58" i="1" s="1"/>
  <c r="BB104" i="1" l="1"/>
  <c r="W31" i="1"/>
  <c r="AL15" i="1"/>
  <c r="AL14" i="1" s="1"/>
  <c r="AL36" i="1"/>
  <c r="W36" i="1"/>
  <c r="AL68" i="1"/>
  <c r="AL67" i="1" s="1"/>
  <c r="W67" i="1"/>
  <c r="AL93" i="1"/>
  <c r="AL89" i="1" s="1"/>
  <c r="W89" i="1"/>
  <c r="W58" i="1"/>
  <c r="AL32" i="1"/>
  <c r="AL31" i="1" s="1"/>
  <c r="AL20" i="1"/>
  <c r="AL18" i="1" s="1"/>
  <c r="AL75" i="1"/>
  <c r="AL73" i="1" s="1"/>
  <c r="AL46" i="1"/>
  <c r="AL45" i="1" s="1"/>
  <c r="W45" i="1"/>
  <c r="W56" i="1" l="1"/>
  <c r="W104" i="1" s="1"/>
  <c r="AL56" i="1"/>
  <c r="AL104" i="1" s="1"/>
  <c r="V103" i="1"/>
  <c r="V101" i="1" s="1"/>
  <c r="V100" i="1"/>
  <c r="V95" i="1"/>
  <c r="V94" i="1"/>
  <c r="V93" i="1"/>
  <c r="V88" i="1"/>
  <c r="V87" i="1"/>
  <c r="V86" i="1"/>
  <c r="V85" i="1"/>
  <c r="V80" i="1"/>
  <c r="V79" i="1"/>
  <c r="V78" i="1"/>
  <c r="V77" i="1"/>
  <c r="V76" i="1"/>
  <c r="V75" i="1"/>
  <c r="V72" i="1"/>
  <c r="V68" i="1"/>
  <c r="V67" i="1" s="1"/>
  <c r="V57" i="1"/>
  <c r="D58" i="1"/>
  <c r="V55" i="1"/>
  <c r="V49" i="1"/>
  <c r="V35" i="1"/>
  <c r="V33" i="1"/>
  <c r="V28" i="1"/>
  <c r="V27" i="1"/>
  <c r="V73" i="1" l="1"/>
  <c r="V19" i="1"/>
  <c r="V18" i="1" s="1"/>
  <c r="D18" i="1"/>
  <c r="V15" i="1"/>
  <c r="V14" i="1" s="1"/>
  <c r="D14" i="1"/>
  <c r="V32" i="1"/>
  <c r="V31" i="1" s="1"/>
  <c r="D31" i="1"/>
  <c r="V63" i="1"/>
  <c r="V61" i="1" s="1"/>
  <c r="D89" i="1"/>
  <c r="V90" i="1"/>
  <c r="V89" i="1" s="1"/>
  <c r="V99" i="1"/>
  <c r="V96" i="1" s="1"/>
  <c r="D96" i="1"/>
  <c r="V25" i="1"/>
  <c r="V45" i="1"/>
  <c r="D67" i="1"/>
  <c r="D36" i="1"/>
  <c r="D45" i="1"/>
  <c r="D25" i="1"/>
  <c r="V56" i="1" l="1"/>
  <c r="V104" i="1" s="1"/>
  <c r="D56" i="1"/>
  <c r="D104" i="1" s="1"/>
</calcChain>
</file>

<file path=xl/sharedStrings.xml><?xml version="1.0" encoding="utf-8"?>
<sst xmlns="http://schemas.openxmlformats.org/spreadsheetml/2006/main" count="153" uniqueCount="119">
  <si>
    <t>№ п/п</t>
  </si>
  <si>
    <t>Наименование программы</t>
  </si>
  <si>
    <t>Сумма, тыс. руб.</t>
  </si>
  <si>
    <t>Муниципальная программа «Благоустройство территории городского округа Тольятти на 2015-2024 годы»</t>
  </si>
  <si>
    <t>ИТОГО</t>
  </si>
  <si>
    <t>Муниципальная программа «Развитие физической культуры и спорта в городском округе Тольятти на 2017-2021 годы»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</si>
  <si>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</si>
  <si>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</si>
  <si>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</si>
  <si>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</si>
  <si>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</si>
  <si>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</si>
  <si>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</si>
  <si>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</si>
  <si>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</si>
  <si>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</si>
  <si>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</si>
  <si>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</si>
  <si>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</si>
  <si>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</si>
  <si>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</si>
  <si>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</si>
  <si>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</si>
  <si>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</si>
  <si>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</si>
  <si>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</si>
  <si>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</si>
  <si>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</si>
  <si>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</si>
  <si>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</si>
  <si>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</si>
  <si>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</si>
  <si>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</si>
  <si>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</si>
  <si>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</si>
  <si>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</si>
  <si>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</si>
  <si>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</si>
  <si>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</si>
  <si>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</si>
  <si>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</si>
  <si>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</si>
  <si>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</si>
  <si>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</si>
  <si>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</si>
  <si>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</si>
  <si>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</si>
  <si>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</si>
  <si>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</si>
  <si>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</si>
  <si>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</si>
  <si>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</si>
  <si>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</si>
  <si>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</si>
  <si>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</si>
  <si>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</si>
  <si>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</si>
  <si>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</si>
  <si>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</si>
  <si>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</si>
  <si>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</si>
  <si>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</si>
  <si>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</si>
  <si>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270</t>
  </si>
  <si>
    <t>Муниципальная программа «Развитие потребительского рынка в городском округе Тольятти на 2017-2021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</si>
  <si>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</si>
  <si>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</si>
  <si>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</si>
  <si>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220-221</t>
  </si>
  <si>
    <t>340</t>
  </si>
  <si>
    <t xml:space="preserve">к решению Думы </t>
  </si>
  <si>
    <t>от_______ № ______</t>
  </si>
  <si>
    <t>2021 год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</si>
  <si>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</si>
  <si>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Муниципальная программа «Капитальный ремонт многоквартирных домов городского округа Тольятти на 2019-2023 годы»</t>
  </si>
  <si>
    <t>Приложение 12</t>
  </si>
  <si>
    <t>Муниципальная программа  «Профилактика наркомании населения городского округа Тольятти на 2019-2023 годы»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</si>
  <si>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</si>
  <si>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Изменения 2 чтение</t>
  </si>
  <si>
    <t>Уточнение .</t>
  </si>
  <si>
    <t>Муниципальная программа «Формирование современной городской среды на 2018-2024 годы»</t>
  </si>
  <si>
    <t>2022 год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</si>
  <si>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</si>
  <si>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</si>
  <si>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</si>
  <si>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</si>
  <si>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</si>
  <si>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</si>
  <si>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</si>
  <si>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</si>
  <si>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</si>
  <si>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</si>
  <si>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</si>
  <si>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</si>
  <si>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</si>
  <si>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</si>
  <si>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</si>
  <si>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</si>
  <si>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</si>
  <si>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</si>
  <si>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ПЕРЕЧЕНЬ МУНИЦИПАЛЬНЫХ ПРОГРАММ, ПОДЛЕЖАЩИХ ФИНАНСИРОВАНИЮ ИЗ БЮДЖЕТА ГОРОДСКОГО ОКРУГА ТОЛЬЯТТИ, НА 2021 ГОД И ПЛАНОВЫЙ ПЕРИОД 2022 И 2023 ГОДОВ</t>
  </si>
  <si>
    <t>Муниципальная программа «Культура Тольятти на 2019-2023 годы»</t>
  </si>
  <si>
    <t>Уточнение 17.02</t>
  </si>
  <si>
    <t xml:space="preserve">Уточнение 17.02 </t>
  </si>
  <si>
    <t>от 23.12.2020 № 787</t>
  </si>
  <si>
    <t>Уточнение 24.03</t>
  </si>
  <si>
    <t>Уточнение 19.05</t>
  </si>
  <si>
    <t xml:space="preserve">Уточнение 09.06 </t>
  </si>
  <si>
    <t>Уточнение 09.06</t>
  </si>
  <si>
    <t>Уточнение 07.07</t>
  </si>
  <si>
    <r>
      <t>Уточнение 07.0</t>
    </r>
    <r>
      <rPr>
        <b/>
        <sz val="12"/>
        <rFont val="Times New Roman"/>
        <family val="1"/>
        <charset val="204"/>
      </rPr>
      <t>7</t>
    </r>
  </si>
  <si>
    <t>Уточнение 11.08</t>
  </si>
  <si>
    <t>Уточнение 22.09</t>
  </si>
  <si>
    <t>Подпрограмма «Развитие муниципальной службы в городском округе Тольятти на 2017-2022 годы»</t>
  </si>
  <si>
    <t>221</t>
  </si>
  <si>
    <t>Уточнение 10.11</t>
  </si>
  <si>
    <t>Уточнение 08.12</t>
  </si>
  <si>
    <t>Уточнение 22.12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</si>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</sst>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9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0" fontId="7" fillId="3" borderId="0" xfId="0" applyFont="1" applyFill="1" applyAlignment="1">
      <alignment horizontal="right"/>
    </xf>
    <xf numFmtId="3" fontId="4" fillId="3" borderId="0" xfId="0" applyNumberFormat="1" applyFont="1" applyFill="1" applyBorder="1"/>
    <xf numFmtId="3" fontId="7" fillId="3" borderId="0" xfId="0" applyNumberFormat="1" applyFont="1" applyFill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9" fillId="4" borderId="1" xfId="0" applyNumberFormat="1" applyFont="1" applyFill="1" applyBorder="1" applyAlignment="1">
      <alignment wrapText="1"/>
    </xf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3" fontId="5" fillId="2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3" fontId="15" fillId="4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16" fillId="2" borderId="0" xfId="0" applyNumberFormat="1" applyFont="1" applyFill="1"/>
    <xf numFmtId="3" fontId="16" fillId="3" borderId="0" xfId="0" applyNumberFormat="1" applyFont="1" applyFill="1"/>
    <xf numFmtId="0" fontId="16" fillId="2" borderId="0" xfId="0" applyFont="1" applyFill="1"/>
    <xf numFmtId="0" fontId="16" fillId="3" borderId="0" xfId="0" applyFont="1" applyFill="1"/>
    <xf numFmtId="0" fontId="16" fillId="0" borderId="0" xfId="0" applyFont="1" applyFill="1"/>
    <xf numFmtId="3" fontId="16" fillId="0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4" fillId="3" borderId="1" xfId="0" applyNumberFormat="1" applyFont="1" applyFill="1" applyBorder="1"/>
    <xf numFmtId="3" fontId="11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0" fontId="7" fillId="2" borderId="0" xfId="0" applyFont="1" applyFill="1" applyAlignment="1">
      <alignment vertical="center"/>
    </xf>
    <xf numFmtId="3" fontId="18" fillId="2" borderId="0" xfId="0" applyNumberFormat="1" applyFont="1" applyFill="1"/>
    <xf numFmtId="3" fontId="8" fillId="0" borderId="1" xfId="0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/>
    <xf numFmtId="0" fontId="20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/>
    </xf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17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7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25"/>
  <sheetViews>
    <sheetView showZeros="0" tabSelected="1" view="pageBreakPreview" topLeftCell="B45" zoomScaleSheetLayoutView="100" workbookViewId="0">
      <selection activeCell="A10" sqref="A10:BB10"/>
    </sheetView>
  </sheetViews>
  <sheetFormatPr defaultColWidth="9.140625" defaultRowHeight="15" x14ac:dyDescent="0.25"/>
  <cols>
    <col min="1" max="1" width="5.140625" style="7" hidden="1" customWidth="1"/>
    <col min="2" max="2" width="5.42578125" style="10" customWidth="1"/>
    <col min="3" max="3" width="82" style="4" customWidth="1"/>
    <col min="4" max="4" width="13.140625" style="25" hidden="1" customWidth="1"/>
    <col min="5" max="5" width="12" style="4" hidden="1" customWidth="1"/>
    <col min="6" max="6" width="12" style="25" hidden="1" customWidth="1"/>
    <col min="7" max="7" width="12.42578125" style="25" hidden="1" customWidth="1"/>
    <col min="8" max="11" width="12" style="25" hidden="1" customWidth="1"/>
    <col min="12" max="12" width="12" style="4" hidden="1" customWidth="1"/>
    <col min="13" max="13" width="12" style="25" hidden="1" customWidth="1"/>
    <col min="14" max="14" width="12" style="19" hidden="1" customWidth="1"/>
    <col min="15" max="21" width="12" style="25" hidden="1" customWidth="1"/>
    <col min="22" max="22" width="15.140625" style="19" customWidth="1"/>
    <col min="23" max="23" width="15.28515625" style="25" hidden="1" customWidth="1"/>
    <col min="24" max="24" width="12" style="19" hidden="1" customWidth="1"/>
    <col min="25" max="29" width="12" style="25" hidden="1" customWidth="1"/>
    <col min="30" max="30" width="12" style="4" hidden="1" customWidth="1"/>
    <col min="31" max="31" width="12.28515625" style="25" hidden="1" customWidth="1"/>
    <col min="32" max="37" width="12" style="25" hidden="1" customWidth="1"/>
    <col min="38" max="38" width="14.5703125" style="4" customWidth="1"/>
    <col min="39" max="39" width="14.5703125" style="4" hidden="1" customWidth="1"/>
    <col min="40" max="40" width="12" style="4" hidden="1" customWidth="1"/>
    <col min="41" max="42" width="12" style="25" hidden="1" customWidth="1"/>
    <col min="43" max="44" width="12" style="19" hidden="1" customWidth="1"/>
    <col min="45" max="45" width="12" style="4" hidden="1" customWidth="1"/>
    <col min="46" max="53" width="12" style="25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5.75" x14ac:dyDescent="0.25">
      <c r="A1" s="116" t="s">
        <v>118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</row>
    <row r="2" spans="1:79" ht="15.75" x14ac:dyDescent="0.25">
      <c r="A2" s="116" t="s">
        <v>70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</row>
    <row r="3" spans="1:79" x14ac:dyDescent="0.25">
      <c r="A3" s="127" t="s">
        <v>71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</row>
    <row r="4" spans="1:79" x14ac:dyDescent="0.25">
      <c r="B4" s="84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O4" s="19"/>
      <c r="P4" s="19"/>
      <c r="Q4" s="19"/>
      <c r="R4" s="19"/>
      <c r="S4" s="19"/>
      <c r="T4" s="19"/>
      <c r="U4" s="19"/>
      <c r="W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S4" s="19"/>
      <c r="AT4" s="19"/>
      <c r="AU4" s="19"/>
      <c r="AV4" s="19"/>
      <c r="AW4" s="19"/>
      <c r="AX4" s="19"/>
      <c r="AY4" s="19"/>
      <c r="AZ4" s="19"/>
      <c r="BA4" s="19"/>
      <c r="BB4" s="19"/>
    </row>
    <row r="5" spans="1:79" ht="15.75" x14ac:dyDescent="0.25">
      <c r="B5" s="116" t="s">
        <v>75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</row>
    <row r="6" spans="1:79" s="19" customFormat="1" ht="15.75" x14ac:dyDescent="0.25">
      <c r="A6" s="30"/>
      <c r="B6" s="116" t="s">
        <v>70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</row>
    <row r="7" spans="1:79" s="19" customFormat="1" ht="15.75" x14ac:dyDescent="0.25">
      <c r="A7" s="30"/>
      <c r="B7" s="116" t="s">
        <v>104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</row>
    <row r="8" spans="1:79" s="19" customFormat="1" ht="15.75" x14ac:dyDescent="0.25">
      <c r="A8" s="30"/>
      <c r="B8" s="68"/>
      <c r="C8" s="68"/>
      <c r="D8" s="68"/>
      <c r="E8" s="68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</row>
    <row r="9" spans="1:79" s="19" customFormat="1" ht="15.75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</row>
    <row r="10" spans="1:79" s="20" customFormat="1" ht="72.75" customHeight="1" x14ac:dyDescent="0.25">
      <c r="A10" s="117" t="s">
        <v>100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</row>
    <row r="11" spans="1:79" s="19" customFormat="1" ht="18.75" x14ac:dyDescent="0.25">
      <c r="A11" s="32"/>
      <c r="B11" s="69"/>
      <c r="C11" s="69"/>
      <c r="D11" s="69"/>
      <c r="E11" s="69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33"/>
      <c r="W11" s="33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33"/>
      <c r="AM11" s="33"/>
      <c r="AN11" s="77"/>
      <c r="AO11" s="77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33"/>
    </row>
    <row r="12" spans="1:79" s="19" customFormat="1" ht="23.25" customHeight="1" x14ac:dyDescent="0.25">
      <c r="A12" s="122"/>
      <c r="B12" s="123" t="s">
        <v>0</v>
      </c>
      <c r="C12" s="123" t="s">
        <v>1</v>
      </c>
      <c r="D12" s="108"/>
      <c r="E12" s="124" t="s">
        <v>2</v>
      </c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</row>
    <row r="13" spans="1:79" s="19" customFormat="1" ht="53.25" customHeight="1" x14ac:dyDescent="0.25">
      <c r="A13" s="122"/>
      <c r="B13" s="123"/>
      <c r="C13" s="123"/>
      <c r="D13" s="108" t="s">
        <v>72</v>
      </c>
      <c r="E13" s="108" t="s">
        <v>78</v>
      </c>
      <c r="F13" s="109" t="s">
        <v>102</v>
      </c>
      <c r="G13" s="109" t="s">
        <v>105</v>
      </c>
      <c r="H13" s="109" t="s">
        <v>106</v>
      </c>
      <c r="I13" s="109" t="s">
        <v>107</v>
      </c>
      <c r="J13" s="109" t="s">
        <v>110</v>
      </c>
      <c r="K13" s="109" t="s">
        <v>111</v>
      </c>
      <c r="L13" s="109" t="s">
        <v>112</v>
      </c>
      <c r="M13" s="109" t="s">
        <v>115</v>
      </c>
      <c r="N13" s="109" t="s">
        <v>116</v>
      </c>
      <c r="O13" s="110" t="s">
        <v>117</v>
      </c>
      <c r="P13" s="109" t="s">
        <v>79</v>
      </c>
      <c r="Q13" s="109" t="s">
        <v>79</v>
      </c>
      <c r="R13" s="109" t="s">
        <v>79</v>
      </c>
      <c r="S13" s="109" t="s">
        <v>79</v>
      </c>
      <c r="T13" s="109" t="s">
        <v>79</v>
      </c>
      <c r="U13" s="109" t="s">
        <v>79</v>
      </c>
      <c r="V13" s="87" t="s">
        <v>72</v>
      </c>
      <c r="W13" s="87" t="s">
        <v>81</v>
      </c>
      <c r="X13" s="87" t="s">
        <v>78</v>
      </c>
      <c r="Y13" s="111" t="s">
        <v>103</v>
      </c>
      <c r="Z13" s="111" t="s">
        <v>105</v>
      </c>
      <c r="AA13" s="111" t="s">
        <v>106</v>
      </c>
      <c r="AB13" s="111" t="s">
        <v>107</v>
      </c>
      <c r="AC13" s="111" t="s">
        <v>109</v>
      </c>
      <c r="AD13" s="111" t="s">
        <v>111</v>
      </c>
      <c r="AE13" s="111" t="s">
        <v>112</v>
      </c>
      <c r="AF13" s="109" t="s">
        <v>115</v>
      </c>
      <c r="AG13" s="110" t="s">
        <v>79</v>
      </c>
      <c r="AH13" s="111" t="s">
        <v>79</v>
      </c>
      <c r="AI13" s="111" t="s">
        <v>79</v>
      </c>
      <c r="AJ13" s="111" t="s">
        <v>79</v>
      </c>
      <c r="AK13" s="111" t="s">
        <v>79</v>
      </c>
      <c r="AL13" s="87" t="s">
        <v>81</v>
      </c>
      <c r="AM13" s="87" t="s">
        <v>87</v>
      </c>
      <c r="AN13" s="87" t="s">
        <v>78</v>
      </c>
      <c r="AO13" s="111" t="s">
        <v>102</v>
      </c>
      <c r="AP13" s="111" t="s">
        <v>105</v>
      </c>
      <c r="AQ13" s="111" t="s">
        <v>106</v>
      </c>
      <c r="AR13" s="111" t="s">
        <v>108</v>
      </c>
      <c r="AS13" s="111" t="s">
        <v>109</v>
      </c>
      <c r="AT13" s="110" t="s">
        <v>79</v>
      </c>
      <c r="AU13" s="111" t="s">
        <v>79</v>
      </c>
      <c r="AV13" s="111" t="s">
        <v>79</v>
      </c>
      <c r="AW13" s="111" t="s">
        <v>79</v>
      </c>
      <c r="AX13" s="111" t="s">
        <v>79</v>
      </c>
      <c r="AY13" s="111" t="s">
        <v>79</v>
      </c>
      <c r="AZ13" s="111" t="s">
        <v>79</v>
      </c>
      <c r="BA13" s="111" t="s">
        <v>79</v>
      </c>
      <c r="BB13" s="87" t="s">
        <v>87</v>
      </c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s="19" customFormat="1" ht="24.75" customHeight="1" x14ac:dyDescent="0.25">
      <c r="A14" s="90" t="s">
        <v>9</v>
      </c>
      <c r="B14" s="35" t="s">
        <v>37</v>
      </c>
      <c r="C14" s="36" t="s">
        <v>101</v>
      </c>
      <c r="D14" s="37">
        <f t="shared" ref="D14" si="0">SUM(D15:D17)</f>
        <v>916388</v>
      </c>
      <c r="E14" s="37">
        <f t="shared" ref="E14" si="1">SUM(E15:E17)</f>
        <v>-6477</v>
      </c>
      <c r="F14" s="37">
        <f t="shared" ref="F14" si="2">SUM(F15:F17)</f>
        <v>78463</v>
      </c>
      <c r="G14" s="37">
        <f t="shared" ref="G14" si="3">SUM(G15:G17)</f>
        <v>14049</v>
      </c>
      <c r="H14" s="37">
        <f t="shared" ref="H14:I14" si="4">SUM(H15:H17)</f>
        <v>-504</v>
      </c>
      <c r="I14" s="37">
        <f t="shared" si="4"/>
        <v>-504</v>
      </c>
      <c r="J14" s="37">
        <f t="shared" ref="J14" si="5">SUM(J15:J17)</f>
        <v>24647</v>
      </c>
      <c r="K14" s="37">
        <f t="shared" ref="K14" si="6">SUM(K15:K17)</f>
        <v>0</v>
      </c>
      <c r="L14" s="37">
        <f t="shared" ref="L14" si="7">SUM(L15:L17)</f>
        <v>1626</v>
      </c>
      <c r="M14" s="37">
        <f t="shared" ref="M14" si="8">SUM(M15:M17)</f>
        <v>-1638</v>
      </c>
      <c r="N14" s="37">
        <f t="shared" ref="N14" si="9">SUM(N15:N17)</f>
        <v>4318</v>
      </c>
      <c r="O14" s="78">
        <f t="shared" ref="O14" si="10">SUM(O15:O17)</f>
        <v>9342</v>
      </c>
      <c r="P14" s="37">
        <f t="shared" ref="P14" si="11">SUM(P15:P17)</f>
        <v>0</v>
      </c>
      <c r="Q14" s="37">
        <f t="shared" ref="Q14" si="12">SUM(Q15:Q17)</f>
        <v>0</v>
      </c>
      <c r="R14" s="37">
        <f t="shared" ref="R14" si="13">SUM(R15:R17)</f>
        <v>0</v>
      </c>
      <c r="S14" s="37">
        <f t="shared" ref="S14" si="14">SUM(S15:S17)</f>
        <v>0</v>
      </c>
      <c r="T14" s="37">
        <f t="shared" ref="T14" si="15">SUM(T15:T17)</f>
        <v>0</v>
      </c>
      <c r="U14" s="37">
        <f t="shared" ref="U14" si="16">SUM(U15:U17)</f>
        <v>0</v>
      </c>
      <c r="V14" s="37">
        <f t="shared" ref="V14" si="17">SUM(V15:V17)</f>
        <v>1039710</v>
      </c>
      <c r="W14" s="37">
        <f t="shared" ref="W14" si="18">SUM(W15:W17)</f>
        <v>857072</v>
      </c>
      <c r="X14" s="37">
        <f t="shared" ref="X14" si="19">SUM(X15:X17)</f>
        <v>-5440</v>
      </c>
      <c r="Y14" s="37">
        <f t="shared" ref="Y14" si="20">SUM(Y15:Y17)</f>
        <v>33968</v>
      </c>
      <c r="Z14" s="37">
        <f t="shared" ref="Z14" si="21">SUM(Z15:Z17)</f>
        <v>0</v>
      </c>
      <c r="AA14" s="37">
        <f t="shared" ref="AA14" si="22">SUM(AA15:AA17)</f>
        <v>0</v>
      </c>
      <c r="AB14" s="37">
        <f t="shared" ref="AB14" si="23">SUM(AB15:AB17)</f>
        <v>0</v>
      </c>
      <c r="AC14" s="37">
        <f t="shared" ref="AC14" si="24">SUM(AC15:AC17)</f>
        <v>0</v>
      </c>
      <c r="AD14" s="37">
        <f t="shared" ref="AD14" si="25">SUM(AD15:AD17)</f>
        <v>0</v>
      </c>
      <c r="AE14" s="37">
        <f t="shared" ref="AE14" si="26">SUM(AE15:AE17)</f>
        <v>0</v>
      </c>
      <c r="AF14" s="37">
        <f t="shared" ref="AF14" si="27">SUM(AF15:AF17)</f>
        <v>0</v>
      </c>
      <c r="AG14" s="78">
        <f t="shared" ref="AG14" si="28">SUM(AG15:AG17)</f>
        <v>0</v>
      </c>
      <c r="AH14" s="37">
        <f t="shared" ref="AH14" si="29">SUM(AH15:AH17)</f>
        <v>0</v>
      </c>
      <c r="AI14" s="37">
        <f t="shared" ref="AI14" si="30">SUM(AI15:AI17)</f>
        <v>0</v>
      </c>
      <c r="AJ14" s="37">
        <f t="shared" ref="AJ14" si="31">SUM(AJ15:AJ17)</f>
        <v>0</v>
      </c>
      <c r="AK14" s="37">
        <f t="shared" ref="AK14" si="32">SUM(AK15:AK17)</f>
        <v>0</v>
      </c>
      <c r="AL14" s="37">
        <f t="shared" ref="AL14" si="33">SUM(AL15:AL17)</f>
        <v>885600</v>
      </c>
      <c r="AM14" s="37">
        <f t="shared" ref="AM14:BA14" si="34">SUM(AM15:AM17)</f>
        <v>840641</v>
      </c>
      <c r="AN14" s="37">
        <f t="shared" si="34"/>
        <v>-5440</v>
      </c>
      <c r="AO14" s="37">
        <f t="shared" si="34"/>
        <v>61672</v>
      </c>
      <c r="AP14" s="37">
        <f t="shared" si="34"/>
        <v>0</v>
      </c>
      <c r="AQ14" s="37">
        <f t="shared" si="34"/>
        <v>0</v>
      </c>
      <c r="AR14" s="37">
        <f t="shared" si="34"/>
        <v>0</v>
      </c>
      <c r="AS14" s="37">
        <f t="shared" si="34"/>
        <v>0</v>
      </c>
      <c r="AT14" s="78">
        <f t="shared" si="34"/>
        <v>0</v>
      </c>
      <c r="AU14" s="37">
        <f t="shared" si="34"/>
        <v>0</v>
      </c>
      <c r="AV14" s="37">
        <f t="shared" si="34"/>
        <v>0</v>
      </c>
      <c r="AW14" s="37">
        <f t="shared" si="34"/>
        <v>0</v>
      </c>
      <c r="AX14" s="37">
        <f t="shared" si="34"/>
        <v>0</v>
      </c>
      <c r="AY14" s="37">
        <f t="shared" si="34"/>
        <v>0</v>
      </c>
      <c r="AZ14" s="37">
        <f t="shared" si="34"/>
        <v>0</v>
      </c>
      <c r="BA14" s="37">
        <f t="shared" si="34"/>
        <v>0</v>
      </c>
      <c r="BB14" s="37">
        <f>SUM(BB15:BB17)</f>
        <v>896873</v>
      </c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</row>
    <row r="15" spans="1:79" s="47" customFormat="1" ht="18" hidden="1" customHeight="1" x14ac:dyDescent="0.25">
      <c r="A15" s="90"/>
      <c r="B15" s="42"/>
      <c r="C15" s="43">
        <v>912</v>
      </c>
      <c r="D15" s="44">
        <v>904115</v>
      </c>
      <c r="E15" s="45">
        <v>-6477</v>
      </c>
      <c r="F15" s="45">
        <f>49909+26705</f>
        <v>76614</v>
      </c>
      <c r="G15" s="45">
        <f>1000+13049</f>
        <v>14049</v>
      </c>
      <c r="H15" s="45">
        <v>-504</v>
      </c>
      <c r="I15" s="45">
        <v>-504</v>
      </c>
      <c r="J15" s="45">
        <f>10941+246+15493-2033</f>
        <v>24647</v>
      </c>
      <c r="K15" s="45"/>
      <c r="L15" s="45">
        <f>440-95+1560-279</f>
        <v>1626</v>
      </c>
      <c r="M15" s="45"/>
      <c r="N15" s="45">
        <v>4318</v>
      </c>
      <c r="O15" s="79">
        <f>21615</f>
        <v>21615</v>
      </c>
      <c r="P15" s="45"/>
      <c r="Q15" s="45"/>
      <c r="R15" s="45"/>
      <c r="S15" s="45"/>
      <c r="T15" s="45"/>
      <c r="U15" s="45"/>
      <c r="V15" s="45">
        <f>SUM(D15:U15)</f>
        <v>1039499</v>
      </c>
      <c r="W15" s="45">
        <v>857072</v>
      </c>
      <c r="X15" s="45">
        <v>-5440</v>
      </c>
      <c r="Y15" s="45">
        <f>37663-3695</f>
        <v>33968</v>
      </c>
      <c r="Z15" s="45"/>
      <c r="AA15" s="45"/>
      <c r="AB15" s="45"/>
      <c r="AC15" s="45"/>
      <c r="AD15" s="45"/>
      <c r="AE15" s="45"/>
      <c r="AF15" s="45"/>
      <c r="AG15" s="79"/>
      <c r="AH15" s="45"/>
      <c r="AI15" s="45"/>
      <c r="AJ15" s="45"/>
      <c r="AK15" s="45"/>
      <c r="AL15" s="45">
        <f>SUM(W15:AK15)</f>
        <v>885600</v>
      </c>
      <c r="AM15" s="45">
        <v>840641</v>
      </c>
      <c r="AN15" s="45">
        <v>-5440</v>
      </c>
      <c r="AO15" s="45">
        <f>39504+22168</f>
        <v>61672</v>
      </c>
      <c r="AP15" s="45"/>
      <c r="AQ15" s="45"/>
      <c r="AR15" s="45"/>
      <c r="AS15" s="45"/>
      <c r="AT15" s="79"/>
      <c r="AU15" s="45"/>
      <c r="AV15" s="45"/>
      <c r="AW15" s="45"/>
      <c r="AX15" s="45"/>
      <c r="AY15" s="45"/>
      <c r="AZ15" s="45"/>
      <c r="BA15" s="45"/>
      <c r="BB15" s="45">
        <f>SUM(AM15:BA15)</f>
        <v>896873</v>
      </c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</row>
    <row r="16" spans="1:79" s="47" customFormat="1" ht="15" hidden="1" customHeight="1" x14ac:dyDescent="0.25">
      <c r="A16" s="90"/>
      <c r="B16" s="42"/>
      <c r="C16" s="43">
        <v>914</v>
      </c>
      <c r="D16" s="64">
        <v>12273</v>
      </c>
      <c r="E16" s="45"/>
      <c r="F16" s="45">
        <v>1638</v>
      </c>
      <c r="G16" s="45"/>
      <c r="H16" s="45"/>
      <c r="I16" s="45"/>
      <c r="J16" s="45"/>
      <c r="K16" s="45"/>
      <c r="L16" s="45"/>
      <c r="M16" s="45">
        <v>-1638</v>
      </c>
      <c r="N16" s="45"/>
      <c r="O16" s="79">
        <f>-12273</f>
        <v>-12273</v>
      </c>
      <c r="P16" s="45"/>
      <c r="Q16" s="45"/>
      <c r="R16" s="45"/>
      <c r="S16" s="45"/>
      <c r="T16" s="45"/>
      <c r="U16" s="45"/>
      <c r="V16" s="45">
        <f>SUM(D16:U16)</f>
        <v>0</v>
      </c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79"/>
      <c r="AH16" s="45"/>
      <c r="AI16" s="45"/>
      <c r="AJ16" s="45"/>
      <c r="AK16" s="45"/>
      <c r="AL16" s="45">
        <f>SUM(W16:AK16)</f>
        <v>0</v>
      </c>
      <c r="AM16" s="45"/>
      <c r="AN16" s="45"/>
      <c r="AO16" s="45"/>
      <c r="AP16" s="45"/>
      <c r="AQ16" s="45"/>
      <c r="AR16" s="45"/>
      <c r="AS16" s="45"/>
      <c r="AT16" s="79"/>
      <c r="AU16" s="45"/>
      <c r="AV16" s="45"/>
      <c r="AW16" s="45"/>
      <c r="AX16" s="45"/>
      <c r="AY16" s="45"/>
      <c r="AZ16" s="45"/>
      <c r="BA16" s="45"/>
      <c r="BB16" s="45">
        <f>SUM(AM16:BA16)</f>
        <v>0</v>
      </c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</row>
    <row r="17" spans="1:79" s="47" customFormat="1" ht="15" hidden="1" customHeight="1" x14ac:dyDescent="0.25">
      <c r="A17" s="90"/>
      <c r="B17" s="42"/>
      <c r="C17" s="43">
        <v>923</v>
      </c>
      <c r="D17" s="44"/>
      <c r="E17" s="45"/>
      <c r="F17" s="45">
        <v>211</v>
      </c>
      <c r="G17" s="45"/>
      <c r="H17" s="45"/>
      <c r="I17" s="45"/>
      <c r="J17" s="45"/>
      <c r="K17" s="45"/>
      <c r="L17" s="45"/>
      <c r="M17" s="45"/>
      <c r="N17" s="45"/>
      <c r="O17" s="79"/>
      <c r="P17" s="45"/>
      <c r="Q17" s="45"/>
      <c r="R17" s="45"/>
      <c r="S17" s="45"/>
      <c r="T17" s="45"/>
      <c r="U17" s="45"/>
      <c r="V17" s="45">
        <f>SUM(D17:U17)</f>
        <v>211</v>
      </c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79"/>
      <c r="AH17" s="45"/>
      <c r="AI17" s="45"/>
      <c r="AJ17" s="45"/>
      <c r="AK17" s="45"/>
      <c r="AL17" s="45">
        <f>SUM(W17:AK17)</f>
        <v>0</v>
      </c>
      <c r="AM17" s="45"/>
      <c r="AN17" s="45"/>
      <c r="AO17" s="45"/>
      <c r="AP17" s="45"/>
      <c r="AQ17" s="45"/>
      <c r="AR17" s="45"/>
      <c r="AS17" s="45"/>
      <c r="AT17" s="79"/>
      <c r="AU17" s="45"/>
      <c r="AV17" s="45"/>
      <c r="AW17" s="45"/>
      <c r="AX17" s="45"/>
      <c r="AY17" s="45"/>
      <c r="AZ17" s="45"/>
      <c r="BA17" s="45"/>
      <c r="BB17" s="45">
        <f>SUM(AM17:BA17)</f>
        <v>0</v>
      </c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</row>
    <row r="18" spans="1:79" s="19" customFormat="1" ht="31.5" x14ac:dyDescent="0.25">
      <c r="A18" s="90" t="s">
        <v>10</v>
      </c>
      <c r="B18" s="35" t="s">
        <v>38</v>
      </c>
      <c r="C18" s="36" t="s">
        <v>5</v>
      </c>
      <c r="D18" s="37">
        <f t="shared" ref="D18:BA18" si="35">SUM(D19:D21)</f>
        <v>635167</v>
      </c>
      <c r="E18" s="37">
        <f t="shared" si="35"/>
        <v>6052</v>
      </c>
      <c r="F18" s="37">
        <f t="shared" si="35"/>
        <v>-6586</v>
      </c>
      <c r="G18" s="37">
        <f t="shared" si="35"/>
        <v>2714</v>
      </c>
      <c r="H18" s="37">
        <f t="shared" si="35"/>
        <v>-162</v>
      </c>
      <c r="I18" s="37">
        <f t="shared" si="35"/>
        <v>-162</v>
      </c>
      <c r="J18" s="37">
        <f t="shared" si="35"/>
        <v>-1982</v>
      </c>
      <c r="K18" s="37">
        <f t="shared" si="35"/>
        <v>0</v>
      </c>
      <c r="L18" s="37">
        <f t="shared" si="35"/>
        <v>145</v>
      </c>
      <c r="M18" s="37">
        <f t="shared" si="35"/>
        <v>-2950</v>
      </c>
      <c r="N18" s="37">
        <f t="shared" si="35"/>
        <v>2397</v>
      </c>
      <c r="O18" s="78">
        <f t="shared" si="35"/>
        <v>-1801</v>
      </c>
      <c r="P18" s="37">
        <f t="shared" si="35"/>
        <v>0</v>
      </c>
      <c r="Q18" s="37">
        <f t="shared" si="35"/>
        <v>0</v>
      </c>
      <c r="R18" s="37">
        <f t="shared" si="35"/>
        <v>0</v>
      </c>
      <c r="S18" s="37">
        <f t="shared" si="35"/>
        <v>0</v>
      </c>
      <c r="T18" s="37">
        <f t="shared" si="35"/>
        <v>0</v>
      </c>
      <c r="U18" s="37">
        <f t="shared" si="35"/>
        <v>0</v>
      </c>
      <c r="V18" s="37">
        <f t="shared" si="35"/>
        <v>632832</v>
      </c>
      <c r="W18" s="37">
        <f t="shared" si="35"/>
        <v>0</v>
      </c>
      <c r="X18" s="37">
        <f t="shared" si="35"/>
        <v>0</v>
      </c>
      <c r="Y18" s="37">
        <f t="shared" si="35"/>
        <v>0</v>
      </c>
      <c r="Z18" s="37">
        <f t="shared" si="35"/>
        <v>0</v>
      </c>
      <c r="AA18" s="37">
        <f t="shared" si="35"/>
        <v>0</v>
      </c>
      <c r="AB18" s="37">
        <f t="shared" si="35"/>
        <v>0</v>
      </c>
      <c r="AC18" s="37">
        <f t="shared" si="35"/>
        <v>0</v>
      </c>
      <c r="AD18" s="37">
        <f t="shared" si="35"/>
        <v>0</v>
      </c>
      <c r="AE18" s="37">
        <f t="shared" si="35"/>
        <v>0</v>
      </c>
      <c r="AF18" s="37">
        <f t="shared" si="35"/>
        <v>0</v>
      </c>
      <c r="AG18" s="78">
        <f t="shared" si="35"/>
        <v>0</v>
      </c>
      <c r="AH18" s="37">
        <f t="shared" si="35"/>
        <v>0</v>
      </c>
      <c r="AI18" s="37">
        <f t="shared" si="35"/>
        <v>0</v>
      </c>
      <c r="AJ18" s="37">
        <f t="shared" si="35"/>
        <v>0</v>
      </c>
      <c r="AK18" s="37">
        <f t="shared" si="35"/>
        <v>0</v>
      </c>
      <c r="AL18" s="37">
        <f t="shared" si="35"/>
        <v>0</v>
      </c>
      <c r="AM18" s="37">
        <f t="shared" si="35"/>
        <v>0</v>
      </c>
      <c r="AN18" s="37">
        <f t="shared" si="35"/>
        <v>0</v>
      </c>
      <c r="AO18" s="37">
        <f t="shared" si="35"/>
        <v>0</v>
      </c>
      <c r="AP18" s="37">
        <f t="shared" si="35"/>
        <v>0</v>
      </c>
      <c r="AQ18" s="37">
        <f t="shared" si="35"/>
        <v>0</v>
      </c>
      <c r="AR18" s="37">
        <f t="shared" si="35"/>
        <v>0</v>
      </c>
      <c r="AS18" s="37">
        <f t="shared" si="35"/>
        <v>0</v>
      </c>
      <c r="AT18" s="78">
        <f t="shared" si="35"/>
        <v>0</v>
      </c>
      <c r="AU18" s="37">
        <f t="shared" si="35"/>
        <v>0</v>
      </c>
      <c r="AV18" s="37">
        <f t="shared" si="35"/>
        <v>0</v>
      </c>
      <c r="AW18" s="37">
        <f t="shared" si="35"/>
        <v>0</v>
      </c>
      <c r="AX18" s="37">
        <f t="shared" si="35"/>
        <v>0</v>
      </c>
      <c r="AY18" s="37">
        <f t="shared" si="35"/>
        <v>0</v>
      </c>
      <c r="AZ18" s="37">
        <f t="shared" si="35"/>
        <v>0</v>
      </c>
      <c r="BA18" s="37">
        <f t="shared" si="35"/>
        <v>0</v>
      </c>
      <c r="BB18" s="37">
        <f>SUM(BB19:BB21)</f>
        <v>0</v>
      </c>
      <c r="BC18" s="34"/>
      <c r="BD18" s="38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</row>
    <row r="19" spans="1:79" s="47" customFormat="1" ht="15" hidden="1" customHeight="1" x14ac:dyDescent="0.25">
      <c r="A19" s="91"/>
      <c r="B19" s="42"/>
      <c r="C19" s="43">
        <v>914</v>
      </c>
      <c r="D19" s="44"/>
      <c r="E19" s="45">
        <v>6052</v>
      </c>
      <c r="F19" s="45"/>
      <c r="G19" s="45"/>
      <c r="H19" s="45"/>
      <c r="I19" s="45"/>
      <c r="J19" s="45"/>
      <c r="K19" s="45"/>
      <c r="L19" s="45">
        <f>-510</f>
        <v>-510</v>
      </c>
      <c r="M19" s="45">
        <v>-1104</v>
      </c>
      <c r="N19" s="45"/>
      <c r="O19" s="79">
        <f>-510</f>
        <v>-510</v>
      </c>
      <c r="P19" s="45"/>
      <c r="Q19" s="45"/>
      <c r="R19" s="45"/>
      <c r="S19" s="45"/>
      <c r="T19" s="45"/>
      <c r="U19" s="45"/>
      <c r="V19" s="45">
        <f t="shared" ref="V19" si="36">SUM(D19:U19)</f>
        <v>3928</v>
      </c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79"/>
      <c r="AH19" s="45"/>
      <c r="AI19" s="45"/>
      <c r="AJ19" s="45"/>
      <c r="AK19" s="45"/>
      <c r="AL19" s="45">
        <f>SUM(W19:AK19)</f>
        <v>0</v>
      </c>
      <c r="AM19" s="45"/>
      <c r="AN19" s="45"/>
      <c r="AO19" s="45"/>
      <c r="AP19" s="45"/>
      <c r="AQ19" s="45"/>
      <c r="AR19" s="45"/>
      <c r="AS19" s="45"/>
      <c r="AT19" s="79"/>
      <c r="AU19" s="45"/>
      <c r="AV19" s="45"/>
      <c r="AW19" s="45"/>
      <c r="AX19" s="45"/>
      <c r="AY19" s="45"/>
      <c r="AZ19" s="45"/>
      <c r="BA19" s="45"/>
      <c r="BB19" s="45">
        <f t="shared" ref="BB19:BB20" si="37">SUM(AM19:BA19)</f>
        <v>0</v>
      </c>
    </row>
    <row r="20" spans="1:79" s="47" customFormat="1" ht="17.25" hidden="1" customHeight="1" x14ac:dyDescent="0.25">
      <c r="A20" s="91"/>
      <c r="B20" s="42"/>
      <c r="C20" s="43">
        <v>917</v>
      </c>
      <c r="D20" s="44">
        <f>19042+106+5500+567142+3177+14530+25670</f>
        <v>635167</v>
      </c>
      <c r="E20" s="45"/>
      <c r="F20" s="45">
        <f>-6586</f>
        <v>-6586</v>
      </c>
      <c r="G20" s="45">
        <v>2714</v>
      </c>
      <c r="H20" s="45">
        <f>-162</f>
        <v>-162</v>
      </c>
      <c r="I20" s="45">
        <v>-162</v>
      </c>
      <c r="J20" s="45">
        <f>3749+400+280+375-3808-1029-1949</f>
        <v>-1982</v>
      </c>
      <c r="K20" s="45"/>
      <c r="L20" s="45">
        <v>655</v>
      </c>
      <c r="M20" s="45">
        <f>-518-1222-106</f>
        <v>-1846</v>
      </c>
      <c r="N20" s="45">
        <v>2397</v>
      </c>
      <c r="O20" s="79">
        <v>-1291</v>
      </c>
      <c r="P20" s="45"/>
      <c r="Q20" s="45"/>
      <c r="R20" s="45"/>
      <c r="S20" s="45"/>
      <c r="T20" s="45"/>
      <c r="U20" s="45"/>
      <c r="V20" s="45">
        <f>SUM(D20:U20)</f>
        <v>628904</v>
      </c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79"/>
      <c r="AH20" s="45"/>
      <c r="AI20" s="45"/>
      <c r="AJ20" s="45"/>
      <c r="AK20" s="45"/>
      <c r="AL20" s="45">
        <f>SUM(W20:AK20)</f>
        <v>0</v>
      </c>
      <c r="AM20" s="45"/>
      <c r="AN20" s="45"/>
      <c r="AO20" s="45"/>
      <c r="AP20" s="45"/>
      <c r="AQ20" s="45"/>
      <c r="AR20" s="45"/>
      <c r="AS20" s="45"/>
      <c r="AT20" s="79"/>
      <c r="AU20" s="45"/>
      <c r="AV20" s="45"/>
      <c r="AW20" s="45"/>
      <c r="AX20" s="45"/>
      <c r="AY20" s="45"/>
      <c r="AZ20" s="45"/>
      <c r="BA20" s="45"/>
      <c r="BB20" s="45">
        <f t="shared" si="37"/>
        <v>0</v>
      </c>
    </row>
    <row r="21" spans="1:79" s="47" customFormat="1" ht="17.25" hidden="1" customHeight="1" x14ac:dyDescent="0.25">
      <c r="A21" s="91"/>
      <c r="B21" s="42"/>
      <c r="C21" s="43">
        <v>920</v>
      </c>
      <c r="D21" s="4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79"/>
      <c r="P21" s="45"/>
      <c r="Q21" s="45"/>
      <c r="R21" s="45"/>
      <c r="S21" s="45"/>
      <c r="T21" s="45"/>
      <c r="U21" s="45"/>
      <c r="V21" s="45">
        <f>SUM(D21:U21)</f>
        <v>0</v>
      </c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79"/>
      <c r="AH21" s="45"/>
      <c r="AI21" s="45"/>
      <c r="AJ21" s="45"/>
      <c r="AK21" s="45"/>
      <c r="AL21" s="45">
        <f>SUM(W21:AK21)</f>
        <v>0</v>
      </c>
      <c r="AM21" s="45"/>
      <c r="AN21" s="45"/>
      <c r="AO21" s="45"/>
      <c r="AP21" s="45"/>
      <c r="AQ21" s="45"/>
      <c r="AR21" s="45"/>
      <c r="AS21" s="45"/>
      <c r="AT21" s="79"/>
      <c r="AU21" s="45"/>
      <c r="AV21" s="45"/>
      <c r="AW21" s="45"/>
      <c r="AX21" s="45"/>
      <c r="AY21" s="45"/>
      <c r="AZ21" s="45"/>
      <c r="BA21" s="45"/>
      <c r="BB21" s="45">
        <f t="shared" ref="BB21" si="38">SUM(AM21:BA21)</f>
        <v>0</v>
      </c>
    </row>
    <row r="22" spans="1:79" s="19" customFormat="1" ht="35.25" customHeight="1" x14ac:dyDescent="0.25">
      <c r="A22" s="90" t="s">
        <v>11</v>
      </c>
      <c r="B22" s="35" t="s">
        <v>39</v>
      </c>
      <c r="C22" s="36" t="s">
        <v>91</v>
      </c>
      <c r="D22" s="37">
        <f>SUM(D23:D24)</f>
        <v>41206</v>
      </c>
      <c r="E22" s="37">
        <f t="shared" ref="E22:U22" si="39">SUM(E23:E24)</f>
        <v>56</v>
      </c>
      <c r="F22" s="37">
        <f t="shared" si="39"/>
        <v>-2695</v>
      </c>
      <c r="G22" s="37">
        <f t="shared" si="39"/>
        <v>0</v>
      </c>
      <c r="H22" s="37">
        <f t="shared" si="39"/>
        <v>0</v>
      </c>
      <c r="I22" s="37">
        <f t="shared" si="39"/>
        <v>0</v>
      </c>
      <c r="J22" s="37">
        <f t="shared" si="39"/>
        <v>0</v>
      </c>
      <c r="K22" s="37">
        <f t="shared" si="39"/>
        <v>0</v>
      </c>
      <c r="L22" s="37">
        <f t="shared" si="39"/>
        <v>0</v>
      </c>
      <c r="M22" s="37">
        <f t="shared" si="39"/>
        <v>0</v>
      </c>
      <c r="N22" s="37">
        <f t="shared" si="39"/>
        <v>0</v>
      </c>
      <c r="O22" s="78">
        <f t="shared" si="39"/>
        <v>-8</v>
      </c>
      <c r="P22" s="37">
        <f t="shared" si="39"/>
        <v>0</v>
      </c>
      <c r="Q22" s="37">
        <f t="shared" si="39"/>
        <v>0</v>
      </c>
      <c r="R22" s="37">
        <f t="shared" si="39"/>
        <v>0</v>
      </c>
      <c r="S22" s="37">
        <f t="shared" si="39"/>
        <v>0</v>
      </c>
      <c r="T22" s="37">
        <f t="shared" si="39"/>
        <v>0</v>
      </c>
      <c r="U22" s="37">
        <f t="shared" si="39"/>
        <v>0</v>
      </c>
      <c r="V22" s="37">
        <f>SUM(V23:V24)</f>
        <v>38559</v>
      </c>
      <c r="W22" s="37">
        <f t="shared" ref="W22:BB22" si="40">SUM(W23:W24)</f>
        <v>41206</v>
      </c>
      <c r="X22" s="37">
        <f t="shared" si="40"/>
        <v>56</v>
      </c>
      <c r="Y22" s="37">
        <f t="shared" si="40"/>
        <v>148</v>
      </c>
      <c r="Z22" s="37">
        <f t="shared" si="40"/>
        <v>0</v>
      </c>
      <c r="AA22" s="37">
        <f t="shared" si="40"/>
        <v>0</v>
      </c>
      <c r="AB22" s="37">
        <f t="shared" si="40"/>
        <v>0</v>
      </c>
      <c r="AC22" s="37">
        <f t="shared" si="40"/>
        <v>0</v>
      </c>
      <c r="AD22" s="37">
        <f t="shared" si="40"/>
        <v>0</v>
      </c>
      <c r="AE22" s="37">
        <f t="shared" si="40"/>
        <v>0</v>
      </c>
      <c r="AF22" s="37">
        <f t="shared" si="40"/>
        <v>0</v>
      </c>
      <c r="AG22" s="78">
        <f t="shared" si="40"/>
        <v>0</v>
      </c>
      <c r="AH22" s="37">
        <f t="shared" si="40"/>
        <v>0</v>
      </c>
      <c r="AI22" s="37">
        <f t="shared" si="40"/>
        <v>0</v>
      </c>
      <c r="AJ22" s="37">
        <f t="shared" si="40"/>
        <v>0</v>
      </c>
      <c r="AK22" s="37">
        <f t="shared" si="40"/>
        <v>0</v>
      </c>
      <c r="AL22" s="37">
        <f t="shared" si="40"/>
        <v>41410</v>
      </c>
      <c r="AM22" s="37">
        <f t="shared" si="40"/>
        <v>33007</v>
      </c>
      <c r="AN22" s="37">
        <f t="shared" si="40"/>
        <v>56</v>
      </c>
      <c r="AO22" s="37">
        <f t="shared" si="40"/>
        <v>8347</v>
      </c>
      <c r="AP22" s="37">
        <f t="shared" si="40"/>
        <v>0</v>
      </c>
      <c r="AQ22" s="37">
        <f t="shared" si="40"/>
        <v>0</v>
      </c>
      <c r="AR22" s="37">
        <f t="shared" si="40"/>
        <v>0</v>
      </c>
      <c r="AS22" s="37">
        <f t="shared" si="40"/>
        <v>0</v>
      </c>
      <c r="AT22" s="78">
        <f t="shared" si="40"/>
        <v>0</v>
      </c>
      <c r="AU22" s="37">
        <f t="shared" si="40"/>
        <v>0</v>
      </c>
      <c r="AV22" s="37">
        <f t="shared" si="40"/>
        <v>0</v>
      </c>
      <c r="AW22" s="37">
        <f t="shared" si="40"/>
        <v>0</v>
      </c>
      <c r="AX22" s="37">
        <f t="shared" si="40"/>
        <v>0</v>
      </c>
      <c r="AY22" s="37">
        <f t="shared" si="40"/>
        <v>0</v>
      </c>
      <c r="AZ22" s="37">
        <f t="shared" si="40"/>
        <v>0</v>
      </c>
      <c r="BA22" s="37">
        <f t="shared" si="40"/>
        <v>0</v>
      </c>
      <c r="BB22" s="37">
        <f t="shared" si="40"/>
        <v>41410</v>
      </c>
    </row>
    <row r="23" spans="1:79" s="19" customFormat="1" ht="15.75" hidden="1" x14ac:dyDescent="0.25">
      <c r="A23" s="90"/>
      <c r="B23" s="42"/>
      <c r="C23" s="43">
        <v>913</v>
      </c>
      <c r="D23" s="58">
        <v>41206</v>
      </c>
      <c r="E23" s="58">
        <v>56</v>
      </c>
      <c r="F23" s="58">
        <v>-2695</v>
      </c>
      <c r="G23" s="58"/>
      <c r="H23" s="58"/>
      <c r="I23" s="58"/>
      <c r="J23" s="58"/>
      <c r="K23" s="58"/>
      <c r="L23" s="58"/>
      <c r="M23" s="58"/>
      <c r="N23" s="58"/>
      <c r="O23" s="78">
        <f>-8</f>
        <v>-8</v>
      </c>
      <c r="P23" s="58"/>
      <c r="Q23" s="58"/>
      <c r="R23" s="58"/>
      <c r="S23" s="58"/>
      <c r="T23" s="58"/>
      <c r="U23" s="58"/>
      <c r="V23" s="45">
        <f>SUM(D23:U23)</f>
        <v>38559</v>
      </c>
      <c r="W23" s="58">
        <v>41206</v>
      </c>
      <c r="X23" s="58">
        <v>56</v>
      </c>
      <c r="Y23" s="58">
        <v>148</v>
      </c>
      <c r="Z23" s="58"/>
      <c r="AA23" s="58"/>
      <c r="AB23" s="58"/>
      <c r="AC23" s="58"/>
      <c r="AD23" s="58"/>
      <c r="AE23" s="58"/>
      <c r="AF23" s="58"/>
      <c r="AG23" s="78"/>
      <c r="AH23" s="58"/>
      <c r="AI23" s="58"/>
      <c r="AJ23" s="58"/>
      <c r="AK23" s="58"/>
      <c r="AL23" s="45">
        <f>SUM(W23:AK23)</f>
        <v>41410</v>
      </c>
      <c r="AM23" s="58">
        <v>33007</v>
      </c>
      <c r="AN23" s="58">
        <v>56</v>
      </c>
      <c r="AO23" s="58">
        <v>8347</v>
      </c>
      <c r="AP23" s="58"/>
      <c r="AQ23" s="58"/>
      <c r="AR23" s="58"/>
      <c r="AS23" s="58"/>
      <c r="AT23" s="78"/>
      <c r="AU23" s="58"/>
      <c r="AV23" s="58"/>
      <c r="AW23" s="58"/>
      <c r="AX23" s="58"/>
      <c r="AY23" s="58"/>
      <c r="AZ23" s="58"/>
      <c r="BA23" s="58"/>
      <c r="BB23" s="45">
        <f t="shared" ref="BB23" si="41">SUM(AM23:BA23)</f>
        <v>41410</v>
      </c>
    </row>
    <row r="24" spans="1:79" s="19" customFormat="1" ht="15.75" hidden="1" x14ac:dyDescent="0.25">
      <c r="A24" s="90"/>
      <c r="B24" s="42"/>
      <c r="C24" s="43">
        <v>920</v>
      </c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78"/>
      <c r="P24" s="58"/>
      <c r="Q24" s="58"/>
      <c r="R24" s="58"/>
      <c r="S24" s="58"/>
      <c r="T24" s="58"/>
      <c r="U24" s="58"/>
      <c r="V24" s="45">
        <f>SUM(D24:U24)</f>
        <v>0</v>
      </c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7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78"/>
      <c r="AU24" s="58"/>
      <c r="AV24" s="58"/>
      <c r="AW24" s="58"/>
      <c r="AX24" s="58"/>
      <c r="AY24" s="58"/>
      <c r="AZ24" s="58"/>
      <c r="BA24" s="58"/>
      <c r="BB24" s="58">
        <f>SUM(AM24:BA24)</f>
        <v>0</v>
      </c>
    </row>
    <row r="25" spans="1:79" s="19" customFormat="1" ht="31.5" x14ac:dyDescent="0.25">
      <c r="A25" s="90" t="s">
        <v>12</v>
      </c>
      <c r="B25" s="35" t="s">
        <v>40</v>
      </c>
      <c r="C25" s="36" t="s">
        <v>82</v>
      </c>
      <c r="D25" s="37">
        <f t="shared" ref="D25:AI25" si="42">SUM(D26:D29)</f>
        <v>100570</v>
      </c>
      <c r="E25" s="37">
        <f t="shared" si="42"/>
        <v>24218</v>
      </c>
      <c r="F25" s="37">
        <f t="shared" si="42"/>
        <v>0</v>
      </c>
      <c r="G25" s="37">
        <f t="shared" si="42"/>
        <v>0</v>
      </c>
      <c r="H25" s="37">
        <f t="shared" si="42"/>
        <v>0</v>
      </c>
      <c r="I25" s="37">
        <f t="shared" si="42"/>
        <v>0</v>
      </c>
      <c r="J25" s="37">
        <f t="shared" si="42"/>
        <v>15778</v>
      </c>
      <c r="K25" s="37">
        <f t="shared" si="42"/>
        <v>0</v>
      </c>
      <c r="L25" s="37">
        <f t="shared" si="42"/>
        <v>-6402</v>
      </c>
      <c r="M25" s="37">
        <f t="shared" si="42"/>
        <v>-763</v>
      </c>
      <c r="N25" s="37">
        <f t="shared" si="42"/>
        <v>0</v>
      </c>
      <c r="O25" s="78">
        <f t="shared" si="42"/>
        <v>-11182</v>
      </c>
      <c r="P25" s="37">
        <f t="shared" si="42"/>
        <v>0</v>
      </c>
      <c r="Q25" s="37">
        <f t="shared" si="42"/>
        <v>0</v>
      </c>
      <c r="R25" s="37">
        <f t="shared" si="42"/>
        <v>0</v>
      </c>
      <c r="S25" s="37">
        <f t="shared" si="42"/>
        <v>0</v>
      </c>
      <c r="T25" s="37">
        <f t="shared" si="42"/>
        <v>0</v>
      </c>
      <c r="U25" s="37">
        <f t="shared" si="42"/>
        <v>0</v>
      </c>
      <c r="V25" s="37">
        <f t="shared" si="42"/>
        <v>122219</v>
      </c>
      <c r="W25" s="37">
        <f t="shared" si="42"/>
        <v>2036</v>
      </c>
      <c r="X25" s="37">
        <f t="shared" si="42"/>
        <v>0</v>
      </c>
      <c r="Y25" s="37">
        <f t="shared" si="42"/>
        <v>0</v>
      </c>
      <c r="Z25" s="37">
        <f t="shared" si="42"/>
        <v>24218</v>
      </c>
      <c r="AA25" s="37">
        <f t="shared" si="42"/>
        <v>0</v>
      </c>
      <c r="AB25" s="37">
        <f t="shared" si="42"/>
        <v>0</v>
      </c>
      <c r="AC25" s="37">
        <f t="shared" si="42"/>
        <v>0</v>
      </c>
      <c r="AD25" s="37">
        <f t="shared" si="42"/>
        <v>0</v>
      </c>
      <c r="AE25" s="37">
        <f t="shared" si="42"/>
        <v>0</v>
      </c>
      <c r="AF25" s="37">
        <f t="shared" si="42"/>
        <v>0</v>
      </c>
      <c r="AG25" s="78">
        <f t="shared" si="42"/>
        <v>0</v>
      </c>
      <c r="AH25" s="37">
        <f t="shared" si="42"/>
        <v>0</v>
      </c>
      <c r="AI25" s="37">
        <f t="shared" si="42"/>
        <v>0</v>
      </c>
      <c r="AJ25" s="37">
        <f t="shared" ref="AJ25:BB25" si="43">SUM(AJ26:AJ29)</f>
        <v>0</v>
      </c>
      <c r="AK25" s="37">
        <f t="shared" si="43"/>
        <v>0</v>
      </c>
      <c r="AL25" s="37">
        <f t="shared" si="43"/>
        <v>26254</v>
      </c>
      <c r="AM25" s="37">
        <f t="shared" si="43"/>
        <v>2036</v>
      </c>
      <c r="AN25" s="37">
        <f t="shared" si="43"/>
        <v>0</v>
      </c>
      <c r="AO25" s="37">
        <f t="shared" si="43"/>
        <v>0</v>
      </c>
      <c r="AP25" s="37">
        <f t="shared" si="43"/>
        <v>24218</v>
      </c>
      <c r="AQ25" s="37">
        <f t="shared" si="43"/>
        <v>0</v>
      </c>
      <c r="AR25" s="37">
        <f t="shared" si="43"/>
        <v>0</v>
      </c>
      <c r="AS25" s="37">
        <f t="shared" si="43"/>
        <v>0</v>
      </c>
      <c r="AT25" s="78">
        <f t="shared" si="43"/>
        <v>0</v>
      </c>
      <c r="AU25" s="37">
        <f t="shared" si="43"/>
        <v>0</v>
      </c>
      <c r="AV25" s="37">
        <f t="shared" si="43"/>
        <v>0</v>
      </c>
      <c r="AW25" s="37">
        <f t="shared" si="43"/>
        <v>0</v>
      </c>
      <c r="AX25" s="37">
        <f t="shared" si="43"/>
        <v>0</v>
      </c>
      <c r="AY25" s="37">
        <f t="shared" si="43"/>
        <v>0</v>
      </c>
      <c r="AZ25" s="37">
        <f t="shared" si="43"/>
        <v>0</v>
      </c>
      <c r="BA25" s="37">
        <f t="shared" si="43"/>
        <v>0</v>
      </c>
      <c r="BB25" s="37">
        <f t="shared" si="43"/>
        <v>26254</v>
      </c>
    </row>
    <row r="26" spans="1:79" s="47" customFormat="1" ht="15.75" hidden="1" x14ac:dyDescent="0.25">
      <c r="A26" s="90"/>
      <c r="B26" s="42"/>
      <c r="C26" s="43">
        <v>913</v>
      </c>
      <c r="D26" s="44">
        <v>19722</v>
      </c>
      <c r="E26" s="45"/>
      <c r="F26" s="45"/>
      <c r="G26" s="45"/>
      <c r="H26" s="45"/>
      <c r="I26" s="45"/>
      <c r="J26" s="45">
        <v>15778</v>
      </c>
      <c r="K26" s="45"/>
      <c r="L26" s="45"/>
      <c r="M26" s="45"/>
      <c r="N26" s="45"/>
      <c r="O26" s="79">
        <f>-9208</f>
        <v>-9208</v>
      </c>
      <c r="P26" s="45"/>
      <c r="Q26" s="45"/>
      <c r="R26" s="45"/>
      <c r="S26" s="45"/>
      <c r="T26" s="45"/>
      <c r="U26" s="45"/>
      <c r="V26" s="45">
        <f t="shared" ref="V26:V29" si="44">SUM(D26:U26)</f>
        <v>26292</v>
      </c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79"/>
      <c r="AH26" s="45"/>
      <c r="AI26" s="45"/>
      <c r="AJ26" s="45"/>
      <c r="AK26" s="45"/>
      <c r="AL26" s="45">
        <f>SUM(W26:AK26)</f>
        <v>0</v>
      </c>
      <c r="AM26" s="45"/>
      <c r="AN26" s="45"/>
      <c r="AO26" s="45"/>
      <c r="AP26" s="45"/>
      <c r="AQ26" s="45"/>
      <c r="AR26" s="45"/>
      <c r="AS26" s="45"/>
      <c r="AT26" s="79"/>
      <c r="AU26" s="45"/>
      <c r="AV26" s="45"/>
      <c r="AW26" s="45"/>
      <c r="AX26" s="45"/>
      <c r="AY26" s="45"/>
      <c r="AZ26" s="45"/>
      <c r="BA26" s="45"/>
      <c r="BB26" s="45">
        <f t="shared" ref="BB26:BB29" si="45">SUM(AM26:BA26)</f>
        <v>0</v>
      </c>
    </row>
    <row r="27" spans="1:79" s="47" customFormat="1" ht="15.75" hidden="1" x14ac:dyDescent="0.25">
      <c r="A27" s="90"/>
      <c r="B27" s="42"/>
      <c r="C27" s="43">
        <v>915</v>
      </c>
      <c r="D27" s="45">
        <v>2036</v>
      </c>
      <c r="E27" s="45">
        <v>24218</v>
      </c>
      <c r="F27" s="45"/>
      <c r="G27" s="45"/>
      <c r="H27" s="45"/>
      <c r="I27" s="45"/>
      <c r="J27" s="45"/>
      <c r="K27" s="45"/>
      <c r="L27" s="45"/>
      <c r="M27" s="45">
        <v>-237</v>
      </c>
      <c r="N27" s="45"/>
      <c r="O27" s="79">
        <f>-389</f>
        <v>-389</v>
      </c>
      <c r="P27" s="45"/>
      <c r="Q27" s="45"/>
      <c r="R27" s="45"/>
      <c r="S27" s="45"/>
      <c r="T27" s="45"/>
      <c r="U27" s="45"/>
      <c r="V27" s="45">
        <f t="shared" si="44"/>
        <v>25628</v>
      </c>
      <c r="W27" s="45">
        <v>2036</v>
      </c>
      <c r="X27" s="45"/>
      <c r="Y27" s="45"/>
      <c r="Z27" s="45">
        <v>24218</v>
      </c>
      <c r="AA27" s="45"/>
      <c r="AB27" s="45"/>
      <c r="AC27" s="45"/>
      <c r="AD27" s="45"/>
      <c r="AE27" s="45"/>
      <c r="AF27" s="45"/>
      <c r="AG27" s="79"/>
      <c r="AH27" s="45"/>
      <c r="AI27" s="45"/>
      <c r="AJ27" s="45"/>
      <c r="AK27" s="45"/>
      <c r="AL27" s="45">
        <f>SUM(W27:AK27)</f>
        <v>26254</v>
      </c>
      <c r="AM27" s="45">
        <v>2036</v>
      </c>
      <c r="AN27" s="45"/>
      <c r="AO27" s="45"/>
      <c r="AP27" s="45">
        <v>24218</v>
      </c>
      <c r="AQ27" s="45"/>
      <c r="AR27" s="45"/>
      <c r="AS27" s="45"/>
      <c r="AT27" s="79"/>
      <c r="AU27" s="45"/>
      <c r="AV27" s="45"/>
      <c r="AW27" s="45"/>
      <c r="AX27" s="45"/>
      <c r="AY27" s="45"/>
      <c r="AZ27" s="45"/>
      <c r="BA27" s="45"/>
      <c r="BB27" s="45">
        <f t="shared" si="45"/>
        <v>26254</v>
      </c>
    </row>
    <row r="28" spans="1:79" s="47" customFormat="1" ht="15.75" hidden="1" x14ac:dyDescent="0.25">
      <c r="A28" s="90"/>
      <c r="B28" s="42"/>
      <c r="C28" s="43">
        <v>921</v>
      </c>
      <c r="D28" s="45">
        <f>59978+18179+655</f>
        <v>78812</v>
      </c>
      <c r="E28" s="45"/>
      <c r="F28" s="45"/>
      <c r="G28" s="45"/>
      <c r="H28" s="45"/>
      <c r="I28" s="45"/>
      <c r="J28" s="45"/>
      <c r="K28" s="45"/>
      <c r="L28" s="45">
        <f>-9966+3564</f>
        <v>-6402</v>
      </c>
      <c r="M28" s="45">
        <f>-25-150-12-126-60-126-27</f>
        <v>-526</v>
      </c>
      <c r="N28" s="45"/>
      <c r="O28" s="79">
        <v>-1585</v>
      </c>
      <c r="P28" s="45"/>
      <c r="Q28" s="45"/>
      <c r="R28" s="45"/>
      <c r="S28" s="45"/>
      <c r="T28" s="45"/>
      <c r="U28" s="45"/>
      <c r="V28" s="45">
        <f t="shared" si="44"/>
        <v>70299</v>
      </c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79"/>
      <c r="AH28" s="45"/>
      <c r="AI28" s="45"/>
      <c r="AJ28" s="45"/>
      <c r="AK28" s="45"/>
      <c r="AL28" s="45">
        <f>SUM(W28:AK28)</f>
        <v>0</v>
      </c>
      <c r="AM28" s="45"/>
      <c r="AN28" s="45"/>
      <c r="AO28" s="45"/>
      <c r="AP28" s="45"/>
      <c r="AQ28" s="45"/>
      <c r="AR28" s="45"/>
      <c r="AS28" s="45"/>
      <c r="AT28" s="79"/>
      <c r="AU28" s="45"/>
      <c r="AV28" s="45"/>
      <c r="AW28" s="45"/>
      <c r="AX28" s="45"/>
      <c r="AY28" s="45"/>
      <c r="AZ28" s="45"/>
      <c r="BA28" s="45"/>
      <c r="BB28" s="45">
        <f t="shared" si="45"/>
        <v>0</v>
      </c>
    </row>
    <row r="29" spans="1:79" s="47" customFormat="1" ht="15.75" hidden="1" x14ac:dyDescent="0.25">
      <c r="A29" s="90"/>
      <c r="B29" s="42"/>
      <c r="C29" s="43">
        <v>924</v>
      </c>
      <c r="D29" s="48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79"/>
      <c r="P29" s="45"/>
      <c r="Q29" s="45"/>
      <c r="R29" s="45"/>
      <c r="S29" s="45"/>
      <c r="T29" s="45"/>
      <c r="U29" s="45"/>
      <c r="V29" s="45">
        <f t="shared" si="44"/>
        <v>0</v>
      </c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79"/>
      <c r="AH29" s="45"/>
      <c r="AI29" s="45"/>
      <c r="AJ29" s="45"/>
      <c r="AK29" s="45"/>
      <c r="AL29" s="45">
        <f>SUM(W29:AK29)</f>
        <v>0</v>
      </c>
      <c r="AM29" s="45"/>
      <c r="AN29" s="45"/>
      <c r="AO29" s="45"/>
      <c r="AP29" s="45"/>
      <c r="AQ29" s="45"/>
      <c r="AR29" s="45"/>
      <c r="AS29" s="45"/>
      <c r="AT29" s="79"/>
      <c r="AU29" s="45"/>
      <c r="AV29" s="45"/>
      <c r="AW29" s="45"/>
      <c r="AX29" s="45"/>
      <c r="AY29" s="45"/>
      <c r="AZ29" s="45"/>
      <c r="BA29" s="45"/>
      <c r="BB29" s="45">
        <f t="shared" si="45"/>
        <v>0</v>
      </c>
    </row>
    <row r="30" spans="1:79" s="19" customFormat="1" ht="31.5" x14ac:dyDescent="0.25">
      <c r="A30" s="90" t="s">
        <v>13</v>
      </c>
      <c r="B30" s="35" t="s">
        <v>41</v>
      </c>
      <c r="C30" s="36" t="s">
        <v>76</v>
      </c>
      <c r="D30" s="37">
        <f>242</f>
        <v>242</v>
      </c>
      <c r="E30" s="13"/>
      <c r="F30" s="13"/>
      <c r="G30" s="13"/>
      <c r="H30" s="13"/>
      <c r="I30" s="13"/>
      <c r="J30" s="13">
        <v>-30</v>
      </c>
      <c r="K30" s="13"/>
      <c r="L30" s="13"/>
      <c r="M30" s="13"/>
      <c r="N30" s="13"/>
      <c r="O30" s="80">
        <f>-39-10</f>
        <v>-49</v>
      </c>
      <c r="P30" s="13"/>
      <c r="Q30" s="13"/>
      <c r="R30" s="13"/>
      <c r="S30" s="13"/>
      <c r="T30" s="13"/>
      <c r="U30" s="13"/>
      <c r="V30" s="13">
        <f>SUM(D30:U30)</f>
        <v>163</v>
      </c>
      <c r="W30" s="13">
        <v>242</v>
      </c>
      <c r="X30" s="13"/>
      <c r="Y30" s="13"/>
      <c r="Z30" s="13"/>
      <c r="AA30" s="13"/>
      <c r="AB30" s="13"/>
      <c r="AC30" s="13"/>
      <c r="AD30" s="13"/>
      <c r="AE30" s="13"/>
      <c r="AF30" s="13"/>
      <c r="AG30" s="80"/>
      <c r="AH30" s="13"/>
      <c r="AI30" s="13"/>
      <c r="AJ30" s="13"/>
      <c r="AK30" s="13"/>
      <c r="AL30" s="13">
        <f>SUM(W30:AK30)</f>
        <v>242</v>
      </c>
      <c r="AM30" s="13">
        <v>242</v>
      </c>
      <c r="AN30" s="13"/>
      <c r="AO30" s="13"/>
      <c r="AP30" s="13"/>
      <c r="AQ30" s="13"/>
      <c r="AR30" s="13"/>
      <c r="AS30" s="13"/>
      <c r="AT30" s="80"/>
      <c r="AU30" s="13"/>
      <c r="AV30" s="13"/>
      <c r="AW30" s="13"/>
      <c r="AX30" s="13"/>
      <c r="AY30" s="13"/>
      <c r="AZ30" s="13"/>
      <c r="BA30" s="13"/>
      <c r="BB30" s="37">
        <f>SUM(AM30:BA30)</f>
        <v>242</v>
      </c>
    </row>
    <row r="31" spans="1:79" s="19" customFormat="1" ht="33.75" customHeight="1" x14ac:dyDescent="0.25">
      <c r="A31" s="90" t="s">
        <v>14</v>
      </c>
      <c r="B31" s="35" t="s">
        <v>42</v>
      </c>
      <c r="C31" s="36" t="s">
        <v>98</v>
      </c>
      <c r="D31" s="37">
        <f t="shared" ref="D31" si="46">SUM(D32:D34)</f>
        <v>3132106</v>
      </c>
      <c r="E31" s="37">
        <f t="shared" ref="E31" si="47">SUM(E32:E34)</f>
        <v>-85977</v>
      </c>
      <c r="F31" s="37">
        <f t="shared" ref="F31" si="48">SUM(F32:F34)</f>
        <v>404180</v>
      </c>
      <c r="G31" s="37">
        <f t="shared" ref="G31" si="49">SUM(G32:G34)</f>
        <v>4413563</v>
      </c>
      <c r="H31" s="37">
        <f t="shared" ref="H31:I31" si="50">SUM(H32:H34)</f>
        <v>186739</v>
      </c>
      <c r="I31" s="37">
        <f t="shared" si="50"/>
        <v>3636</v>
      </c>
      <c r="J31" s="37">
        <f t="shared" ref="J31" si="51">SUM(J32:J34)</f>
        <v>12059</v>
      </c>
      <c r="K31" s="37">
        <f t="shared" ref="K31" si="52">SUM(K32:K34)</f>
        <v>0</v>
      </c>
      <c r="L31" s="37">
        <f t="shared" ref="L31" si="53">SUM(L32:L34)</f>
        <v>55459</v>
      </c>
      <c r="M31" s="37">
        <f t="shared" ref="M31" si="54">SUM(M32:M34)</f>
        <v>3826</v>
      </c>
      <c r="N31" s="37">
        <f t="shared" ref="N31" si="55">SUM(N32:N34)</f>
        <v>1194</v>
      </c>
      <c r="O31" s="78">
        <f t="shared" ref="O31" si="56">SUM(O32:O34)</f>
        <v>43197</v>
      </c>
      <c r="P31" s="37">
        <f t="shared" ref="P31" si="57">SUM(P32:P34)</f>
        <v>0</v>
      </c>
      <c r="Q31" s="37">
        <f t="shared" ref="Q31" si="58">SUM(Q32:Q34)</f>
        <v>0</v>
      </c>
      <c r="R31" s="37">
        <f t="shared" ref="R31" si="59">SUM(R32:R34)</f>
        <v>0</v>
      </c>
      <c r="S31" s="37">
        <f t="shared" ref="S31" si="60">SUM(S32:S34)</f>
        <v>0</v>
      </c>
      <c r="T31" s="37">
        <f t="shared" ref="T31" si="61">SUM(T32:T34)</f>
        <v>0</v>
      </c>
      <c r="U31" s="37">
        <f t="shared" ref="U31" si="62">SUM(U32:U34)</f>
        <v>0</v>
      </c>
      <c r="V31" s="37">
        <f t="shared" ref="V31" si="63">SUM(V32:V34)</f>
        <v>8169982</v>
      </c>
      <c r="W31" s="37">
        <f t="shared" ref="W31" si="64">SUM(W32:W34)</f>
        <v>2643836</v>
      </c>
      <c r="X31" s="37">
        <f t="shared" ref="X31" si="65">SUM(X32:X34)</f>
        <v>38344</v>
      </c>
      <c r="Y31" s="37">
        <f t="shared" ref="Y31" si="66">SUM(Y32:Y34)</f>
        <v>382525</v>
      </c>
      <c r="Z31" s="37">
        <f t="shared" ref="Z31" si="67">SUM(Z32:Z34)</f>
        <v>4448317</v>
      </c>
      <c r="AA31" s="37">
        <f t="shared" ref="AA31" si="68">SUM(AA32:AA34)</f>
        <v>65642</v>
      </c>
      <c r="AB31" s="37">
        <f t="shared" ref="AB31" si="69">SUM(AB32:AB34)</f>
        <v>-43</v>
      </c>
      <c r="AC31" s="37">
        <f t="shared" ref="AC31" si="70">SUM(AC32:AC34)</f>
        <v>0</v>
      </c>
      <c r="AD31" s="37">
        <f t="shared" ref="AD31" si="71">SUM(AD32:AD34)</f>
        <v>0</v>
      </c>
      <c r="AE31" s="37">
        <f t="shared" ref="AE31" si="72">SUM(AE32:AE34)</f>
        <v>3547</v>
      </c>
      <c r="AF31" s="37">
        <f t="shared" ref="AF31" si="73">SUM(AF32:AF34)</f>
        <v>0</v>
      </c>
      <c r="AG31" s="78">
        <f t="shared" ref="AG31" si="74">SUM(AG32:AG34)</f>
        <v>0</v>
      </c>
      <c r="AH31" s="37">
        <f t="shared" ref="AH31" si="75">SUM(AH32:AH34)</f>
        <v>0</v>
      </c>
      <c r="AI31" s="37">
        <f t="shared" ref="AI31" si="76">SUM(AI32:AI34)</f>
        <v>0</v>
      </c>
      <c r="AJ31" s="37">
        <f t="shared" ref="AJ31" si="77">SUM(AJ32:AJ34)</f>
        <v>0</v>
      </c>
      <c r="AK31" s="37">
        <f t="shared" ref="AK31" si="78">SUM(AK32:AK34)</f>
        <v>0</v>
      </c>
      <c r="AL31" s="37">
        <f t="shared" ref="AL31:BA31" si="79">SUM(AL32:AL34)</f>
        <v>7582168</v>
      </c>
      <c r="AM31" s="37">
        <f t="shared" si="79"/>
        <v>2195221</v>
      </c>
      <c r="AN31" s="37">
        <f t="shared" si="79"/>
        <v>140657</v>
      </c>
      <c r="AO31" s="37">
        <f t="shared" si="79"/>
        <v>423785</v>
      </c>
      <c r="AP31" s="37">
        <f t="shared" si="79"/>
        <v>4524453</v>
      </c>
      <c r="AQ31" s="37">
        <f t="shared" si="79"/>
        <v>65642</v>
      </c>
      <c r="AR31" s="37">
        <f t="shared" si="79"/>
        <v>-43</v>
      </c>
      <c r="AS31" s="37">
        <f t="shared" si="79"/>
        <v>0</v>
      </c>
      <c r="AT31" s="78">
        <f t="shared" si="79"/>
        <v>0</v>
      </c>
      <c r="AU31" s="37">
        <f t="shared" si="79"/>
        <v>0</v>
      </c>
      <c r="AV31" s="37">
        <f t="shared" si="79"/>
        <v>0</v>
      </c>
      <c r="AW31" s="37">
        <f t="shared" si="79"/>
        <v>0</v>
      </c>
      <c r="AX31" s="37">
        <f t="shared" si="79"/>
        <v>0</v>
      </c>
      <c r="AY31" s="37">
        <f t="shared" si="79"/>
        <v>0</v>
      </c>
      <c r="AZ31" s="37">
        <f t="shared" si="79"/>
        <v>0</v>
      </c>
      <c r="BA31" s="37">
        <f t="shared" si="79"/>
        <v>0</v>
      </c>
      <c r="BB31" s="37">
        <f>SUM(BB32:BB34)</f>
        <v>7349715</v>
      </c>
    </row>
    <row r="32" spans="1:79" s="47" customFormat="1" ht="15" hidden="1" customHeight="1" x14ac:dyDescent="0.25">
      <c r="A32" s="91"/>
      <c r="B32" s="42"/>
      <c r="C32" s="43">
        <v>913</v>
      </c>
      <c r="D32" s="45">
        <f>2245322-313+1047-798</f>
        <v>2245258</v>
      </c>
      <c r="E32" s="45">
        <v>57121</v>
      </c>
      <c r="F32" s="45">
        <f>310173+76050</f>
        <v>386223</v>
      </c>
      <c r="G32" s="45">
        <f>4384534+29029</f>
        <v>4413563</v>
      </c>
      <c r="H32" s="45">
        <f>-188295+253937+2591+113485</f>
        <v>181718</v>
      </c>
      <c r="I32" s="45">
        <f>-11+3647</f>
        <v>3636</v>
      </c>
      <c r="J32" s="45">
        <f>508+791+10140+620</f>
        <v>12059</v>
      </c>
      <c r="K32" s="45"/>
      <c r="L32" s="45">
        <f>13859+605+3757+8143-23801</f>
        <v>2563</v>
      </c>
      <c r="M32" s="45">
        <f>3645</f>
        <v>3645</v>
      </c>
      <c r="N32" s="45">
        <f>1194</f>
        <v>1194</v>
      </c>
      <c r="O32" s="79">
        <f>-3589+32657-74-6614-2225+67347-38229+135</f>
        <v>49408</v>
      </c>
      <c r="P32" s="45"/>
      <c r="Q32" s="45"/>
      <c r="R32" s="45"/>
      <c r="S32" s="45"/>
      <c r="T32" s="45"/>
      <c r="U32" s="45"/>
      <c r="V32" s="45">
        <f t="shared" ref="V32:V33" si="80">SUM(D32:U32)</f>
        <v>7356388</v>
      </c>
      <c r="W32" s="45">
        <f>2213235</f>
        <v>2213235</v>
      </c>
      <c r="X32" s="45">
        <v>14185</v>
      </c>
      <c r="Y32" s="45">
        <f>327752+54773</f>
        <v>382525</v>
      </c>
      <c r="Z32" s="45">
        <f>4418381+29936</f>
        <v>4448317</v>
      </c>
      <c r="AA32" s="45">
        <f>-188295+253937</f>
        <v>65642</v>
      </c>
      <c r="AB32" s="45">
        <f>-43</f>
        <v>-43</v>
      </c>
      <c r="AC32" s="45"/>
      <c r="AD32" s="45"/>
      <c r="AE32" s="45">
        <f>3547</f>
        <v>3547</v>
      </c>
      <c r="AF32" s="45"/>
      <c r="AG32" s="79"/>
      <c r="AH32" s="45"/>
      <c r="AI32" s="45"/>
      <c r="AJ32" s="45"/>
      <c r="AK32" s="45"/>
      <c r="AL32" s="45">
        <f>SUM(W32:AK32)</f>
        <v>7127408</v>
      </c>
      <c r="AM32" s="45">
        <v>2195221</v>
      </c>
      <c r="AN32" s="45">
        <v>14185</v>
      </c>
      <c r="AO32" s="45">
        <f>369012+54773</f>
        <v>423785</v>
      </c>
      <c r="AP32" s="45">
        <f>4494517+29936</f>
        <v>4524453</v>
      </c>
      <c r="AQ32" s="45">
        <f>-188295+253937</f>
        <v>65642</v>
      </c>
      <c r="AR32" s="45">
        <f>-43</f>
        <v>-43</v>
      </c>
      <c r="AS32" s="45"/>
      <c r="AT32" s="79"/>
      <c r="AU32" s="45"/>
      <c r="AV32" s="45"/>
      <c r="AW32" s="45"/>
      <c r="AX32" s="45"/>
      <c r="AY32" s="45"/>
      <c r="AZ32" s="45"/>
      <c r="BA32" s="45"/>
      <c r="BB32" s="45">
        <f t="shared" ref="BB32:BB33" si="81">SUM(AM32:BA32)</f>
        <v>7223243</v>
      </c>
    </row>
    <row r="33" spans="1:54" s="47" customFormat="1" ht="15" hidden="1" customHeight="1" x14ac:dyDescent="0.25">
      <c r="A33" s="91"/>
      <c r="B33" s="42"/>
      <c r="C33" s="43">
        <v>914</v>
      </c>
      <c r="D33" s="45">
        <f>184010+702838</f>
        <v>886848</v>
      </c>
      <c r="E33" s="45">
        <f>-143098</f>
        <v>-143098</v>
      </c>
      <c r="F33" s="45">
        <f>17957</f>
        <v>17957</v>
      </c>
      <c r="G33" s="45"/>
      <c r="H33" s="45">
        <f>5021</f>
        <v>5021</v>
      </c>
      <c r="I33" s="45"/>
      <c r="J33" s="45"/>
      <c r="K33" s="45"/>
      <c r="L33" s="45">
        <f>-1828+54724</f>
        <v>52896</v>
      </c>
      <c r="M33" s="45">
        <v>181</v>
      </c>
      <c r="N33" s="45"/>
      <c r="O33" s="79">
        <f>184-6395</f>
        <v>-6211</v>
      </c>
      <c r="P33" s="45"/>
      <c r="Q33" s="45"/>
      <c r="R33" s="45"/>
      <c r="S33" s="45"/>
      <c r="T33" s="45"/>
      <c r="U33" s="45"/>
      <c r="V33" s="45">
        <f t="shared" si="80"/>
        <v>813594</v>
      </c>
      <c r="W33" s="45">
        <v>430601</v>
      </c>
      <c r="X33" s="45">
        <v>24159</v>
      </c>
      <c r="Y33" s="45"/>
      <c r="Z33" s="45"/>
      <c r="AA33" s="45"/>
      <c r="AB33" s="45"/>
      <c r="AC33" s="45"/>
      <c r="AD33" s="45"/>
      <c r="AE33" s="45"/>
      <c r="AF33" s="45"/>
      <c r="AG33" s="79"/>
      <c r="AH33" s="45"/>
      <c r="AI33" s="45"/>
      <c r="AJ33" s="45"/>
      <c r="AK33" s="45"/>
      <c r="AL33" s="45">
        <f>SUM(W33:AK33)</f>
        <v>454760</v>
      </c>
      <c r="AM33" s="45"/>
      <c r="AN33" s="45">
        <v>126472</v>
      </c>
      <c r="AO33" s="45"/>
      <c r="AP33" s="45"/>
      <c r="AQ33" s="45"/>
      <c r="AR33" s="45"/>
      <c r="AS33" s="45"/>
      <c r="AT33" s="79"/>
      <c r="AU33" s="45"/>
      <c r="AV33" s="45"/>
      <c r="AW33" s="45"/>
      <c r="AX33" s="45"/>
      <c r="AY33" s="45"/>
      <c r="AZ33" s="45"/>
      <c r="BA33" s="45"/>
      <c r="BB33" s="45">
        <f t="shared" si="81"/>
        <v>126472</v>
      </c>
    </row>
    <row r="34" spans="1:54" s="47" customFormat="1" ht="15.75" hidden="1" x14ac:dyDescent="0.25">
      <c r="A34" s="91"/>
      <c r="B34" s="42"/>
      <c r="C34" s="43">
        <v>920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79"/>
      <c r="P34" s="45"/>
      <c r="Q34" s="45"/>
      <c r="R34" s="45"/>
      <c r="S34" s="45"/>
      <c r="T34" s="45"/>
      <c r="U34" s="45"/>
      <c r="V34" s="45">
        <f t="shared" ref="V34" si="82">SUM(D34:U34)</f>
        <v>0</v>
      </c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79"/>
      <c r="AH34" s="45"/>
      <c r="AI34" s="45"/>
      <c r="AJ34" s="45"/>
      <c r="AK34" s="45"/>
      <c r="AL34" s="45">
        <f>SUM(W34:AK34)</f>
        <v>0</v>
      </c>
      <c r="AM34" s="45"/>
      <c r="AN34" s="45"/>
      <c r="AO34" s="45"/>
      <c r="AP34" s="45"/>
      <c r="AQ34" s="45"/>
      <c r="AR34" s="45"/>
      <c r="AS34" s="45"/>
      <c r="AT34" s="79"/>
      <c r="AU34" s="45"/>
      <c r="AV34" s="45"/>
      <c r="AW34" s="45"/>
      <c r="AX34" s="45"/>
      <c r="AY34" s="45"/>
      <c r="AZ34" s="45"/>
      <c r="BA34" s="45"/>
      <c r="BB34" s="45">
        <f t="shared" ref="BB34" si="83">SUM(AM34:BA34)</f>
        <v>0</v>
      </c>
    </row>
    <row r="35" spans="1:54" s="19" customFormat="1" ht="31.5" x14ac:dyDescent="0.25">
      <c r="A35" s="90" t="s">
        <v>15</v>
      </c>
      <c r="B35" s="35" t="s">
        <v>43</v>
      </c>
      <c r="C35" s="66" t="s">
        <v>99</v>
      </c>
      <c r="D35" s="13">
        <f>131792+409400</f>
        <v>541192</v>
      </c>
      <c r="E35" s="13"/>
      <c r="F35" s="13">
        <v>-182306</v>
      </c>
      <c r="G35" s="13"/>
      <c r="H35" s="13"/>
      <c r="I35" s="13"/>
      <c r="J35" s="13"/>
      <c r="K35" s="13"/>
      <c r="L35" s="13"/>
      <c r="M35" s="13"/>
      <c r="N35" s="13"/>
      <c r="O35" s="80"/>
      <c r="P35" s="13"/>
      <c r="Q35" s="13"/>
      <c r="R35" s="13"/>
      <c r="S35" s="13"/>
      <c r="T35" s="13"/>
      <c r="U35" s="13"/>
      <c r="V35" s="13">
        <f>SUM(D35:U35)</f>
        <v>358886</v>
      </c>
      <c r="W35" s="13">
        <f>85896+409400+45896</f>
        <v>541192</v>
      </c>
      <c r="X35" s="13"/>
      <c r="Y35" s="13">
        <v>-184419</v>
      </c>
      <c r="Z35" s="13"/>
      <c r="AA35" s="13"/>
      <c r="AB35" s="13"/>
      <c r="AC35" s="13"/>
      <c r="AD35" s="13"/>
      <c r="AE35" s="13"/>
      <c r="AF35" s="13"/>
      <c r="AG35" s="80"/>
      <c r="AH35" s="13"/>
      <c r="AI35" s="13"/>
      <c r="AJ35" s="13"/>
      <c r="AK35" s="13"/>
      <c r="AL35" s="13">
        <f>SUM(W35:AK35)</f>
        <v>356773</v>
      </c>
      <c r="AM35" s="13">
        <f>85896+45896</f>
        <v>131792</v>
      </c>
      <c r="AN35" s="13"/>
      <c r="AO35" s="13">
        <v>223997</v>
      </c>
      <c r="AP35" s="13"/>
      <c r="AQ35" s="13"/>
      <c r="AR35" s="13"/>
      <c r="AS35" s="13"/>
      <c r="AT35" s="80"/>
      <c r="AU35" s="13"/>
      <c r="AV35" s="13"/>
      <c r="AW35" s="13"/>
      <c r="AX35" s="13"/>
      <c r="AY35" s="13"/>
      <c r="AZ35" s="13"/>
      <c r="BA35" s="13"/>
      <c r="BB35" s="13">
        <f>SUM(AM35:BA35)</f>
        <v>355789</v>
      </c>
    </row>
    <row r="36" spans="1:54" s="19" customFormat="1" ht="64.5" customHeight="1" x14ac:dyDescent="0.25">
      <c r="A36" s="90" t="s">
        <v>16</v>
      </c>
      <c r="B36" s="35" t="s">
        <v>44</v>
      </c>
      <c r="C36" s="36" t="s">
        <v>89</v>
      </c>
      <c r="D36" s="37">
        <f>SUM(D37:D41)</f>
        <v>85351</v>
      </c>
      <c r="E36" s="37">
        <f t="shared" ref="E36:V36" si="84">SUM(E37:E41)</f>
        <v>370</v>
      </c>
      <c r="F36" s="37">
        <f t="shared" si="84"/>
        <v>147</v>
      </c>
      <c r="G36" s="37">
        <f t="shared" si="84"/>
        <v>0</v>
      </c>
      <c r="H36" s="37">
        <f t="shared" si="84"/>
        <v>49</v>
      </c>
      <c r="I36" s="37">
        <f t="shared" si="84"/>
        <v>-84</v>
      </c>
      <c r="J36" s="37">
        <f t="shared" si="84"/>
        <v>0</v>
      </c>
      <c r="K36" s="37">
        <f t="shared" si="84"/>
        <v>0</v>
      </c>
      <c r="L36" s="37">
        <f t="shared" si="84"/>
        <v>1168</v>
      </c>
      <c r="M36" s="37">
        <f t="shared" si="84"/>
        <v>0</v>
      </c>
      <c r="N36" s="37">
        <f t="shared" si="84"/>
        <v>0</v>
      </c>
      <c r="O36" s="78">
        <f t="shared" si="84"/>
        <v>-238</v>
      </c>
      <c r="P36" s="37">
        <f t="shared" si="84"/>
        <v>0</v>
      </c>
      <c r="Q36" s="37">
        <f t="shared" si="84"/>
        <v>0</v>
      </c>
      <c r="R36" s="37">
        <f t="shared" si="84"/>
        <v>0</v>
      </c>
      <c r="S36" s="37">
        <f t="shared" si="84"/>
        <v>0</v>
      </c>
      <c r="T36" s="37">
        <f t="shared" si="84"/>
        <v>0</v>
      </c>
      <c r="U36" s="37">
        <f t="shared" si="84"/>
        <v>0</v>
      </c>
      <c r="V36" s="37">
        <f t="shared" si="84"/>
        <v>86763</v>
      </c>
      <c r="W36" s="37">
        <f t="shared" ref="W36:BB36" si="85">SUM(W37:W41)</f>
        <v>83656</v>
      </c>
      <c r="X36" s="37">
        <f t="shared" si="85"/>
        <v>70</v>
      </c>
      <c r="Y36" s="37">
        <f t="shared" si="85"/>
        <v>147</v>
      </c>
      <c r="Z36" s="37">
        <f t="shared" si="85"/>
        <v>0</v>
      </c>
      <c r="AA36" s="37">
        <f t="shared" si="85"/>
        <v>0</v>
      </c>
      <c r="AB36" s="37">
        <f t="shared" si="85"/>
        <v>0</v>
      </c>
      <c r="AC36" s="37">
        <f t="shared" si="85"/>
        <v>0</v>
      </c>
      <c r="AD36" s="37">
        <f t="shared" ref="AD36:AI36" si="86">SUM(AD37:AD41)</f>
        <v>0</v>
      </c>
      <c r="AE36" s="37">
        <f t="shared" ref="AE36" si="87">SUM(AE37:AE41)</f>
        <v>0</v>
      </c>
      <c r="AF36" s="37">
        <f t="shared" si="86"/>
        <v>0</v>
      </c>
      <c r="AG36" s="78">
        <f t="shared" si="86"/>
        <v>0</v>
      </c>
      <c r="AH36" s="37">
        <f t="shared" si="86"/>
        <v>0</v>
      </c>
      <c r="AI36" s="37">
        <f t="shared" si="86"/>
        <v>0</v>
      </c>
      <c r="AJ36" s="37">
        <f t="shared" si="85"/>
        <v>0</v>
      </c>
      <c r="AK36" s="37">
        <f t="shared" si="85"/>
        <v>0</v>
      </c>
      <c r="AL36" s="37">
        <f t="shared" si="85"/>
        <v>83873</v>
      </c>
      <c r="AM36" s="37">
        <f t="shared" si="85"/>
        <v>83656</v>
      </c>
      <c r="AN36" s="37">
        <f t="shared" si="85"/>
        <v>70</v>
      </c>
      <c r="AO36" s="37">
        <f t="shared" si="85"/>
        <v>147</v>
      </c>
      <c r="AP36" s="37">
        <f t="shared" si="85"/>
        <v>0</v>
      </c>
      <c r="AQ36" s="37">
        <f t="shared" si="85"/>
        <v>0</v>
      </c>
      <c r="AR36" s="37">
        <f t="shared" si="85"/>
        <v>0</v>
      </c>
      <c r="AS36" s="37">
        <f t="shared" si="85"/>
        <v>0</v>
      </c>
      <c r="AT36" s="78">
        <f t="shared" ref="AT36:AY36" si="88">SUM(AT37:AT41)</f>
        <v>0</v>
      </c>
      <c r="AU36" s="37">
        <f t="shared" si="88"/>
        <v>0</v>
      </c>
      <c r="AV36" s="37">
        <f t="shared" si="88"/>
        <v>0</v>
      </c>
      <c r="AW36" s="37">
        <f t="shared" si="88"/>
        <v>0</v>
      </c>
      <c r="AX36" s="37">
        <f t="shared" si="88"/>
        <v>0</v>
      </c>
      <c r="AY36" s="37">
        <f t="shared" si="88"/>
        <v>0</v>
      </c>
      <c r="AZ36" s="37">
        <f t="shared" si="85"/>
        <v>0</v>
      </c>
      <c r="BA36" s="37">
        <f t="shared" si="85"/>
        <v>0</v>
      </c>
      <c r="BB36" s="37">
        <f t="shared" si="85"/>
        <v>83873</v>
      </c>
    </row>
    <row r="37" spans="1:54" s="47" customFormat="1" hidden="1" x14ac:dyDescent="0.25">
      <c r="A37" s="118"/>
      <c r="B37" s="121"/>
      <c r="C37" s="43">
        <v>906</v>
      </c>
      <c r="D37" s="45">
        <f>77956+3321+1200</f>
        <v>82477</v>
      </c>
      <c r="E37" s="45">
        <f>300+63+7</f>
        <v>370</v>
      </c>
      <c r="F37" s="45">
        <v>147</v>
      </c>
      <c r="G37" s="45"/>
      <c r="H37" s="45">
        <f>133-73</f>
        <v>60</v>
      </c>
      <c r="I37" s="45">
        <v>-73</v>
      </c>
      <c r="J37" s="45">
        <f>74-74</f>
        <v>0</v>
      </c>
      <c r="K37" s="45"/>
      <c r="L37" s="45">
        <f>630+512+26</f>
        <v>1168</v>
      </c>
      <c r="M37" s="45"/>
      <c r="N37" s="45"/>
      <c r="O37" s="79">
        <f>-230-8</f>
        <v>-238</v>
      </c>
      <c r="P37" s="45"/>
      <c r="Q37" s="45"/>
      <c r="R37" s="45"/>
      <c r="S37" s="45"/>
      <c r="T37" s="45"/>
      <c r="U37" s="45"/>
      <c r="V37" s="45">
        <f t="shared" ref="V37:V41" si="89">SUM(D37:U37)</f>
        <v>83911</v>
      </c>
      <c r="W37" s="45">
        <f>77956+3321</f>
        <v>81277</v>
      </c>
      <c r="X37" s="45">
        <f>63+7</f>
        <v>70</v>
      </c>
      <c r="Y37" s="45">
        <v>147</v>
      </c>
      <c r="Z37" s="45"/>
      <c r="AA37" s="45"/>
      <c r="AB37" s="45"/>
      <c r="AC37" s="45"/>
      <c r="AD37" s="45"/>
      <c r="AE37" s="45"/>
      <c r="AF37" s="45"/>
      <c r="AG37" s="79"/>
      <c r="AH37" s="45"/>
      <c r="AI37" s="45"/>
      <c r="AJ37" s="45"/>
      <c r="AK37" s="45"/>
      <c r="AL37" s="45">
        <f t="shared" ref="AL37:AL41" si="90">SUM(W37:AK37)</f>
        <v>81494</v>
      </c>
      <c r="AM37" s="45">
        <f>77956+3321</f>
        <v>81277</v>
      </c>
      <c r="AN37" s="45">
        <f>63+7</f>
        <v>70</v>
      </c>
      <c r="AO37" s="45">
        <v>147</v>
      </c>
      <c r="AP37" s="45"/>
      <c r="AQ37" s="45"/>
      <c r="AR37" s="45"/>
      <c r="AS37" s="45"/>
      <c r="AT37" s="79"/>
      <c r="AU37" s="45"/>
      <c r="AV37" s="45"/>
      <c r="AW37" s="45"/>
      <c r="AX37" s="45"/>
      <c r="AY37" s="45"/>
      <c r="AZ37" s="45"/>
      <c r="BA37" s="45"/>
      <c r="BB37" s="45">
        <f t="shared" ref="BB37:BB41" si="91">SUM(AM37:BA37)</f>
        <v>81494</v>
      </c>
    </row>
    <row r="38" spans="1:54" s="47" customFormat="1" hidden="1" x14ac:dyDescent="0.25">
      <c r="A38" s="119"/>
      <c r="B38" s="121"/>
      <c r="C38" s="43">
        <v>912</v>
      </c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79"/>
      <c r="P38" s="45"/>
      <c r="Q38" s="45"/>
      <c r="R38" s="45"/>
      <c r="S38" s="45"/>
      <c r="T38" s="45"/>
      <c r="U38" s="45"/>
      <c r="V38" s="45">
        <f t="shared" si="89"/>
        <v>0</v>
      </c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79"/>
      <c r="AH38" s="45"/>
      <c r="AI38" s="45"/>
      <c r="AJ38" s="45"/>
      <c r="AK38" s="45"/>
      <c r="AL38" s="45">
        <f t="shared" si="90"/>
        <v>0</v>
      </c>
      <c r="AM38" s="45"/>
      <c r="AN38" s="45"/>
      <c r="AO38" s="45"/>
      <c r="AP38" s="45"/>
      <c r="AQ38" s="45"/>
      <c r="AR38" s="45"/>
      <c r="AS38" s="45"/>
      <c r="AT38" s="79"/>
      <c r="AU38" s="45"/>
      <c r="AV38" s="45"/>
      <c r="AW38" s="45"/>
      <c r="AX38" s="45"/>
      <c r="AY38" s="45"/>
      <c r="AZ38" s="45"/>
      <c r="BA38" s="45"/>
      <c r="BB38" s="45">
        <f t="shared" si="91"/>
        <v>0</v>
      </c>
    </row>
    <row r="39" spans="1:54" s="47" customFormat="1" hidden="1" x14ac:dyDescent="0.25">
      <c r="A39" s="119"/>
      <c r="B39" s="121"/>
      <c r="C39" s="43">
        <v>917</v>
      </c>
      <c r="D39" s="45">
        <v>495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79"/>
      <c r="P39" s="45"/>
      <c r="Q39" s="45"/>
      <c r="R39" s="45"/>
      <c r="S39" s="45"/>
      <c r="T39" s="45"/>
      <c r="U39" s="45"/>
      <c r="V39" s="45">
        <f t="shared" si="89"/>
        <v>495</v>
      </c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79"/>
      <c r="AH39" s="45"/>
      <c r="AI39" s="45"/>
      <c r="AJ39" s="45"/>
      <c r="AK39" s="45"/>
      <c r="AL39" s="45">
        <f t="shared" si="90"/>
        <v>0</v>
      </c>
      <c r="AM39" s="45"/>
      <c r="AN39" s="45"/>
      <c r="AO39" s="45"/>
      <c r="AP39" s="45"/>
      <c r="AQ39" s="45"/>
      <c r="AR39" s="45"/>
      <c r="AS39" s="45"/>
      <c r="AT39" s="79"/>
      <c r="AU39" s="45"/>
      <c r="AV39" s="45"/>
      <c r="AW39" s="45"/>
      <c r="AX39" s="45"/>
      <c r="AY39" s="45"/>
      <c r="AZ39" s="45"/>
      <c r="BA39" s="45"/>
      <c r="BB39" s="45">
        <f t="shared" si="91"/>
        <v>0</v>
      </c>
    </row>
    <row r="40" spans="1:54" s="47" customFormat="1" hidden="1" x14ac:dyDescent="0.25">
      <c r="A40" s="119"/>
      <c r="B40" s="121"/>
      <c r="C40" s="43">
        <v>920</v>
      </c>
      <c r="D40" s="45">
        <f>1809</f>
        <v>1809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79"/>
      <c r="P40" s="45"/>
      <c r="Q40" s="45"/>
      <c r="R40" s="45"/>
      <c r="S40" s="45"/>
      <c r="T40" s="45"/>
      <c r="U40" s="45"/>
      <c r="V40" s="45">
        <f t="shared" si="89"/>
        <v>1809</v>
      </c>
      <c r="W40" s="45">
        <v>1809</v>
      </c>
      <c r="X40" s="45"/>
      <c r="Y40" s="45"/>
      <c r="Z40" s="45"/>
      <c r="AA40" s="45"/>
      <c r="AB40" s="45"/>
      <c r="AC40" s="45"/>
      <c r="AD40" s="45"/>
      <c r="AE40" s="45"/>
      <c r="AF40" s="45"/>
      <c r="AG40" s="79"/>
      <c r="AH40" s="45"/>
      <c r="AI40" s="45"/>
      <c r="AJ40" s="45"/>
      <c r="AK40" s="45"/>
      <c r="AL40" s="45">
        <f t="shared" si="90"/>
        <v>1809</v>
      </c>
      <c r="AM40" s="45">
        <v>1809</v>
      </c>
      <c r="AN40" s="45"/>
      <c r="AO40" s="45"/>
      <c r="AP40" s="45"/>
      <c r="AQ40" s="45"/>
      <c r="AR40" s="45"/>
      <c r="AS40" s="45"/>
      <c r="AT40" s="79"/>
      <c r="AU40" s="45"/>
      <c r="AV40" s="45"/>
      <c r="AW40" s="45"/>
      <c r="AX40" s="45"/>
      <c r="AY40" s="45"/>
      <c r="AZ40" s="45"/>
      <c r="BA40" s="45"/>
      <c r="BB40" s="45">
        <f t="shared" si="91"/>
        <v>1809</v>
      </c>
    </row>
    <row r="41" spans="1:54" s="47" customFormat="1" hidden="1" x14ac:dyDescent="0.25">
      <c r="A41" s="120"/>
      <c r="B41" s="121"/>
      <c r="C41" s="43">
        <v>923</v>
      </c>
      <c r="D41" s="45">
        <f>570</f>
        <v>570</v>
      </c>
      <c r="E41" s="45"/>
      <c r="F41" s="45"/>
      <c r="G41" s="45"/>
      <c r="H41" s="45">
        <v>-11</v>
      </c>
      <c r="I41" s="45">
        <f>-11</f>
        <v>-11</v>
      </c>
      <c r="J41" s="45"/>
      <c r="K41" s="45"/>
      <c r="L41" s="45"/>
      <c r="M41" s="45"/>
      <c r="N41" s="45"/>
      <c r="O41" s="79"/>
      <c r="P41" s="45"/>
      <c r="Q41" s="45"/>
      <c r="R41" s="45"/>
      <c r="S41" s="45"/>
      <c r="T41" s="45"/>
      <c r="U41" s="45"/>
      <c r="V41" s="45">
        <f t="shared" si="89"/>
        <v>548</v>
      </c>
      <c r="W41" s="45">
        <f>570</f>
        <v>570</v>
      </c>
      <c r="X41" s="45"/>
      <c r="Y41" s="45"/>
      <c r="Z41" s="45"/>
      <c r="AA41" s="45"/>
      <c r="AB41" s="45"/>
      <c r="AC41" s="45"/>
      <c r="AD41" s="45"/>
      <c r="AE41" s="45"/>
      <c r="AF41" s="45"/>
      <c r="AG41" s="79"/>
      <c r="AH41" s="45"/>
      <c r="AI41" s="45"/>
      <c r="AJ41" s="45"/>
      <c r="AK41" s="45"/>
      <c r="AL41" s="45">
        <f t="shared" si="90"/>
        <v>570</v>
      </c>
      <c r="AM41" s="45">
        <f>570</f>
        <v>570</v>
      </c>
      <c r="AN41" s="45"/>
      <c r="AO41" s="45"/>
      <c r="AP41" s="45"/>
      <c r="AQ41" s="45"/>
      <c r="AR41" s="45"/>
      <c r="AS41" s="45"/>
      <c r="AT41" s="79"/>
      <c r="AU41" s="45"/>
      <c r="AV41" s="45"/>
      <c r="AW41" s="45"/>
      <c r="AX41" s="45"/>
      <c r="AY41" s="45"/>
      <c r="AZ41" s="45"/>
      <c r="BA41" s="45"/>
      <c r="BB41" s="45">
        <f t="shared" si="91"/>
        <v>570</v>
      </c>
    </row>
    <row r="42" spans="1:54" s="19" customFormat="1" ht="35.25" customHeight="1" x14ac:dyDescent="0.25">
      <c r="A42" s="90" t="s">
        <v>17</v>
      </c>
      <c r="B42" s="35" t="s">
        <v>45</v>
      </c>
      <c r="C42" s="36" t="s">
        <v>6</v>
      </c>
      <c r="D42" s="13">
        <f>SUM(D43:D44)</f>
        <v>36031</v>
      </c>
      <c r="E42" s="13">
        <f t="shared" ref="E42:BB42" si="92">SUM(E43:E44)</f>
        <v>135</v>
      </c>
      <c r="F42" s="13">
        <f t="shared" si="92"/>
        <v>3113</v>
      </c>
      <c r="G42" s="13">
        <f t="shared" si="92"/>
        <v>-2555</v>
      </c>
      <c r="H42" s="13">
        <f t="shared" si="92"/>
        <v>-1979</v>
      </c>
      <c r="I42" s="13">
        <f t="shared" si="92"/>
        <v>-2410</v>
      </c>
      <c r="J42" s="13">
        <f t="shared" si="92"/>
        <v>0</v>
      </c>
      <c r="K42" s="13">
        <f t="shared" si="92"/>
        <v>0</v>
      </c>
      <c r="L42" s="13">
        <f t="shared" si="92"/>
        <v>557</v>
      </c>
      <c r="M42" s="13">
        <f t="shared" ref="M42:T42" si="93">SUM(M43:M44)</f>
        <v>-669</v>
      </c>
      <c r="N42" s="13">
        <f t="shared" si="93"/>
        <v>0</v>
      </c>
      <c r="O42" s="80">
        <f t="shared" ref="O42:P42" si="94">SUM(O43:O44)</f>
        <v>-209</v>
      </c>
      <c r="P42" s="13">
        <f t="shared" si="94"/>
        <v>0</v>
      </c>
      <c r="Q42" s="13">
        <f t="shared" si="93"/>
        <v>0</v>
      </c>
      <c r="R42" s="13">
        <f t="shared" si="93"/>
        <v>0</v>
      </c>
      <c r="S42" s="13">
        <f t="shared" si="93"/>
        <v>0</v>
      </c>
      <c r="T42" s="13">
        <f t="shared" si="93"/>
        <v>0</v>
      </c>
      <c r="U42" s="13">
        <f t="shared" si="92"/>
        <v>0</v>
      </c>
      <c r="V42" s="13">
        <f t="shared" si="92"/>
        <v>32014</v>
      </c>
      <c r="W42" s="13">
        <f t="shared" si="92"/>
        <v>19727</v>
      </c>
      <c r="X42" s="13">
        <f t="shared" si="92"/>
        <v>7</v>
      </c>
      <c r="Y42" s="13">
        <f t="shared" si="92"/>
        <v>19986</v>
      </c>
      <c r="Z42" s="13">
        <f t="shared" si="92"/>
        <v>0</v>
      </c>
      <c r="AA42" s="13">
        <f t="shared" si="92"/>
        <v>462</v>
      </c>
      <c r="AB42" s="13">
        <f t="shared" si="92"/>
        <v>0</v>
      </c>
      <c r="AC42" s="13">
        <f t="shared" si="92"/>
        <v>0</v>
      </c>
      <c r="AD42" s="13">
        <f t="shared" ref="AD42:AI42" si="95">SUM(AD43:AD44)</f>
        <v>0</v>
      </c>
      <c r="AE42" s="13">
        <f t="shared" ref="AE42" si="96">SUM(AE43:AE44)</f>
        <v>0</v>
      </c>
      <c r="AF42" s="13">
        <f t="shared" si="95"/>
        <v>0</v>
      </c>
      <c r="AG42" s="80">
        <f t="shared" si="95"/>
        <v>0</v>
      </c>
      <c r="AH42" s="13">
        <f t="shared" si="95"/>
        <v>0</v>
      </c>
      <c r="AI42" s="13">
        <f t="shared" si="95"/>
        <v>0</v>
      </c>
      <c r="AJ42" s="13">
        <f t="shared" si="92"/>
        <v>0</v>
      </c>
      <c r="AK42" s="13">
        <f t="shared" si="92"/>
        <v>0</v>
      </c>
      <c r="AL42" s="13">
        <f t="shared" si="92"/>
        <v>40182</v>
      </c>
      <c r="AM42" s="13">
        <f t="shared" si="92"/>
        <v>0</v>
      </c>
      <c r="AN42" s="13">
        <f t="shared" si="92"/>
        <v>0</v>
      </c>
      <c r="AO42" s="13">
        <f t="shared" si="92"/>
        <v>0</v>
      </c>
      <c r="AP42" s="13">
        <f t="shared" si="92"/>
        <v>0</v>
      </c>
      <c r="AQ42" s="13">
        <f t="shared" si="92"/>
        <v>0</v>
      </c>
      <c r="AR42" s="13">
        <f t="shared" si="92"/>
        <v>0</v>
      </c>
      <c r="AS42" s="13">
        <f t="shared" si="92"/>
        <v>0</v>
      </c>
      <c r="AT42" s="80">
        <f t="shared" ref="AT42:AY42" si="97">SUM(AT43:AT44)</f>
        <v>0</v>
      </c>
      <c r="AU42" s="13">
        <f t="shared" si="97"/>
        <v>0</v>
      </c>
      <c r="AV42" s="13">
        <f t="shared" si="97"/>
        <v>0</v>
      </c>
      <c r="AW42" s="13">
        <f t="shared" si="97"/>
        <v>0</v>
      </c>
      <c r="AX42" s="13">
        <f t="shared" si="97"/>
        <v>0</v>
      </c>
      <c r="AY42" s="13">
        <f t="shared" si="97"/>
        <v>0</v>
      </c>
      <c r="AZ42" s="13">
        <f t="shared" si="92"/>
        <v>0</v>
      </c>
      <c r="BA42" s="13">
        <f t="shared" si="92"/>
        <v>0</v>
      </c>
      <c r="BB42" s="13">
        <f t="shared" si="92"/>
        <v>0</v>
      </c>
    </row>
    <row r="43" spans="1:54" s="56" customFormat="1" ht="15.75" hidden="1" x14ac:dyDescent="0.25">
      <c r="A43" s="92"/>
      <c r="B43" s="55"/>
      <c r="C43" s="43">
        <v>903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81"/>
      <c r="P43" s="49"/>
      <c r="Q43" s="49"/>
      <c r="R43" s="49"/>
      <c r="S43" s="49"/>
      <c r="T43" s="49"/>
      <c r="U43" s="49"/>
      <c r="V43" s="45">
        <f t="shared" ref="V43:V48" si="98">SUM(D43:U43)</f>
        <v>0</v>
      </c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81"/>
      <c r="AH43" s="49"/>
      <c r="AI43" s="49"/>
      <c r="AJ43" s="49"/>
      <c r="AK43" s="49"/>
      <c r="AL43" s="45">
        <f t="shared" ref="AL43:AL44" si="99">SUM(W43:AK43)</f>
        <v>0</v>
      </c>
      <c r="AM43" s="49"/>
      <c r="AN43" s="49"/>
      <c r="AO43" s="49"/>
      <c r="AP43" s="49"/>
      <c r="AQ43" s="49"/>
      <c r="AR43" s="49"/>
      <c r="AS43" s="49"/>
      <c r="AT43" s="81"/>
      <c r="AU43" s="49"/>
      <c r="AV43" s="49"/>
      <c r="AW43" s="49"/>
      <c r="AX43" s="49"/>
      <c r="AY43" s="49"/>
      <c r="AZ43" s="49"/>
      <c r="BA43" s="49"/>
      <c r="BB43" s="45">
        <f>SUM(AM43:BA43)</f>
        <v>0</v>
      </c>
    </row>
    <row r="44" spans="1:54" s="56" customFormat="1" ht="15.75" hidden="1" x14ac:dyDescent="0.25">
      <c r="A44" s="92"/>
      <c r="B44" s="55"/>
      <c r="C44" s="43">
        <v>914</v>
      </c>
      <c r="D44" s="49">
        <f>35601+430</f>
        <v>36031</v>
      </c>
      <c r="E44" s="49">
        <v>135</v>
      </c>
      <c r="F44" s="49">
        <f>3113</f>
        <v>3113</v>
      </c>
      <c r="G44" s="49">
        <v>-2555</v>
      </c>
      <c r="H44" s="49">
        <f>-1979</f>
        <v>-1979</v>
      </c>
      <c r="I44" s="49">
        <v>-2410</v>
      </c>
      <c r="J44" s="49"/>
      <c r="K44" s="49"/>
      <c r="L44" s="49">
        <v>557</v>
      </c>
      <c r="M44" s="49">
        <v>-669</v>
      </c>
      <c r="N44" s="49"/>
      <c r="O44" s="81">
        <f>-209</f>
        <v>-209</v>
      </c>
      <c r="P44" s="49"/>
      <c r="Q44" s="49"/>
      <c r="R44" s="49"/>
      <c r="S44" s="49"/>
      <c r="T44" s="49"/>
      <c r="U44" s="49"/>
      <c r="V44" s="45">
        <f t="shared" si="98"/>
        <v>32014</v>
      </c>
      <c r="W44" s="49">
        <f>9035+10692</f>
        <v>19727</v>
      </c>
      <c r="X44" s="49">
        <v>7</v>
      </c>
      <c r="Y44" s="49">
        <f>19986</f>
        <v>19986</v>
      </c>
      <c r="Z44" s="49"/>
      <c r="AA44" s="49">
        <f>462</f>
        <v>462</v>
      </c>
      <c r="AB44" s="49"/>
      <c r="AC44" s="49"/>
      <c r="AD44" s="49"/>
      <c r="AE44" s="49"/>
      <c r="AF44" s="49"/>
      <c r="AG44" s="81"/>
      <c r="AH44" s="49"/>
      <c r="AI44" s="49"/>
      <c r="AJ44" s="49"/>
      <c r="AK44" s="49"/>
      <c r="AL44" s="45">
        <f t="shared" si="99"/>
        <v>40182</v>
      </c>
      <c r="AM44" s="49"/>
      <c r="AN44" s="49"/>
      <c r="AO44" s="49"/>
      <c r="AP44" s="49"/>
      <c r="AQ44" s="49"/>
      <c r="AR44" s="49"/>
      <c r="AS44" s="49"/>
      <c r="AT44" s="81"/>
      <c r="AU44" s="49"/>
      <c r="AV44" s="49"/>
      <c r="AW44" s="49"/>
      <c r="AX44" s="49"/>
      <c r="AY44" s="49"/>
      <c r="AZ44" s="49"/>
      <c r="BA44" s="49"/>
      <c r="BB44" s="45">
        <f>SUM(AM44:BA44)</f>
        <v>0</v>
      </c>
    </row>
    <row r="45" spans="1:54" s="19" customFormat="1" ht="31.5" x14ac:dyDescent="0.25">
      <c r="A45" s="90" t="s">
        <v>18</v>
      </c>
      <c r="B45" s="35" t="s">
        <v>46</v>
      </c>
      <c r="C45" s="36" t="s">
        <v>77</v>
      </c>
      <c r="D45" s="37">
        <f>SUM(D46:D48)</f>
        <v>181160</v>
      </c>
      <c r="E45" s="37">
        <f t="shared" ref="E45:BB45" si="100">SUM(E46:E48)</f>
        <v>9013</v>
      </c>
      <c r="F45" s="37">
        <f t="shared" si="100"/>
        <v>7317</v>
      </c>
      <c r="G45" s="37">
        <f t="shared" si="100"/>
        <v>0</v>
      </c>
      <c r="H45" s="37">
        <f t="shared" si="100"/>
        <v>10805</v>
      </c>
      <c r="I45" s="37">
        <f t="shared" si="100"/>
        <v>0</v>
      </c>
      <c r="J45" s="37">
        <f t="shared" si="100"/>
        <v>0</v>
      </c>
      <c r="K45" s="37">
        <f t="shared" si="100"/>
        <v>0</v>
      </c>
      <c r="L45" s="37">
        <f t="shared" si="100"/>
        <v>0</v>
      </c>
      <c r="M45" s="37">
        <f t="shared" ref="M45:T45" si="101">SUM(M46:M48)</f>
        <v>1336</v>
      </c>
      <c r="N45" s="37">
        <f t="shared" si="101"/>
        <v>0</v>
      </c>
      <c r="O45" s="78">
        <f t="shared" ref="O45:P45" si="102">SUM(O46:O48)</f>
        <v>-1126</v>
      </c>
      <c r="P45" s="37">
        <f t="shared" si="102"/>
        <v>0</v>
      </c>
      <c r="Q45" s="37">
        <f t="shared" si="101"/>
        <v>0</v>
      </c>
      <c r="R45" s="37">
        <f t="shared" si="101"/>
        <v>0</v>
      </c>
      <c r="S45" s="37">
        <f t="shared" si="101"/>
        <v>0</v>
      </c>
      <c r="T45" s="37">
        <f t="shared" si="101"/>
        <v>0</v>
      </c>
      <c r="U45" s="37">
        <f t="shared" si="100"/>
        <v>0</v>
      </c>
      <c r="V45" s="37">
        <f t="shared" si="100"/>
        <v>208505</v>
      </c>
      <c r="W45" s="37">
        <f t="shared" si="100"/>
        <v>0</v>
      </c>
      <c r="X45" s="37">
        <f t="shared" si="100"/>
        <v>0</v>
      </c>
      <c r="Y45" s="37">
        <f t="shared" si="100"/>
        <v>0</v>
      </c>
      <c r="Z45" s="37">
        <f t="shared" si="100"/>
        <v>0</v>
      </c>
      <c r="AA45" s="37">
        <f t="shared" si="100"/>
        <v>0</v>
      </c>
      <c r="AB45" s="37">
        <f t="shared" si="100"/>
        <v>0</v>
      </c>
      <c r="AC45" s="37">
        <f t="shared" si="100"/>
        <v>0</v>
      </c>
      <c r="AD45" s="37">
        <f t="shared" ref="AD45:AI45" si="103">SUM(AD46:AD48)</f>
        <v>0</v>
      </c>
      <c r="AE45" s="37">
        <f t="shared" ref="AE45" si="104">SUM(AE46:AE48)</f>
        <v>0</v>
      </c>
      <c r="AF45" s="37">
        <f t="shared" si="103"/>
        <v>0</v>
      </c>
      <c r="AG45" s="78">
        <f t="shared" si="103"/>
        <v>0</v>
      </c>
      <c r="AH45" s="37">
        <f t="shared" si="103"/>
        <v>0</v>
      </c>
      <c r="AI45" s="37">
        <f t="shared" si="103"/>
        <v>0</v>
      </c>
      <c r="AJ45" s="37">
        <f t="shared" si="100"/>
        <v>0</v>
      </c>
      <c r="AK45" s="37">
        <f t="shared" si="100"/>
        <v>0</v>
      </c>
      <c r="AL45" s="37">
        <f t="shared" si="100"/>
        <v>0</v>
      </c>
      <c r="AM45" s="37">
        <f t="shared" si="100"/>
        <v>0</v>
      </c>
      <c r="AN45" s="37">
        <f t="shared" si="100"/>
        <v>0</v>
      </c>
      <c r="AO45" s="37">
        <f t="shared" si="100"/>
        <v>0</v>
      </c>
      <c r="AP45" s="37">
        <f t="shared" si="100"/>
        <v>0</v>
      </c>
      <c r="AQ45" s="37">
        <f t="shared" si="100"/>
        <v>0</v>
      </c>
      <c r="AR45" s="37">
        <f t="shared" si="100"/>
        <v>0</v>
      </c>
      <c r="AS45" s="37">
        <f t="shared" si="100"/>
        <v>0</v>
      </c>
      <c r="AT45" s="78">
        <f t="shared" ref="AT45:AY45" si="105">SUM(AT46:AT48)</f>
        <v>0</v>
      </c>
      <c r="AU45" s="37">
        <f t="shared" si="105"/>
        <v>0</v>
      </c>
      <c r="AV45" s="37">
        <f t="shared" si="105"/>
        <v>0</v>
      </c>
      <c r="AW45" s="37">
        <f t="shared" si="105"/>
        <v>0</v>
      </c>
      <c r="AX45" s="37">
        <f t="shared" si="105"/>
        <v>0</v>
      </c>
      <c r="AY45" s="37">
        <f t="shared" si="105"/>
        <v>0</v>
      </c>
      <c r="AZ45" s="37">
        <f t="shared" si="100"/>
        <v>0</v>
      </c>
      <c r="BA45" s="37">
        <f t="shared" si="100"/>
        <v>0</v>
      </c>
      <c r="BB45" s="37">
        <f t="shared" si="100"/>
        <v>0</v>
      </c>
    </row>
    <row r="46" spans="1:54" s="47" customFormat="1" hidden="1" x14ac:dyDescent="0.25">
      <c r="A46" s="118"/>
      <c r="B46" s="121"/>
      <c r="C46" s="43">
        <v>910</v>
      </c>
      <c r="D46" s="45">
        <v>1873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79"/>
      <c r="P46" s="45"/>
      <c r="Q46" s="45"/>
      <c r="R46" s="45"/>
      <c r="S46" s="45"/>
      <c r="T46" s="45"/>
      <c r="U46" s="45"/>
      <c r="V46" s="45">
        <f t="shared" si="98"/>
        <v>1873</v>
      </c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79"/>
      <c r="AH46" s="45"/>
      <c r="AI46" s="45"/>
      <c r="AJ46" s="45"/>
      <c r="AK46" s="45"/>
      <c r="AL46" s="45">
        <f t="shared" ref="AL46:AL55" si="106">SUM(W46:AK46)</f>
        <v>0</v>
      </c>
      <c r="AM46" s="45"/>
      <c r="AN46" s="45"/>
      <c r="AO46" s="45"/>
      <c r="AP46" s="45"/>
      <c r="AQ46" s="45"/>
      <c r="AR46" s="45"/>
      <c r="AS46" s="45"/>
      <c r="AT46" s="79"/>
      <c r="AU46" s="45"/>
      <c r="AV46" s="45"/>
      <c r="AW46" s="45"/>
      <c r="AX46" s="45"/>
      <c r="AY46" s="45"/>
      <c r="AZ46" s="45"/>
      <c r="BA46" s="45"/>
      <c r="BB46" s="45">
        <f t="shared" ref="BB46:BB48" si="107">SUM(AM46:BA46)</f>
        <v>0</v>
      </c>
    </row>
    <row r="47" spans="1:54" s="47" customFormat="1" hidden="1" x14ac:dyDescent="0.25">
      <c r="A47" s="119"/>
      <c r="B47" s="121"/>
      <c r="C47" s="43">
        <v>920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9"/>
      <c r="P47" s="45"/>
      <c r="Q47" s="45"/>
      <c r="R47" s="45"/>
      <c r="S47" s="45"/>
      <c r="T47" s="45"/>
      <c r="U47" s="45"/>
      <c r="V47" s="45">
        <f t="shared" si="98"/>
        <v>0</v>
      </c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79"/>
      <c r="AH47" s="45"/>
      <c r="AI47" s="45"/>
      <c r="AJ47" s="45"/>
      <c r="AK47" s="45"/>
      <c r="AL47" s="45">
        <f t="shared" si="106"/>
        <v>0</v>
      </c>
      <c r="AM47" s="45"/>
      <c r="AN47" s="45"/>
      <c r="AO47" s="45"/>
      <c r="AP47" s="45"/>
      <c r="AQ47" s="45"/>
      <c r="AR47" s="45"/>
      <c r="AS47" s="45"/>
      <c r="AT47" s="79"/>
      <c r="AU47" s="45"/>
      <c r="AV47" s="45"/>
      <c r="AW47" s="45"/>
      <c r="AX47" s="45"/>
      <c r="AY47" s="45"/>
      <c r="AZ47" s="45"/>
      <c r="BA47" s="45"/>
      <c r="BB47" s="45">
        <f t="shared" si="107"/>
        <v>0</v>
      </c>
    </row>
    <row r="48" spans="1:54" s="47" customFormat="1" hidden="1" x14ac:dyDescent="0.25">
      <c r="A48" s="120"/>
      <c r="B48" s="121"/>
      <c r="C48" s="43">
        <v>921</v>
      </c>
      <c r="D48" s="45">
        <f>179287</f>
        <v>179287</v>
      </c>
      <c r="E48" s="45">
        <v>9013</v>
      </c>
      <c r="F48" s="45">
        <v>7317</v>
      </c>
      <c r="G48" s="45"/>
      <c r="H48" s="45">
        <v>10805</v>
      </c>
      <c r="I48" s="45"/>
      <c r="J48" s="45"/>
      <c r="K48" s="45"/>
      <c r="L48" s="45"/>
      <c r="M48" s="45">
        <f>-30+57+1309</f>
        <v>1336</v>
      </c>
      <c r="N48" s="45"/>
      <c r="O48" s="79">
        <v>-1126</v>
      </c>
      <c r="P48" s="45"/>
      <c r="Q48" s="45"/>
      <c r="R48" s="45"/>
      <c r="S48" s="45"/>
      <c r="T48" s="45"/>
      <c r="U48" s="45"/>
      <c r="V48" s="45">
        <f t="shared" si="98"/>
        <v>206632</v>
      </c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79"/>
      <c r="AH48" s="45"/>
      <c r="AI48" s="45"/>
      <c r="AJ48" s="45"/>
      <c r="AK48" s="45"/>
      <c r="AL48" s="45">
        <f t="shared" si="106"/>
        <v>0</v>
      </c>
      <c r="AM48" s="45"/>
      <c r="AN48" s="45"/>
      <c r="AO48" s="45"/>
      <c r="AP48" s="45"/>
      <c r="AQ48" s="45"/>
      <c r="AR48" s="45"/>
      <c r="AS48" s="45"/>
      <c r="AT48" s="79"/>
      <c r="AU48" s="45"/>
      <c r="AV48" s="45"/>
      <c r="AW48" s="45"/>
      <c r="AX48" s="45"/>
      <c r="AY48" s="45"/>
      <c r="AZ48" s="45"/>
      <c r="BA48" s="45"/>
      <c r="BB48" s="45">
        <f t="shared" si="107"/>
        <v>0</v>
      </c>
    </row>
    <row r="49" spans="1:54" s="19" customFormat="1" ht="31.5" x14ac:dyDescent="0.25">
      <c r="A49" s="90" t="s">
        <v>19</v>
      </c>
      <c r="B49" s="35" t="s">
        <v>47</v>
      </c>
      <c r="C49" s="36" t="s">
        <v>66</v>
      </c>
      <c r="D49" s="13">
        <v>23130</v>
      </c>
      <c r="E49" s="13">
        <f>39+400</f>
        <v>439</v>
      </c>
      <c r="F49" s="13">
        <f>530</f>
        <v>530</v>
      </c>
      <c r="G49" s="13"/>
      <c r="H49" s="13"/>
      <c r="I49" s="13"/>
      <c r="J49" s="13"/>
      <c r="K49" s="13"/>
      <c r="L49" s="13">
        <v>163</v>
      </c>
      <c r="M49" s="13"/>
      <c r="N49" s="13"/>
      <c r="O49" s="80"/>
      <c r="P49" s="13"/>
      <c r="Q49" s="13"/>
      <c r="R49" s="13"/>
      <c r="S49" s="13"/>
      <c r="T49" s="13"/>
      <c r="U49" s="13"/>
      <c r="V49" s="13">
        <f>SUM(D49:U49)</f>
        <v>24262</v>
      </c>
      <c r="W49" s="13">
        <v>23110</v>
      </c>
      <c r="X49" s="13">
        <v>39</v>
      </c>
      <c r="Y49" s="13">
        <v>530</v>
      </c>
      <c r="Z49" s="13"/>
      <c r="AA49" s="13"/>
      <c r="AB49" s="13"/>
      <c r="AC49" s="13"/>
      <c r="AD49" s="13"/>
      <c r="AE49" s="13"/>
      <c r="AF49" s="13"/>
      <c r="AG49" s="80"/>
      <c r="AH49" s="13"/>
      <c r="AI49" s="13"/>
      <c r="AJ49" s="13"/>
      <c r="AK49" s="13"/>
      <c r="AL49" s="13">
        <f t="shared" si="106"/>
        <v>23679</v>
      </c>
      <c r="AM49" s="13"/>
      <c r="AN49" s="13"/>
      <c r="AO49" s="13"/>
      <c r="AP49" s="13"/>
      <c r="AQ49" s="13"/>
      <c r="AR49" s="13"/>
      <c r="AS49" s="13"/>
      <c r="AT49" s="80"/>
      <c r="AU49" s="13"/>
      <c r="AV49" s="13"/>
      <c r="AW49" s="13"/>
      <c r="AX49" s="13"/>
      <c r="AY49" s="13"/>
      <c r="AZ49" s="13"/>
      <c r="BA49" s="13"/>
      <c r="BB49" s="13">
        <f>SUM(AM49:BA49)</f>
        <v>0</v>
      </c>
    </row>
    <row r="50" spans="1:54" s="19" customFormat="1" ht="15.75" x14ac:dyDescent="0.25">
      <c r="A50" s="90" t="s">
        <v>20</v>
      </c>
      <c r="B50" s="35" t="s">
        <v>48</v>
      </c>
      <c r="C50" s="63" t="s">
        <v>83</v>
      </c>
      <c r="D50" s="13">
        <f>SUM(D51:D54)</f>
        <v>425821</v>
      </c>
      <c r="E50" s="13">
        <f t="shared" ref="E50:AK50" si="108">SUM(E51:E54)</f>
        <v>-4274</v>
      </c>
      <c r="F50" s="13">
        <f t="shared" si="108"/>
        <v>10000</v>
      </c>
      <c r="G50" s="13">
        <f>SUM(G51:G54)</f>
        <v>1258</v>
      </c>
      <c r="H50" s="13">
        <f t="shared" si="108"/>
        <v>3917</v>
      </c>
      <c r="I50" s="13">
        <f t="shared" si="108"/>
        <v>-3744</v>
      </c>
      <c r="J50" s="13">
        <f t="shared" si="108"/>
        <v>657</v>
      </c>
      <c r="K50" s="13">
        <f t="shared" si="108"/>
        <v>0</v>
      </c>
      <c r="L50" s="13">
        <f t="shared" si="108"/>
        <v>7215</v>
      </c>
      <c r="M50" s="13">
        <f t="shared" si="108"/>
        <v>9726</v>
      </c>
      <c r="N50" s="13">
        <f t="shared" si="108"/>
        <v>2960</v>
      </c>
      <c r="O50" s="80">
        <f t="shared" si="108"/>
        <v>-788</v>
      </c>
      <c r="P50" s="13">
        <f t="shared" si="108"/>
        <v>0</v>
      </c>
      <c r="Q50" s="13">
        <f t="shared" si="108"/>
        <v>0</v>
      </c>
      <c r="R50" s="13">
        <f t="shared" si="108"/>
        <v>0</v>
      </c>
      <c r="S50" s="13">
        <f t="shared" si="108"/>
        <v>0</v>
      </c>
      <c r="T50" s="13">
        <f t="shared" si="108"/>
        <v>0</v>
      </c>
      <c r="U50" s="13">
        <f t="shared" si="108"/>
        <v>0</v>
      </c>
      <c r="V50" s="13">
        <f t="shared" si="108"/>
        <v>452748</v>
      </c>
      <c r="W50" s="13">
        <f t="shared" si="108"/>
        <v>414870</v>
      </c>
      <c r="X50" s="13">
        <f t="shared" si="108"/>
        <v>0</v>
      </c>
      <c r="Y50" s="13">
        <f t="shared" si="108"/>
        <v>0</v>
      </c>
      <c r="Z50" s="13">
        <f t="shared" si="108"/>
        <v>0</v>
      </c>
      <c r="AA50" s="13">
        <f t="shared" si="108"/>
        <v>0</v>
      </c>
      <c r="AB50" s="13">
        <f t="shared" si="108"/>
        <v>0</v>
      </c>
      <c r="AC50" s="13">
        <f t="shared" si="108"/>
        <v>0</v>
      </c>
      <c r="AD50" s="13">
        <f t="shared" si="108"/>
        <v>0</v>
      </c>
      <c r="AE50" s="13">
        <f t="shared" si="108"/>
        <v>0</v>
      </c>
      <c r="AF50" s="13">
        <f t="shared" si="108"/>
        <v>0</v>
      </c>
      <c r="AG50" s="80">
        <f t="shared" si="108"/>
        <v>0</v>
      </c>
      <c r="AH50" s="13">
        <f t="shared" si="108"/>
        <v>0</v>
      </c>
      <c r="AI50" s="13">
        <f t="shared" si="108"/>
        <v>0</v>
      </c>
      <c r="AJ50" s="13">
        <f t="shared" si="108"/>
        <v>0</v>
      </c>
      <c r="AK50" s="13">
        <f t="shared" si="108"/>
        <v>0</v>
      </c>
      <c r="AL50" s="13">
        <f t="shared" ref="AL50" si="109">SUM(AL51:AL54)</f>
        <v>414870</v>
      </c>
      <c r="AM50" s="13">
        <f>SUM(AM51:AM54)</f>
        <v>414869</v>
      </c>
      <c r="AN50" s="13">
        <f t="shared" ref="AN50:BB50" si="110">SUM(AN51:AN54)</f>
        <v>0</v>
      </c>
      <c r="AO50" s="13">
        <f t="shared" si="110"/>
        <v>0</v>
      </c>
      <c r="AP50" s="13">
        <f t="shared" si="110"/>
        <v>0</v>
      </c>
      <c r="AQ50" s="13">
        <f t="shared" si="110"/>
        <v>0</v>
      </c>
      <c r="AR50" s="13">
        <f t="shared" si="110"/>
        <v>0</v>
      </c>
      <c r="AS50" s="13">
        <f t="shared" si="110"/>
        <v>0</v>
      </c>
      <c r="AT50" s="80">
        <f t="shared" si="110"/>
        <v>0</v>
      </c>
      <c r="AU50" s="13">
        <f t="shared" si="110"/>
        <v>0</v>
      </c>
      <c r="AV50" s="13">
        <f t="shared" si="110"/>
        <v>0</v>
      </c>
      <c r="AW50" s="13">
        <f t="shared" si="110"/>
        <v>0</v>
      </c>
      <c r="AX50" s="13">
        <f t="shared" si="110"/>
        <v>0</v>
      </c>
      <c r="AY50" s="13">
        <f t="shared" si="110"/>
        <v>0</v>
      </c>
      <c r="AZ50" s="13">
        <f t="shared" si="110"/>
        <v>0</v>
      </c>
      <c r="BA50" s="13">
        <f t="shared" si="110"/>
        <v>0</v>
      </c>
      <c r="BB50" s="13">
        <f t="shared" si="110"/>
        <v>414869</v>
      </c>
    </row>
    <row r="51" spans="1:54" s="56" customFormat="1" ht="15.75" hidden="1" x14ac:dyDescent="0.25">
      <c r="A51" s="92"/>
      <c r="B51" s="55"/>
      <c r="C51" s="43">
        <v>912</v>
      </c>
      <c r="D51" s="49"/>
      <c r="E51" s="49"/>
      <c r="F51" s="49"/>
      <c r="G51" s="49">
        <v>295</v>
      </c>
      <c r="H51" s="49"/>
      <c r="I51" s="49"/>
      <c r="J51" s="49"/>
      <c r="K51" s="49"/>
      <c r="L51" s="49"/>
      <c r="M51" s="49"/>
      <c r="N51" s="49"/>
      <c r="O51" s="81">
        <v>-57</v>
      </c>
      <c r="P51" s="49"/>
      <c r="Q51" s="49"/>
      <c r="R51" s="49"/>
      <c r="S51" s="49"/>
      <c r="T51" s="49"/>
      <c r="U51" s="49"/>
      <c r="V51" s="49">
        <f t="shared" ref="V51:V54" si="111">SUM(D51:U51)</f>
        <v>238</v>
      </c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81"/>
      <c r="AH51" s="49"/>
      <c r="AI51" s="49"/>
      <c r="AJ51" s="49"/>
      <c r="AK51" s="49"/>
      <c r="AL51" s="45">
        <f t="shared" si="106"/>
        <v>0</v>
      </c>
      <c r="AM51" s="49"/>
      <c r="AN51" s="49"/>
      <c r="AO51" s="49"/>
      <c r="AP51" s="49"/>
      <c r="AQ51" s="49"/>
      <c r="AR51" s="49"/>
      <c r="AS51" s="49"/>
      <c r="AT51" s="81"/>
      <c r="AU51" s="49"/>
      <c r="AV51" s="49"/>
      <c r="AW51" s="49"/>
      <c r="AX51" s="49"/>
      <c r="AY51" s="49"/>
      <c r="AZ51" s="49"/>
      <c r="BA51" s="49"/>
      <c r="BB51" s="45">
        <f t="shared" ref="BB51:BB55" si="112">SUM(AM51:BA51)</f>
        <v>0</v>
      </c>
    </row>
    <row r="52" spans="1:54" s="56" customFormat="1" ht="15.75" hidden="1" x14ac:dyDescent="0.25">
      <c r="A52" s="92"/>
      <c r="B52" s="55"/>
      <c r="C52" s="43">
        <v>913</v>
      </c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81"/>
      <c r="P52" s="49"/>
      <c r="Q52" s="49"/>
      <c r="R52" s="49"/>
      <c r="S52" s="49"/>
      <c r="T52" s="49"/>
      <c r="U52" s="49"/>
      <c r="V52" s="49">
        <f t="shared" si="111"/>
        <v>0</v>
      </c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81"/>
      <c r="AH52" s="49"/>
      <c r="AI52" s="49"/>
      <c r="AJ52" s="49"/>
      <c r="AK52" s="49"/>
      <c r="AL52" s="45">
        <f t="shared" si="106"/>
        <v>0</v>
      </c>
      <c r="AM52" s="49"/>
      <c r="AN52" s="49"/>
      <c r="AO52" s="49"/>
      <c r="AP52" s="49"/>
      <c r="AQ52" s="49"/>
      <c r="AR52" s="49"/>
      <c r="AS52" s="49"/>
      <c r="AT52" s="81"/>
      <c r="AU52" s="49"/>
      <c r="AV52" s="49"/>
      <c r="AW52" s="49"/>
      <c r="AX52" s="49"/>
      <c r="AY52" s="49"/>
      <c r="AZ52" s="49"/>
      <c r="BA52" s="49"/>
      <c r="BB52" s="45">
        <f t="shared" si="112"/>
        <v>0</v>
      </c>
    </row>
    <row r="53" spans="1:54" s="56" customFormat="1" ht="15.75" hidden="1" x14ac:dyDescent="0.25">
      <c r="A53" s="92"/>
      <c r="B53" s="55"/>
      <c r="C53" s="43">
        <v>917</v>
      </c>
      <c r="D53" s="49"/>
      <c r="E53" s="49"/>
      <c r="F53" s="49"/>
      <c r="G53" s="49">
        <v>348</v>
      </c>
      <c r="H53" s="49"/>
      <c r="I53" s="49"/>
      <c r="J53" s="49"/>
      <c r="K53" s="49"/>
      <c r="L53" s="49"/>
      <c r="M53" s="49"/>
      <c r="N53" s="49"/>
      <c r="O53" s="81"/>
      <c r="P53" s="49"/>
      <c r="Q53" s="49"/>
      <c r="R53" s="49"/>
      <c r="S53" s="49"/>
      <c r="T53" s="49"/>
      <c r="U53" s="49"/>
      <c r="V53" s="49">
        <f t="shared" si="111"/>
        <v>348</v>
      </c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81"/>
      <c r="AH53" s="49"/>
      <c r="AI53" s="49"/>
      <c r="AJ53" s="49"/>
      <c r="AK53" s="49"/>
      <c r="AL53" s="45">
        <f t="shared" si="106"/>
        <v>0</v>
      </c>
      <c r="AM53" s="49"/>
      <c r="AN53" s="49"/>
      <c r="AO53" s="49"/>
      <c r="AP53" s="49"/>
      <c r="AQ53" s="49"/>
      <c r="AR53" s="49"/>
      <c r="AS53" s="49"/>
      <c r="AT53" s="81"/>
      <c r="AU53" s="49"/>
      <c r="AV53" s="49"/>
      <c r="AW53" s="49"/>
      <c r="AX53" s="49"/>
      <c r="AY53" s="49"/>
      <c r="AZ53" s="49"/>
      <c r="BA53" s="49"/>
      <c r="BB53" s="45">
        <f t="shared" si="112"/>
        <v>0</v>
      </c>
    </row>
    <row r="54" spans="1:54" s="56" customFormat="1" ht="15.75" hidden="1" x14ac:dyDescent="0.25">
      <c r="A54" s="92"/>
      <c r="B54" s="55"/>
      <c r="C54" s="43">
        <v>920</v>
      </c>
      <c r="D54" s="49">
        <f>257864+167957</f>
        <v>425821</v>
      </c>
      <c r="E54" s="49">
        <f>2679-6953</f>
        <v>-4274</v>
      </c>
      <c r="F54" s="49">
        <v>10000</v>
      </c>
      <c r="G54" s="49">
        <v>615</v>
      </c>
      <c r="H54" s="49">
        <f>-1776+5693</f>
        <v>3917</v>
      </c>
      <c r="I54" s="49">
        <f>-19-3725</f>
        <v>-3744</v>
      </c>
      <c r="J54" s="49">
        <f>110+517+30</f>
        <v>657</v>
      </c>
      <c r="K54" s="49"/>
      <c r="L54" s="49">
        <f>1760+5455</f>
        <v>7215</v>
      </c>
      <c r="M54" s="49">
        <v>9726</v>
      </c>
      <c r="N54" s="49">
        <v>2960</v>
      </c>
      <c r="O54" s="81">
        <f>-731</f>
        <v>-731</v>
      </c>
      <c r="P54" s="49"/>
      <c r="Q54" s="49"/>
      <c r="R54" s="49"/>
      <c r="S54" s="49"/>
      <c r="T54" s="49"/>
      <c r="U54" s="49"/>
      <c r="V54" s="49">
        <f t="shared" si="111"/>
        <v>452162</v>
      </c>
      <c r="W54" s="49">
        <f>244153+170717</f>
        <v>414870</v>
      </c>
      <c r="X54" s="49"/>
      <c r="Y54" s="49"/>
      <c r="Z54" s="49"/>
      <c r="AA54" s="49"/>
      <c r="AB54" s="49"/>
      <c r="AC54" s="49"/>
      <c r="AD54" s="49"/>
      <c r="AE54" s="49"/>
      <c r="AF54" s="49"/>
      <c r="AG54" s="81"/>
      <c r="AH54" s="49"/>
      <c r="AI54" s="49"/>
      <c r="AJ54" s="49"/>
      <c r="AK54" s="49"/>
      <c r="AL54" s="45">
        <f t="shared" si="106"/>
        <v>414870</v>
      </c>
      <c r="AM54" s="49">
        <f>244153+170716</f>
        <v>414869</v>
      </c>
      <c r="AN54" s="49"/>
      <c r="AO54" s="49"/>
      <c r="AP54" s="49"/>
      <c r="AQ54" s="49"/>
      <c r="AR54" s="49"/>
      <c r="AS54" s="49"/>
      <c r="AT54" s="81"/>
      <c r="AU54" s="49"/>
      <c r="AV54" s="49"/>
      <c r="AW54" s="49"/>
      <c r="AX54" s="49"/>
      <c r="AY54" s="49"/>
      <c r="AZ54" s="49"/>
      <c r="BA54" s="49"/>
      <c r="BB54" s="45">
        <f t="shared" si="112"/>
        <v>414869</v>
      </c>
    </row>
    <row r="55" spans="1:54" s="19" customFormat="1" ht="31.5" x14ac:dyDescent="0.25">
      <c r="A55" s="90" t="s">
        <v>21</v>
      </c>
      <c r="B55" s="35" t="s">
        <v>49</v>
      </c>
      <c r="C55" s="36" t="s">
        <v>74</v>
      </c>
      <c r="D55" s="13">
        <f>2298+5068</f>
        <v>7366</v>
      </c>
      <c r="E55" s="13">
        <f>304</f>
        <v>304</v>
      </c>
      <c r="F55" s="13"/>
      <c r="G55" s="13"/>
      <c r="H55" s="13"/>
      <c r="I55" s="13"/>
      <c r="J55" s="13"/>
      <c r="K55" s="13"/>
      <c r="L55" s="13">
        <f>11447</f>
        <v>11447</v>
      </c>
      <c r="M55" s="13"/>
      <c r="N55" s="13"/>
      <c r="O55" s="80"/>
      <c r="P55" s="13"/>
      <c r="Q55" s="13"/>
      <c r="R55" s="13"/>
      <c r="S55" s="13"/>
      <c r="T55" s="13"/>
      <c r="U55" s="13"/>
      <c r="V55" s="13">
        <f>SUM(D55:U55)</f>
        <v>19117</v>
      </c>
      <c r="W55" s="13">
        <f>1796+3774</f>
        <v>5570</v>
      </c>
      <c r="X55" s="13"/>
      <c r="Y55" s="13"/>
      <c r="Z55" s="13"/>
      <c r="AA55" s="13"/>
      <c r="AB55" s="13"/>
      <c r="AC55" s="13"/>
      <c r="AD55" s="13"/>
      <c r="AE55" s="13"/>
      <c r="AF55" s="13"/>
      <c r="AG55" s="80"/>
      <c r="AH55" s="13"/>
      <c r="AI55" s="13"/>
      <c r="AJ55" s="13"/>
      <c r="AK55" s="13"/>
      <c r="AL55" s="13">
        <f t="shared" si="106"/>
        <v>5570</v>
      </c>
      <c r="AM55" s="13">
        <f>1796+3774</f>
        <v>5570</v>
      </c>
      <c r="AN55" s="13"/>
      <c r="AO55" s="13"/>
      <c r="AP55" s="13"/>
      <c r="AQ55" s="13"/>
      <c r="AR55" s="13"/>
      <c r="AS55" s="13"/>
      <c r="AT55" s="80"/>
      <c r="AU55" s="13"/>
      <c r="AV55" s="13"/>
      <c r="AW55" s="13"/>
      <c r="AX55" s="13"/>
      <c r="AY55" s="13"/>
      <c r="AZ55" s="13"/>
      <c r="BA55" s="13"/>
      <c r="BB55" s="13">
        <f t="shared" si="112"/>
        <v>5570</v>
      </c>
    </row>
    <row r="56" spans="1:54" s="19" customFormat="1" ht="39.75" customHeight="1" x14ac:dyDescent="0.25">
      <c r="A56" s="90" t="s">
        <v>22</v>
      </c>
      <c r="B56" s="35" t="s">
        <v>50</v>
      </c>
      <c r="C56" s="36" t="s">
        <v>93</v>
      </c>
      <c r="D56" s="37">
        <f>D57+D58+D61+D65+D67</f>
        <v>1634294</v>
      </c>
      <c r="E56" s="37">
        <f t="shared" ref="E56:BA56" si="113">E57+E58+E61+E65+E67</f>
        <v>153824</v>
      </c>
      <c r="F56" s="37">
        <f t="shared" si="113"/>
        <v>96549</v>
      </c>
      <c r="G56" s="37">
        <f t="shared" si="113"/>
        <v>319302</v>
      </c>
      <c r="H56" s="37">
        <f t="shared" si="113"/>
        <v>70457</v>
      </c>
      <c r="I56" s="37">
        <f t="shared" si="113"/>
        <v>7</v>
      </c>
      <c r="J56" s="37">
        <f t="shared" si="113"/>
        <v>72952</v>
      </c>
      <c r="K56" s="37">
        <f t="shared" si="113"/>
        <v>19436</v>
      </c>
      <c r="L56" s="37">
        <f t="shared" si="113"/>
        <v>7129</v>
      </c>
      <c r="M56" s="37">
        <f t="shared" si="113"/>
        <v>11726</v>
      </c>
      <c r="N56" s="37">
        <f t="shared" si="113"/>
        <v>0</v>
      </c>
      <c r="O56" s="78">
        <f t="shared" si="113"/>
        <v>-7555</v>
      </c>
      <c r="P56" s="37">
        <f t="shared" si="113"/>
        <v>0</v>
      </c>
      <c r="Q56" s="37">
        <f t="shared" si="113"/>
        <v>0</v>
      </c>
      <c r="R56" s="37">
        <f t="shared" si="113"/>
        <v>0</v>
      </c>
      <c r="S56" s="37">
        <f t="shared" si="113"/>
        <v>0</v>
      </c>
      <c r="T56" s="37">
        <f t="shared" si="113"/>
        <v>0</v>
      </c>
      <c r="U56" s="37">
        <f t="shared" si="113"/>
        <v>0</v>
      </c>
      <c r="V56" s="37">
        <f t="shared" si="113"/>
        <v>2378121</v>
      </c>
      <c r="W56" s="37">
        <f t="shared" si="113"/>
        <v>1595023</v>
      </c>
      <c r="X56" s="37">
        <f t="shared" si="113"/>
        <v>4</v>
      </c>
      <c r="Y56" s="37">
        <f t="shared" si="113"/>
        <v>128848</v>
      </c>
      <c r="Z56" s="37">
        <f t="shared" si="113"/>
        <v>0</v>
      </c>
      <c r="AA56" s="37">
        <f t="shared" si="113"/>
        <v>0</v>
      </c>
      <c r="AB56" s="37">
        <f t="shared" si="113"/>
        <v>0</v>
      </c>
      <c r="AC56" s="37">
        <f t="shared" si="113"/>
        <v>42919</v>
      </c>
      <c r="AD56" s="37">
        <f t="shared" si="113"/>
        <v>0</v>
      </c>
      <c r="AE56" s="37">
        <f t="shared" si="113"/>
        <v>0</v>
      </c>
      <c r="AF56" s="37">
        <f t="shared" si="113"/>
        <v>0</v>
      </c>
      <c r="AG56" s="78">
        <f t="shared" si="113"/>
        <v>0</v>
      </c>
      <c r="AH56" s="37">
        <f t="shared" si="113"/>
        <v>0</v>
      </c>
      <c r="AI56" s="37">
        <f t="shared" si="113"/>
        <v>0</v>
      </c>
      <c r="AJ56" s="37">
        <f t="shared" si="113"/>
        <v>0</v>
      </c>
      <c r="AK56" s="37">
        <f t="shared" si="113"/>
        <v>0</v>
      </c>
      <c r="AL56" s="37">
        <f t="shared" si="113"/>
        <v>1766794</v>
      </c>
      <c r="AM56" s="37">
        <f t="shared" si="113"/>
        <v>895023</v>
      </c>
      <c r="AN56" s="37">
        <f t="shared" si="113"/>
        <v>4</v>
      </c>
      <c r="AO56" s="37">
        <f t="shared" si="113"/>
        <v>775306</v>
      </c>
      <c r="AP56" s="37">
        <f t="shared" si="113"/>
        <v>0</v>
      </c>
      <c r="AQ56" s="37">
        <f t="shared" si="113"/>
        <v>0</v>
      </c>
      <c r="AR56" s="37">
        <f t="shared" si="113"/>
        <v>0</v>
      </c>
      <c r="AS56" s="37">
        <f t="shared" si="113"/>
        <v>35766</v>
      </c>
      <c r="AT56" s="78">
        <f t="shared" si="113"/>
        <v>0</v>
      </c>
      <c r="AU56" s="37">
        <f t="shared" si="113"/>
        <v>0</v>
      </c>
      <c r="AV56" s="37">
        <f t="shared" si="113"/>
        <v>0</v>
      </c>
      <c r="AW56" s="37">
        <f t="shared" si="113"/>
        <v>0</v>
      </c>
      <c r="AX56" s="37">
        <f t="shared" si="113"/>
        <v>0</v>
      </c>
      <c r="AY56" s="37">
        <f t="shared" si="113"/>
        <v>0</v>
      </c>
      <c r="AZ56" s="37">
        <f t="shared" si="113"/>
        <v>0</v>
      </c>
      <c r="BA56" s="37">
        <f t="shared" si="113"/>
        <v>0</v>
      </c>
      <c r="BB56" s="37">
        <f>BB57+BB58+BB61+BB65+BB67</f>
        <v>1706099</v>
      </c>
    </row>
    <row r="57" spans="1:54" s="19" customFormat="1" ht="36" customHeight="1" x14ac:dyDescent="0.25">
      <c r="A57" s="90" t="s">
        <v>23</v>
      </c>
      <c r="B57" s="128"/>
      <c r="C57" s="39" t="s">
        <v>94</v>
      </c>
      <c r="D57" s="14">
        <v>441421</v>
      </c>
      <c r="E57" s="14">
        <v>-10553</v>
      </c>
      <c r="F57" s="14"/>
      <c r="G57" s="14">
        <v>-125000</v>
      </c>
      <c r="H57" s="14">
        <f>-257</f>
        <v>-257</v>
      </c>
      <c r="I57" s="14">
        <v>-257</v>
      </c>
      <c r="J57" s="14">
        <f>-24160+850</f>
        <v>-23310</v>
      </c>
      <c r="K57" s="14">
        <v>-92</v>
      </c>
      <c r="L57" s="14"/>
      <c r="M57" s="14"/>
      <c r="N57" s="14"/>
      <c r="O57" s="79">
        <v>-91</v>
      </c>
      <c r="P57" s="14"/>
      <c r="Q57" s="14"/>
      <c r="R57" s="14"/>
      <c r="S57" s="14"/>
      <c r="T57" s="14"/>
      <c r="U57" s="14"/>
      <c r="V57" s="14">
        <f>SUM(D57:U57)</f>
        <v>281861</v>
      </c>
      <c r="W57" s="14">
        <f>420702+846</f>
        <v>421548</v>
      </c>
      <c r="X57" s="14"/>
      <c r="Y57" s="14"/>
      <c r="Z57" s="14"/>
      <c r="AA57" s="14"/>
      <c r="AB57" s="14"/>
      <c r="AC57" s="14">
        <v>42919</v>
      </c>
      <c r="AD57" s="14"/>
      <c r="AE57" s="14"/>
      <c r="AF57" s="14"/>
      <c r="AG57" s="79"/>
      <c r="AH57" s="14"/>
      <c r="AI57" s="14"/>
      <c r="AJ57" s="14"/>
      <c r="AK57" s="14"/>
      <c r="AL57" s="86">
        <f>SUM(W57:AK57)</f>
        <v>464467</v>
      </c>
      <c r="AM57" s="14">
        <f>420702+846</f>
        <v>421548</v>
      </c>
      <c r="AN57" s="14"/>
      <c r="AO57" s="14"/>
      <c r="AP57" s="14"/>
      <c r="AQ57" s="14"/>
      <c r="AR57" s="14"/>
      <c r="AS57" s="14">
        <v>35766</v>
      </c>
      <c r="AT57" s="79"/>
      <c r="AU57" s="14"/>
      <c r="AV57" s="14"/>
      <c r="AW57" s="14"/>
      <c r="AX57" s="14"/>
      <c r="AY57" s="14"/>
      <c r="AZ57" s="14"/>
      <c r="BA57" s="14"/>
      <c r="BB57" s="14">
        <f>SUM(AM57:BA57)</f>
        <v>457314</v>
      </c>
    </row>
    <row r="58" spans="1:54" s="19" customFormat="1" ht="38.25" customHeight="1" x14ac:dyDescent="0.25">
      <c r="A58" s="118" t="s">
        <v>24</v>
      </c>
      <c r="B58" s="128"/>
      <c r="C58" s="39" t="s">
        <v>97</v>
      </c>
      <c r="D58" s="29">
        <f>SUM(D59:D60)</f>
        <v>241256</v>
      </c>
      <c r="E58" s="29">
        <f t="shared" ref="E58:U58" si="114">SUM(E59:E60)</f>
        <v>0</v>
      </c>
      <c r="F58" s="29">
        <f t="shared" si="114"/>
        <v>75306</v>
      </c>
      <c r="G58" s="29">
        <f t="shared" si="114"/>
        <v>0</v>
      </c>
      <c r="H58" s="29">
        <f t="shared" si="114"/>
        <v>0</v>
      </c>
      <c r="I58" s="29">
        <f t="shared" si="114"/>
        <v>0</v>
      </c>
      <c r="J58" s="29">
        <f t="shared" si="114"/>
        <v>28718</v>
      </c>
      <c r="K58" s="29">
        <f t="shared" si="114"/>
        <v>0</v>
      </c>
      <c r="L58" s="29">
        <f t="shared" si="114"/>
        <v>0</v>
      </c>
      <c r="M58" s="29">
        <f t="shared" ref="M58:T58" si="115">SUM(M59:M60)</f>
        <v>0</v>
      </c>
      <c r="N58" s="29">
        <f t="shared" si="115"/>
        <v>0</v>
      </c>
      <c r="O58" s="82">
        <f t="shared" ref="O58:P58" si="116">SUM(O59:O60)</f>
        <v>-7855</v>
      </c>
      <c r="P58" s="29">
        <f t="shared" si="116"/>
        <v>0</v>
      </c>
      <c r="Q58" s="29">
        <f t="shared" si="115"/>
        <v>0</v>
      </c>
      <c r="R58" s="29">
        <f t="shared" si="115"/>
        <v>0</v>
      </c>
      <c r="S58" s="29">
        <f t="shared" si="115"/>
        <v>0</v>
      </c>
      <c r="T58" s="29">
        <f t="shared" si="115"/>
        <v>0</v>
      </c>
      <c r="U58" s="29">
        <f t="shared" si="114"/>
        <v>0</v>
      </c>
      <c r="V58" s="29">
        <f>SUM(V59:V60)</f>
        <v>337425</v>
      </c>
      <c r="W58" s="29">
        <f t="shared" ref="W58" si="117">SUM(W59:W60)</f>
        <v>241922</v>
      </c>
      <c r="X58" s="29">
        <f t="shared" ref="X58" si="118">SUM(X59:X60)</f>
        <v>0</v>
      </c>
      <c r="Y58" s="29">
        <f t="shared" ref="Y58:AK58" si="119">SUM(Y59:Y60)</f>
        <v>75306</v>
      </c>
      <c r="Z58" s="29">
        <f t="shared" si="119"/>
        <v>0</v>
      </c>
      <c r="AA58" s="29">
        <f t="shared" si="119"/>
        <v>0</v>
      </c>
      <c r="AB58" s="29">
        <f t="shared" si="119"/>
        <v>0</v>
      </c>
      <c r="AC58" s="29">
        <f t="shared" si="119"/>
        <v>0</v>
      </c>
      <c r="AD58" s="29">
        <f t="shared" ref="AD58:AI58" si="120">SUM(AD59:AD60)</f>
        <v>0</v>
      </c>
      <c r="AE58" s="29">
        <f t="shared" ref="AE58" si="121">SUM(AE59:AE60)</f>
        <v>0</v>
      </c>
      <c r="AF58" s="29">
        <f t="shared" si="120"/>
        <v>0</v>
      </c>
      <c r="AG58" s="82">
        <f t="shared" si="120"/>
        <v>0</v>
      </c>
      <c r="AH58" s="29">
        <f t="shared" si="120"/>
        <v>0</v>
      </c>
      <c r="AI58" s="29">
        <f t="shared" si="120"/>
        <v>0</v>
      </c>
      <c r="AJ58" s="29">
        <f t="shared" si="119"/>
        <v>0</v>
      </c>
      <c r="AK58" s="29">
        <f t="shared" si="119"/>
        <v>0</v>
      </c>
      <c r="AL58" s="14">
        <f>SUM(AL59:AL60)</f>
        <v>317228</v>
      </c>
      <c r="AM58" s="29">
        <f t="shared" ref="AM58:AN58" si="122">SUM(AM59:AM60)</f>
        <v>241922</v>
      </c>
      <c r="AN58" s="29">
        <f t="shared" si="122"/>
        <v>0</v>
      </c>
      <c r="AO58" s="29">
        <f t="shared" ref="AO58:BA58" si="123">SUM(AO59:AO60)</f>
        <v>75306</v>
      </c>
      <c r="AP58" s="29">
        <f t="shared" si="123"/>
        <v>0</v>
      </c>
      <c r="AQ58" s="29">
        <f t="shared" si="123"/>
        <v>0</v>
      </c>
      <c r="AR58" s="29">
        <f t="shared" si="123"/>
        <v>0</v>
      </c>
      <c r="AS58" s="29">
        <f t="shared" si="123"/>
        <v>0</v>
      </c>
      <c r="AT58" s="82">
        <f t="shared" ref="AT58:AY58" si="124">SUM(AT59:AT60)</f>
        <v>0</v>
      </c>
      <c r="AU58" s="29">
        <f t="shared" si="124"/>
        <v>0</v>
      </c>
      <c r="AV58" s="29">
        <f t="shared" si="124"/>
        <v>0</v>
      </c>
      <c r="AW58" s="29">
        <f t="shared" si="124"/>
        <v>0</v>
      </c>
      <c r="AX58" s="29">
        <f t="shared" si="124"/>
        <v>0</v>
      </c>
      <c r="AY58" s="29">
        <f t="shared" si="124"/>
        <v>0</v>
      </c>
      <c r="AZ58" s="29">
        <f t="shared" si="123"/>
        <v>0</v>
      </c>
      <c r="BA58" s="29">
        <f t="shared" si="123"/>
        <v>0</v>
      </c>
      <c r="BB58" s="14">
        <f>SUM(BB59:BB60)</f>
        <v>317228</v>
      </c>
    </row>
    <row r="59" spans="1:54" s="47" customFormat="1" hidden="1" x14ac:dyDescent="0.25">
      <c r="A59" s="119"/>
      <c r="B59" s="128"/>
      <c r="C59" s="43">
        <v>903</v>
      </c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79"/>
      <c r="P59" s="45"/>
      <c r="Q59" s="45"/>
      <c r="R59" s="45"/>
      <c r="S59" s="45"/>
      <c r="T59" s="45"/>
      <c r="U59" s="45"/>
      <c r="V59" s="45">
        <f>SUM(D59:U59)</f>
        <v>0</v>
      </c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79"/>
      <c r="AH59" s="45"/>
      <c r="AI59" s="45"/>
      <c r="AJ59" s="45"/>
      <c r="AK59" s="45"/>
      <c r="AL59" s="45">
        <f t="shared" ref="AL59:AL66" si="125">SUM(W59:AK59)</f>
        <v>0</v>
      </c>
      <c r="AM59" s="45"/>
      <c r="AN59" s="45"/>
      <c r="AO59" s="45"/>
      <c r="AP59" s="45"/>
      <c r="AQ59" s="45"/>
      <c r="AR59" s="45"/>
      <c r="AS59" s="45"/>
      <c r="AT59" s="79"/>
      <c r="AU59" s="45"/>
      <c r="AV59" s="45"/>
      <c r="AW59" s="45"/>
      <c r="AX59" s="45"/>
      <c r="AY59" s="45"/>
      <c r="AZ59" s="45"/>
      <c r="BA59" s="45"/>
      <c r="BB59" s="45">
        <f t="shared" ref="BB59:BB66" si="126">SUM(AM59:BA59)</f>
        <v>0</v>
      </c>
    </row>
    <row r="60" spans="1:54" s="47" customFormat="1" ht="15.75" hidden="1" customHeight="1" x14ac:dyDescent="0.25">
      <c r="A60" s="120"/>
      <c r="B60" s="128"/>
      <c r="C60" s="43">
        <v>909</v>
      </c>
      <c r="D60" s="45">
        <v>241256</v>
      </c>
      <c r="E60" s="45"/>
      <c r="F60" s="45">
        <v>75306</v>
      </c>
      <c r="G60" s="45"/>
      <c r="H60" s="45"/>
      <c r="I60" s="45"/>
      <c r="J60" s="45">
        <f>-290+290+28718</f>
        <v>28718</v>
      </c>
      <c r="K60" s="45"/>
      <c r="L60" s="45"/>
      <c r="M60" s="45">
        <f>-74718+21818+52900</f>
        <v>0</v>
      </c>
      <c r="N60" s="45"/>
      <c r="O60" s="79">
        <v>-7855</v>
      </c>
      <c r="P60" s="45"/>
      <c r="Q60" s="45"/>
      <c r="R60" s="45"/>
      <c r="S60" s="45"/>
      <c r="T60" s="45"/>
      <c r="U60" s="45"/>
      <c r="V60" s="45">
        <f>SUM(D60:U60)</f>
        <v>337425</v>
      </c>
      <c r="W60" s="45">
        <v>241922</v>
      </c>
      <c r="X60" s="45"/>
      <c r="Y60" s="45">
        <v>75306</v>
      </c>
      <c r="Z60" s="45"/>
      <c r="AA60" s="45"/>
      <c r="AB60" s="45"/>
      <c r="AC60" s="45"/>
      <c r="AD60" s="45"/>
      <c r="AE60" s="45"/>
      <c r="AF60" s="45"/>
      <c r="AG60" s="79"/>
      <c r="AH60" s="45"/>
      <c r="AI60" s="45"/>
      <c r="AJ60" s="45"/>
      <c r="AK60" s="45"/>
      <c r="AL60" s="45">
        <f t="shared" si="125"/>
        <v>317228</v>
      </c>
      <c r="AM60" s="45">
        <v>241922</v>
      </c>
      <c r="AN60" s="45"/>
      <c r="AO60" s="45">
        <v>75306</v>
      </c>
      <c r="AP60" s="45"/>
      <c r="AQ60" s="45"/>
      <c r="AR60" s="45"/>
      <c r="AS60" s="45"/>
      <c r="AT60" s="79"/>
      <c r="AU60" s="45"/>
      <c r="AV60" s="45"/>
      <c r="AW60" s="45"/>
      <c r="AX60" s="45"/>
      <c r="AY60" s="45"/>
      <c r="AZ60" s="45"/>
      <c r="BA60" s="45"/>
      <c r="BB60" s="45">
        <f t="shared" si="126"/>
        <v>317228</v>
      </c>
    </row>
    <row r="61" spans="1:54" s="19" customFormat="1" ht="35.25" customHeight="1" x14ac:dyDescent="0.25">
      <c r="A61" s="93" t="s">
        <v>25</v>
      </c>
      <c r="B61" s="128"/>
      <c r="C61" s="39" t="s">
        <v>95</v>
      </c>
      <c r="D61" s="29">
        <f>SUM(D62:D64)</f>
        <v>780448</v>
      </c>
      <c r="E61" s="29">
        <f t="shared" ref="E61:G61" si="127">SUM(E62:E64)</f>
        <v>162208</v>
      </c>
      <c r="F61" s="29">
        <f t="shared" si="127"/>
        <v>21243</v>
      </c>
      <c r="G61" s="29">
        <f t="shared" si="127"/>
        <v>444302</v>
      </c>
      <c r="H61" s="29">
        <f t="shared" ref="H61" si="128">SUM(H62:H64)</f>
        <v>71577</v>
      </c>
      <c r="I61" s="29">
        <f t="shared" ref="I61" si="129">SUM(I62:I64)</f>
        <v>-196</v>
      </c>
      <c r="J61" s="29">
        <f t="shared" ref="J61" si="130">SUM(J62:J64)</f>
        <v>67544</v>
      </c>
      <c r="K61" s="29">
        <f t="shared" ref="K61" si="131">SUM(K62:K64)</f>
        <v>19919</v>
      </c>
      <c r="L61" s="29">
        <f t="shared" ref="L61" si="132">SUM(L62:L64)</f>
        <v>7129</v>
      </c>
      <c r="M61" s="29">
        <f t="shared" ref="M61" si="133">SUM(M62:M64)</f>
        <v>11242</v>
      </c>
      <c r="N61" s="29">
        <f t="shared" ref="N61" si="134">SUM(N62:N64)</f>
        <v>0</v>
      </c>
      <c r="O61" s="82">
        <f t="shared" ref="O61" si="135">SUM(O62:O64)</f>
        <v>407</v>
      </c>
      <c r="P61" s="29">
        <f t="shared" ref="P61" si="136">SUM(P62:P64)</f>
        <v>0</v>
      </c>
      <c r="Q61" s="29">
        <f t="shared" ref="Q61" si="137">SUM(Q62:Q64)</f>
        <v>0</v>
      </c>
      <c r="R61" s="29">
        <f t="shared" ref="R61" si="138">SUM(R62:R64)</f>
        <v>0</v>
      </c>
      <c r="S61" s="29">
        <f t="shared" ref="S61" si="139">SUM(S62:S64)</f>
        <v>0</v>
      </c>
      <c r="T61" s="29">
        <f t="shared" ref="T61" si="140">SUM(T62:T64)</f>
        <v>0</v>
      </c>
      <c r="U61" s="29">
        <f t="shared" ref="U61" si="141">SUM(U62:U64)</f>
        <v>0</v>
      </c>
      <c r="V61" s="29">
        <f t="shared" ref="V61" si="142">SUM(V62:V64)</f>
        <v>1585823</v>
      </c>
      <c r="W61" s="29">
        <f t="shared" ref="W61" si="143">SUM(W62:W64)</f>
        <v>832699</v>
      </c>
      <c r="X61" s="29">
        <f t="shared" ref="X61" si="144">SUM(X62:X64)</f>
        <v>0</v>
      </c>
      <c r="Y61" s="29">
        <f t="shared" ref="Y61" si="145">SUM(Y62:Y64)</f>
        <v>53542</v>
      </c>
      <c r="Z61" s="29">
        <f t="shared" ref="Z61" si="146">SUM(Z62:Z64)</f>
        <v>0</v>
      </c>
      <c r="AA61" s="29">
        <f t="shared" ref="AA61" si="147">SUM(AA62:AA64)</f>
        <v>0</v>
      </c>
      <c r="AB61" s="29">
        <f t="shared" ref="AB61" si="148">SUM(AB62:AB64)</f>
        <v>0</v>
      </c>
      <c r="AC61" s="29">
        <f t="shared" ref="AC61" si="149">SUM(AC62:AC64)</f>
        <v>0</v>
      </c>
      <c r="AD61" s="29">
        <f t="shared" ref="AD61" si="150">SUM(AD62:AD64)</f>
        <v>0</v>
      </c>
      <c r="AE61" s="29">
        <f t="shared" ref="AE61" si="151">SUM(AE62:AE64)</f>
        <v>0</v>
      </c>
      <c r="AF61" s="29">
        <f t="shared" ref="AF61" si="152">SUM(AF62:AF64)</f>
        <v>0</v>
      </c>
      <c r="AG61" s="82">
        <f t="shared" ref="AG61" si="153">SUM(AG62:AG64)</f>
        <v>0</v>
      </c>
      <c r="AH61" s="29">
        <f t="shared" ref="AH61" si="154">SUM(AH62:AH64)</f>
        <v>0</v>
      </c>
      <c r="AI61" s="29">
        <f t="shared" ref="AI61" si="155">SUM(AI62:AI64)</f>
        <v>0</v>
      </c>
      <c r="AJ61" s="29">
        <f t="shared" ref="AJ61" si="156">SUM(AJ62:AJ64)</f>
        <v>0</v>
      </c>
      <c r="AK61" s="29">
        <f t="shared" ref="AK61" si="157">SUM(AK62:AK64)</f>
        <v>0</v>
      </c>
      <c r="AL61" s="14">
        <f t="shared" ref="AL61" si="158">SUM(AL62:AL64)</f>
        <v>886241</v>
      </c>
      <c r="AM61" s="29">
        <f t="shared" ref="AM61" si="159">SUM(AM62:AM64)</f>
        <v>132699</v>
      </c>
      <c r="AN61" s="29">
        <f t="shared" ref="AN61" si="160">SUM(AN62:AN64)</f>
        <v>0</v>
      </c>
      <c r="AO61" s="29">
        <f t="shared" ref="AO61" si="161">SUM(AO62:AO64)</f>
        <v>700000</v>
      </c>
      <c r="AP61" s="29">
        <f t="shared" ref="AP61" si="162">SUM(AP62:AP64)</f>
        <v>0</v>
      </c>
      <c r="AQ61" s="29">
        <f t="shared" ref="AQ61" si="163">SUM(AQ62:AQ64)</f>
        <v>0</v>
      </c>
      <c r="AR61" s="29">
        <f t="shared" ref="AR61" si="164">SUM(AR62:AR64)</f>
        <v>0</v>
      </c>
      <c r="AS61" s="29">
        <f t="shared" ref="AS61" si="165">SUM(AS62:AS64)</f>
        <v>0</v>
      </c>
      <c r="AT61" s="82">
        <f t="shared" ref="AT61" si="166">SUM(AT62:AT64)</f>
        <v>0</v>
      </c>
      <c r="AU61" s="29">
        <f t="shared" ref="AU61" si="167">SUM(AU62:AU64)</f>
        <v>0</v>
      </c>
      <c r="AV61" s="29">
        <f t="shared" ref="AV61" si="168">SUM(AV62:AV64)</f>
        <v>0</v>
      </c>
      <c r="AW61" s="29">
        <f t="shared" ref="AW61" si="169">SUM(AW62:AW64)</f>
        <v>0</v>
      </c>
      <c r="AX61" s="29">
        <f t="shared" ref="AX61" si="170">SUM(AX62:AX64)</f>
        <v>0</v>
      </c>
      <c r="AY61" s="29">
        <f t="shared" ref="AY61" si="171">SUM(AY62:AY64)</f>
        <v>0</v>
      </c>
      <c r="AZ61" s="29">
        <f t="shared" ref="AZ61" si="172">SUM(AZ62:AZ64)</f>
        <v>0</v>
      </c>
      <c r="BA61" s="29">
        <f t="shared" ref="BA61" si="173">SUM(BA62:BA64)</f>
        <v>0</v>
      </c>
      <c r="BB61" s="14">
        <f t="shared" ref="BB61" si="174">SUM(BB62:BB64)</f>
        <v>832699</v>
      </c>
    </row>
    <row r="62" spans="1:54" s="47" customFormat="1" hidden="1" x14ac:dyDescent="0.25">
      <c r="A62" s="94"/>
      <c r="B62" s="128"/>
      <c r="C62" s="43">
        <v>902</v>
      </c>
      <c r="D62" s="48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79"/>
      <c r="P62" s="45"/>
      <c r="Q62" s="45"/>
      <c r="R62" s="45"/>
      <c r="S62" s="45"/>
      <c r="T62" s="45"/>
      <c r="U62" s="45"/>
      <c r="V62" s="45">
        <f>SUM(D62:U62)</f>
        <v>0</v>
      </c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79"/>
      <c r="AH62" s="45"/>
      <c r="AI62" s="45"/>
      <c r="AJ62" s="45"/>
      <c r="AK62" s="45"/>
      <c r="AL62" s="45">
        <f t="shared" si="125"/>
        <v>0</v>
      </c>
      <c r="AM62" s="45"/>
      <c r="AN62" s="45"/>
      <c r="AO62" s="45"/>
      <c r="AP62" s="45"/>
      <c r="AQ62" s="45"/>
      <c r="AR62" s="45"/>
      <c r="AS62" s="45"/>
      <c r="AT62" s="79"/>
      <c r="AU62" s="45"/>
      <c r="AV62" s="45"/>
      <c r="AW62" s="45"/>
      <c r="AX62" s="45"/>
      <c r="AY62" s="45"/>
      <c r="AZ62" s="45"/>
      <c r="BA62" s="45"/>
      <c r="BB62" s="45">
        <f t="shared" si="126"/>
        <v>0</v>
      </c>
    </row>
    <row r="63" spans="1:54" s="47" customFormat="1" hidden="1" x14ac:dyDescent="0.25">
      <c r="A63" s="95"/>
      <c r="B63" s="128"/>
      <c r="C63" s="43">
        <v>909</v>
      </c>
      <c r="D63" s="45">
        <v>780448</v>
      </c>
      <c r="E63" s="45">
        <v>4367</v>
      </c>
      <c r="F63" s="45"/>
      <c r="G63" s="45">
        <f>9479+394410</f>
        <v>403889</v>
      </c>
      <c r="H63" s="45">
        <f>1320-962+3419+67800</f>
        <v>71577</v>
      </c>
      <c r="I63" s="45">
        <f>-1567+1371</f>
        <v>-196</v>
      </c>
      <c r="J63" s="45">
        <f>-6945+34+1267-290+1664+27260+290+5740</f>
        <v>29020</v>
      </c>
      <c r="K63" s="45">
        <v>19919</v>
      </c>
      <c r="L63" s="45">
        <f>7129</f>
        <v>7129</v>
      </c>
      <c r="M63" s="45">
        <v>20</v>
      </c>
      <c r="N63" s="45"/>
      <c r="O63" s="79">
        <v>407</v>
      </c>
      <c r="P63" s="45"/>
      <c r="Q63" s="45"/>
      <c r="R63" s="45"/>
      <c r="S63" s="45"/>
      <c r="T63" s="45"/>
      <c r="U63" s="45"/>
      <c r="V63" s="45">
        <f>SUM(D63:U63)</f>
        <v>1316580</v>
      </c>
      <c r="W63" s="45">
        <f>832699</f>
        <v>832699</v>
      </c>
      <c r="X63" s="45"/>
      <c r="Y63" s="45"/>
      <c r="Z63" s="45"/>
      <c r="AA63" s="45"/>
      <c r="AB63" s="45"/>
      <c r="AC63" s="45"/>
      <c r="AD63" s="45"/>
      <c r="AE63" s="45"/>
      <c r="AF63" s="45"/>
      <c r="AG63" s="79"/>
      <c r="AH63" s="45"/>
      <c r="AI63" s="45"/>
      <c r="AJ63" s="45"/>
      <c r="AK63" s="45"/>
      <c r="AL63" s="45">
        <f t="shared" si="125"/>
        <v>832699</v>
      </c>
      <c r="AM63" s="45">
        <v>132699</v>
      </c>
      <c r="AN63" s="45"/>
      <c r="AO63" s="45">
        <v>700000</v>
      </c>
      <c r="AP63" s="45"/>
      <c r="AQ63" s="45"/>
      <c r="AR63" s="45"/>
      <c r="AS63" s="45"/>
      <c r="AT63" s="79"/>
      <c r="AU63" s="45"/>
      <c r="AV63" s="45"/>
      <c r="AW63" s="45"/>
      <c r="AX63" s="45"/>
      <c r="AY63" s="45"/>
      <c r="AZ63" s="45"/>
      <c r="BA63" s="45"/>
      <c r="BB63" s="45">
        <f t="shared" si="126"/>
        <v>832699</v>
      </c>
    </row>
    <row r="64" spans="1:54" s="47" customFormat="1" hidden="1" x14ac:dyDescent="0.25">
      <c r="A64" s="96"/>
      <c r="B64" s="128"/>
      <c r="C64" s="43">
        <v>914</v>
      </c>
      <c r="D64" s="45"/>
      <c r="E64" s="45">
        <v>157841</v>
      </c>
      <c r="F64" s="45">
        <f>21243</f>
        <v>21243</v>
      </c>
      <c r="G64" s="45">
        <v>40413</v>
      </c>
      <c r="H64" s="45"/>
      <c r="I64" s="45"/>
      <c r="J64" s="45">
        <f>31579+6945</f>
        <v>38524</v>
      </c>
      <c r="K64" s="45"/>
      <c r="L64" s="45"/>
      <c r="M64" s="45">
        <f>561+10661</f>
        <v>11222</v>
      </c>
      <c r="N64" s="45"/>
      <c r="O64" s="79"/>
      <c r="P64" s="45"/>
      <c r="Q64" s="45"/>
      <c r="R64" s="45"/>
      <c r="S64" s="45"/>
      <c r="T64" s="45"/>
      <c r="U64" s="45"/>
      <c r="V64" s="45">
        <f>SUM(D64:U64)</f>
        <v>269243</v>
      </c>
      <c r="W64" s="45"/>
      <c r="X64" s="45"/>
      <c r="Y64" s="45">
        <f>53542</f>
        <v>53542</v>
      </c>
      <c r="Z64" s="45"/>
      <c r="AA64" s="45"/>
      <c r="AB64" s="45"/>
      <c r="AC64" s="45"/>
      <c r="AD64" s="45"/>
      <c r="AE64" s="45"/>
      <c r="AF64" s="45"/>
      <c r="AG64" s="79"/>
      <c r="AH64" s="45"/>
      <c r="AI64" s="45"/>
      <c r="AJ64" s="45"/>
      <c r="AK64" s="45"/>
      <c r="AL64" s="45">
        <f t="shared" si="125"/>
        <v>53542</v>
      </c>
      <c r="AM64" s="45"/>
      <c r="AN64" s="45"/>
      <c r="AO64" s="45"/>
      <c r="AP64" s="45"/>
      <c r="AQ64" s="45"/>
      <c r="AR64" s="45"/>
      <c r="AS64" s="45"/>
      <c r="AT64" s="79"/>
      <c r="AU64" s="45"/>
      <c r="AV64" s="45"/>
      <c r="AW64" s="45"/>
      <c r="AX64" s="45"/>
      <c r="AY64" s="45"/>
      <c r="AZ64" s="45"/>
      <c r="BA64" s="45"/>
      <c r="BB64" s="45">
        <f t="shared" si="126"/>
        <v>0</v>
      </c>
    </row>
    <row r="65" spans="1:59" s="19" customFormat="1" ht="45" hidden="1" customHeight="1" x14ac:dyDescent="0.25">
      <c r="A65" s="97" t="s">
        <v>84</v>
      </c>
      <c r="B65" s="128"/>
      <c r="C65" s="65" t="s">
        <v>85</v>
      </c>
      <c r="D65" s="29">
        <f>D66</f>
        <v>0</v>
      </c>
      <c r="E65" s="29">
        <f t="shared" ref="E65:BA67" si="175">E66</f>
        <v>0</v>
      </c>
      <c r="F65" s="29">
        <f t="shared" si="175"/>
        <v>0</v>
      </c>
      <c r="G65" s="29">
        <f t="shared" si="175"/>
        <v>0</v>
      </c>
      <c r="H65" s="29">
        <f t="shared" si="175"/>
        <v>0</v>
      </c>
      <c r="I65" s="29">
        <f t="shared" si="175"/>
        <v>0</v>
      </c>
      <c r="J65" s="29">
        <f t="shared" si="175"/>
        <v>0</v>
      </c>
      <c r="K65" s="29">
        <f t="shared" si="175"/>
        <v>0</v>
      </c>
      <c r="L65" s="29">
        <f t="shared" si="175"/>
        <v>0</v>
      </c>
      <c r="M65" s="29">
        <f t="shared" si="175"/>
        <v>0</v>
      </c>
      <c r="N65" s="29">
        <f t="shared" si="175"/>
        <v>0</v>
      </c>
      <c r="O65" s="82">
        <f t="shared" si="175"/>
        <v>0</v>
      </c>
      <c r="P65" s="29">
        <f t="shared" si="175"/>
        <v>0</v>
      </c>
      <c r="Q65" s="29">
        <f t="shared" si="175"/>
        <v>0</v>
      </c>
      <c r="R65" s="29">
        <f t="shared" si="175"/>
        <v>0</v>
      </c>
      <c r="S65" s="29">
        <f t="shared" si="175"/>
        <v>0</v>
      </c>
      <c r="T65" s="29">
        <f t="shared" si="175"/>
        <v>0</v>
      </c>
      <c r="U65" s="29">
        <f t="shared" si="175"/>
        <v>0</v>
      </c>
      <c r="V65" s="29">
        <f t="shared" si="175"/>
        <v>0</v>
      </c>
      <c r="W65" s="29">
        <f t="shared" si="175"/>
        <v>0</v>
      </c>
      <c r="X65" s="29">
        <f t="shared" si="175"/>
        <v>0</v>
      </c>
      <c r="Y65" s="29">
        <f t="shared" si="175"/>
        <v>0</v>
      </c>
      <c r="Z65" s="29">
        <f t="shared" si="175"/>
        <v>0</v>
      </c>
      <c r="AA65" s="29">
        <f t="shared" si="175"/>
        <v>0</v>
      </c>
      <c r="AB65" s="29">
        <f t="shared" si="175"/>
        <v>0</v>
      </c>
      <c r="AC65" s="29">
        <f t="shared" si="175"/>
        <v>0</v>
      </c>
      <c r="AD65" s="29">
        <f t="shared" si="175"/>
        <v>0</v>
      </c>
      <c r="AE65" s="29">
        <f t="shared" si="175"/>
        <v>0</v>
      </c>
      <c r="AF65" s="29">
        <f t="shared" si="175"/>
        <v>0</v>
      </c>
      <c r="AG65" s="82">
        <f t="shared" si="175"/>
        <v>0</v>
      </c>
      <c r="AH65" s="29">
        <f t="shared" si="175"/>
        <v>0</v>
      </c>
      <c r="AI65" s="29">
        <f t="shared" si="175"/>
        <v>0</v>
      </c>
      <c r="AJ65" s="29">
        <f t="shared" si="175"/>
        <v>0</v>
      </c>
      <c r="AK65" s="29">
        <f t="shared" si="175"/>
        <v>0</v>
      </c>
      <c r="AL65" s="14">
        <f t="shared" si="125"/>
        <v>0</v>
      </c>
      <c r="AM65" s="29">
        <f t="shared" si="175"/>
        <v>0</v>
      </c>
      <c r="AN65" s="29">
        <f t="shared" si="175"/>
        <v>0</v>
      </c>
      <c r="AO65" s="29">
        <f t="shared" si="175"/>
        <v>0</v>
      </c>
      <c r="AP65" s="29">
        <f t="shared" si="175"/>
        <v>0</v>
      </c>
      <c r="AQ65" s="29">
        <f t="shared" si="175"/>
        <v>0</v>
      </c>
      <c r="AR65" s="29">
        <f t="shared" si="175"/>
        <v>0</v>
      </c>
      <c r="AS65" s="29">
        <f t="shared" si="175"/>
        <v>0</v>
      </c>
      <c r="AT65" s="82">
        <f t="shared" si="175"/>
        <v>0</v>
      </c>
      <c r="AU65" s="29">
        <f t="shared" si="175"/>
        <v>0</v>
      </c>
      <c r="AV65" s="29">
        <f t="shared" si="175"/>
        <v>0</v>
      </c>
      <c r="AW65" s="29">
        <f t="shared" si="175"/>
        <v>0</v>
      </c>
      <c r="AX65" s="29">
        <f t="shared" si="175"/>
        <v>0</v>
      </c>
      <c r="AY65" s="29">
        <f t="shared" si="175"/>
        <v>0</v>
      </c>
      <c r="AZ65" s="29">
        <f t="shared" si="175"/>
        <v>0</v>
      </c>
      <c r="BA65" s="29">
        <f t="shared" si="175"/>
        <v>0</v>
      </c>
      <c r="BB65" s="14">
        <f t="shared" si="126"/>
        <v>0</v>
      </c>
    </row>
    <row r="66" spans="1:59" s="47" customFormat="1" hidden="1" x14ac:dyDescent="0.25">
      <c r="A66" s="96"/>
      <c r="B66" s="128"/>
      <c r="C66" s="43">
        <v>909</v>
      </c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79"/>
      <c r="P66" s="45"/>
      <c r="Q66" s="45"/>
      <c r="R66" s="45"/>
      <c r="S66" s="45"/>
      <c r="T66" s="45"/>
      <c r="U66" s="45"/>
      <c r="V66" s="45">
        <f>SUM(D66:U66)</f>
        <v>0</v>
      </c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79"/>
      <c r="AH66" s="45"/>
      <c r="AI66" s="45"/>
      <c r="AJ66" s="45"/>
      <c r="AK66" s="45"/>
      <c r="AL66" s="45">
        <f t="shared" si="125"/>
        <v>0</v>
      </c>
      <c r="AM66" s="45"/>
      <c r="AN66" s="45"/>
      <c r="AO66" s="45"/>
      <c r="AP66" s="45"/>
      <c r="AQ66" s="45"/>
      <c r="AR66" s="45"/>
      <c r="AS66" s="45"/>
      <c r="AT66" s="79"/>
      <c r="AU66" s="45"/>
      <c r="AV66" s="45"/>
      <c r="AW66" s="45"/>
      <c r="AX66" s="45"/>
      <c r="AY66" s="45"/>
      <c r="AZ66" s="45"/>
      <c r="BA66" s="45"/>
      <c r="BB66" s="45">
        <f t="shared" si="126"/>
        <v>0</v>
      </c>
    </row>
    <row r="67" spans="1:59" s="19" customFormat="1" ht="30.75" customHeight="1" x14ac:dyDescent="0.25">
      <c r="A67" s="97" t="s">
        <v>26</v>
      </c>
      <c r="B67" s="128"/>
      <c r="C67" s="39" t="s">
        <v>96</v>
      </c>
      <c r="D67" s="29">
        <f>D68</f>
        <v>171169</v>
      </c>
      <c r="E67" s="29">
        <f t="shared" si="175"/>
        <v>2169</v>
      </c>
      <c r="F67" s="29">
        <f t="shared" si="175"/>
        <v>0</v>
      </c>
      <c r="G67" s="29">
        <f t="shared" si="175"/>
        <v>0</v>
      </c>
      <c r="H67" s="29">
        <f t="shared" si="175"/>
        <v>-863</v>
      </c>
      <c r="I67" s="29">
        <f t="shared" si="175"/>
        <v>460</v>
      </c>
      <c r="J67" s="29">
        <f t="shared" si="175"/>
        <v>0</v>
      </c>
      <c r="K67" s="29">
        <f t="shared" si="175"/>
        <v>-391</v>
      </c>
      <c r="L67" s="29">
        <f t="shared" si="175"/>
        <v>0</v>
      </c>
      <c r="M67" s="29">
        <f t="shared" si="175"/>
        <v>484</v>
      </c>
      <c r="N67" s="29">
        <f t="shared" si="175"/>
        <v>0</v>
      </c>
      <c r="O67" s="82">
        <f t="shared" si="175"/>
        <v>-16</v>
      </c>
      <c r="P67" s="29">
        <f t="shared" si="175"/>
        <v>0</v>
      </c>
      <c r="Q67" s="29">
        <f t="shared" si="175"/>
        <v>0</v>
      </c>
      <c r="R67" s="29">
        <f t="shared" si="175"/>
        <v>0</v>
      </c>
      <c r="S67" s="29">
        <f t="shared" si="175"/>
        <v>0</v>
      </c>
      <c r="T67" s="29">
        <f t="shared" si="175"/>
        <v>0</v>
      </c>
      <c r="U67" s="29">
        <f t="shared" si="175"/>
        <v>0</v>
      </c>
      <c r="V67" s="29">
        <f t="shared" si="175"/>
        <v>173012</v>
      </c>
      <c r="W67" s="29">
        <f t="shared" si="175"/>
        <v>98854</v>
      </c>
      <c r="X67" s="29">
        <f t="shared" si="175"/>
        <v>4</v>
      </c>
      <c r="Y67" s="29">
        <f t="shared" si="175"/>
        <v>0</v>
      </c>
      <c r="Z67" s="29">
        <f t="shared" si="175"/>
        <v>0</v>
      </c>
      <c r="AA67" s="29">
        <f t="shared" si="175"/>
        <v>0</v>
      </c>
      <c r="AB67" s="29">
        <f t="shared" si="175"/>
        <v>0</v>
      </c>
      <c r="AC67" s="29">
        <f t="shared" si="175"/>
        <v>0</v>
      </c>
      <c r="AD67" s="29">
        <f t="shared" si="175"/>
        <v>0</v>
      </c>
      <c r="AE67" s="29">
        <f t="shared" si="175"/>
        <v>0</v>
      </c>
      <c r="AF67" s="29">
        <f t="shared" si="175"/>
        <v>0</v>
      </c>
      <c r="AG67" s="82">
        <f t="shared" si="175"/>
        <v>0</v>
      </c>
      <c r="AH67" s="29">
        <f t="shared" si="175"/>
        <v>0</v>
      </c>
      <c r="AI67" s="29">
        <f t="shared" si="175"/>
        <v>0</v>
      </c>
      <c r="AJ67" s="29">
        <f t="shared" si="175"/>
        <v>0</v>
      </c>
      <c r="AK67" s="29">
        <f t="shared" si="175"/>
        <v>0</v>
      </c>
      <c r="AL67" s="14">
        <f>SUM(AL68)</f>
        <v>98858</v>
      </c>
      <c r="AM67" s="29">
        <f t="shared" si="175"/>
        <v>98854</v>
      </c>
      <c r="AN67" s="29">
        <f t="shared" si="175"/>
        <v>4</v>
      </c>
      <c r="AO67" s="29">
        <f t="shared" si="175"/>
        <v>0</v>
      </c>
      <c r="AP67" s="29">
        <f t="shared" si="175"/>
        <v>0</v>
      </c>
      <c r="AQ67" s="29">
        <f t="shared" si="175"/>
        <v>0</v>
      </c>
      <c r="AR67" s="29">
        <f t="shared" si="175"/>
        <v>0</v>
      </c>
      <c r="AS67" s="29">
        <f t="shared" si="175"/>
        <v>0</v>
      </c>
      <c r="AT67" s="82">
        <f t="shared" si="175"/>
        <v>0</v>
      </c>
      <c r="AU67" s="29">
        <f t="shared" si="175"/>
        <v>0</v>
      </c>
      <c r="AV67" s="29">
        <f t="shared" si="175"/>
        <v>0</v>
      </c>
      <c r="AW67" s="29">
        <f t="shared" si="175"/>
        <v>0</v>
      </c>
      <c r="AX67" s="29">
        <f t="shared" si="175"/>
        <v>0</v>
      </c>
      <c r="AY67" s="29">
        <f t="shared" si="175"/>
        <v>0</v>
      </c>
      <c r="AZ67" s="29">
        <f t="shared" si="175"/>
        <v>0</v>
      </c>
      <c r="BA67" s="29">
        <f t="shared" si="175"/>
        <v>0</v>
      </c>
      <c r="BB67" s="14">
        <f>SUM(BB68)</f>
        <v>98858</v>
      </c>
    </row>
    <row r="68" spans="1:59" s="47" customFormat="1" ht="15.75" hidden="1" x14ac:dyDescent="0.25">
      <c r="A68" s="96"/>
      <c r="B68" s="50"/>
      <c r="C68" s="43">
        <v>909</v>
      </c>
      <c r="D68" s="45">
        <v>171169</v>
      </c>
      <c r="E68" s="45">
        <v>2169</v>
      </c>
      <c r="F68" s="45"/>
      <c r="G68" s="45"/>
      <c r="H68" s="45">
        <f>-863</f>
        <v>-863</v>
      </c>
      <c r="I68" s="45">
        <f>-1240+1700</f>
        <v>460</v>
      </c>
      <c r="J68" s="45"/>
      <c r="K68" s="45">
        <v>-391</v>
      </c>
      <c r="L68" s="45"/>
      <c r="M68" s="45">
        <v>484</v>
      </c>
      <c r="N68" s="45"/>
      <c r="O68" s="79">
        <v>-16</v>
      </c>
      <c r="P68" s="45"/>
      <c r="Q68" s="45"/>
      <c r="R68" s="45"/>
      <c r="S68" s="45"/>
      <c r="T68" s="45"/>
      <c r="U68" s="45"/>
      <c r="V68" s="45">
        <f>SUM(D68:U68)</f>
        <v>173012</v>
      </c>
      <c r="W68" s="45">
        <v>98854</v>
      </c>
      <c r="X68" s="45">
        <v>4</v>
      </c>
      <c r="Y68" s="45"/>
      <c r="Z68" s="45"/>
      <c r="AA68" s="45"/>
      <c r="AB68" s="45"/>
      <c r="AC68" s="45"/>
      <c r="AD68" s="45"/>
      <c r="AE68" s="45"/>
      <c r="AF68" s="45"/>
      <c r="AG68" s="79"/>
      <c r="AH68" s="45"/>
      <c r="AI68" s="45"/>
      <c r="AJ68" s="45"/>
      <c r="AK68" s="45"/>
      <c r="AL68" s="45">
        <f>SUM(W68:AK68)</f>
        <v>98858</v>
      </c>
      <c r="AM68" s="45">
        <v>98854</v>
      </c>
      <c r="AN68" s="45">
        <v>4</v>
      </c>
      <c r="AO68" s="45"/>
      <c r="AP68" s="45"/>
      <c r="AQ68" s="45"/>
      <c r="AR68" s="45"/>
      <c r="AS68" s="45"/>
      <c r="AT68" s="79"/>
      <c r="AU68" s="45"/>
      <c r="AV68" s="45"/>
      <c r="AW68" s="45"/>
      <c r="AX68" s="45"/>
      <c r="AY68" s="45"/>
      <c r="AZ68" s="45"/>
      <c r="BA68" s="45"/>
      <c r="BB68" s="45">
        <f>SUM(AM68:BA68)</f>
        <v>98858</v>
      </c>
    </row>
    <row r="69" spans="1:59" s="19" customFormat="1" ht="31.5" x14ac:dyDescent="0.25">
      <c r="A69" s="90" t="s">
        <v>27</v>
      </c>
      <c r="B69" s="35" t="s">
        <v>51</v>
      </c>
      <c r="C69" s="36" t="s">
        <v>86</v>
      </c>
      <c r="D69" s="13">
        <f>SUM(D70:D71)</f>
        <v>48633</v>
      </c>
      <c r="E69" s="13">
        <f>SUM(E70:E71)</f>
        <v>383</v>
      </c>
      <c r="F69" s="13">
        <f t="shared" ref="F69:BB69" si="176">SUM(F70:F71)</f>
        <v>449</v>
      </c>
      <c r="G69" s="13">
        <f t="shared" si="176"/>
        <v>0</v>
      </c>
      <c r="H69" s="13">
        <f t="shared" si="176"/>
        <v>0</v>
      </c>
      <c r="I69" s="13">
        <f t="shared" si="176"/>
        <v>0</v>
      </c>
      <c r="J69" s="13">
        <f t="shared" si="176"/>
        <v>30</v>
      </c>
      <c r="K69" s="13">
        <f t="shared" si="176"/>
        <v>0</v>
      </c>
      <c r="L69" s="13">
        <f t="shared" si="176"/>
        <v>764</v>
      </c>
      <c r="M69" s="13">
        <f t="shared" si="176"/>
        <v>0</v>
      </c>
      <c r="N69" s="13">
        <f t="shared" si="176"/>
        <v>0</v>
      </c>
      <c r="O69" s="80">
        <f t="shared" si="176"/>
        <v>0</v>
      </c>
      <c r="P69" s="13">
        <f t="shared" si="176"/>
        <v>0</v>
      </c>
      <c r="Q69" s="13">
        <f t="shared" si="176"/>
        <v>0</v>
      </c>
      <c r="R69" s="13">
        <f t="shared" si="176"/>
        <v>0</v>
      </c>
      <c r="S69" s="13">
        <f t="shared" si="176"/>
        <v>0</v>
      </c>
      <c r="T69" s="13">
        <f t="shared" si="176"/>
        <v>0</v>
      </c>
      <c r="U69" s="13">
        <f t="shared" si="176"/>
        <v>0</v>
      </c>
      <c r="V69" s="13">
        <f t="shared" si="176"/>
        <v>50259</v>
      </c>
      <c r="W69" s="13">
        <f t="shared" si="176"/>
        <v>47408</v>
      </c>
      <c r="X69" s="13">
        <f t="shared" si="176"/>
        <v>383</v>
      </c>
      <c r="Y69" s="13">
        <f t="shared" si="176"/>
        <v>669</v>
      </c>
      <c r="Z69" s="13">
        <f t="shared" si="176"/>
        <v>0</v>
      </c>
      <c r="AA69" s="13">
        <f t="shared" si="176"/>
        <v>0</v>
      </c>
      <c r="AB69" s="13">
        <f t="shared" si="176"/>
        <v>0</v>
      </c>
      <c r="AC69" s="13">
        <f t="shared" si="176"/>
        <v>0</v>
      </c>
      <c r="AD69" s="13">
        <f t="shared" si="176"/>
        <v>0</v>
      </c>
      <c r="AE69" s="13">
        <f t="shared" si="176"/>
        <v>0</v>
      </c>
      <c r="AF69" s="13">
        <f t="shared" si="176"/>
        <v>0</v>
      </c>
      <c r="AG69" s="80">
        <f t="shared" si="176"/>
        <v>0</v>
      </c>
      <c r="AH69" s="13">
        <f t="shared" si="176"/>
        <v>0</v>
      </c>
      <c r="AI69" s="13">
        <f t="shared" si="176"/>
        <v>0</v>
      </c>
      <c r="AJ69" s="13">
        <f t="shared" si="176"/>
        <v>0</v>
      </c>
      <c r="AK69" s="13">
        <f t="shared" si="176"/>
        <v>0</v>
      </c>
      <c r="AL69" s="13">
        <f t="shared" si="176"/>
        <v>48460</v>
      </c>
      <c r="AM69" s="13">
        <f t="shared" si="176"/>
        <v>47408</v>
      </c>
      <c r="AN69" s="13">
        <f t="shared" si="176"/>
        <v>383</v>
      </c>
      <c r="AO69" s="13">
        <f t="shared" si="176"/>
        <v>669</v>
      </c>
      <c r="AP69" s="13">
        <f t="shared" si="176"/>
        <v>0</v>
      </c>
      <c r="AQ69" s="13">
        <f t="shared" si="176"/>
        <v>0</v>
      </c>
      <c r="AR69" s="13">
        <f t="shared" si="176"/>
        <v>0</v>
      </c>
      <c r="AS69" s="13">
        <f t="shared" si="176"/>
        <v>0</v>
      </c>
      <c r="AT69" s="80">
        <f t="shared" si="176"/>
        <v>0</v>
      </c>
      <c r="AU69" s="13">
        <f t="shared" si="176"/>
        <v>0</v>
      </c>
      <c r="AV69" s="13">
        <f t="shared" si="176"/>
        <v>0</v>
      </c>
      <c r="AW69" s="13">
        <f t="shared" si="176"/>
        <v>0</v>
      </c>
      <c r="AX69" s="13">
        <f t="shared" si="176"/>
        <v>0</v>
      </c>
      <c r="AY69" s="13">
        <f t="shared" si="176"/>
        <v>0</v>
      </c>
      <c r="AZ69" s="13">
        <f t="shared" si="176"/>
        <v>0</v>
      </c>
      <c r="BA69" s="13">
        <f t="shared" si="176"/>
        <v>0</v>
      </c>
      <c r="BB69" s="13">
        <f t="shared" si="176"/>
        <v>48460</v>
      </c>
    </row>
    <row r="70" spans="1:59" s="47" customFormat="1" ht="15" hidden="1" customHeight="1" x14ac:dyDescent="0.25">
      <c r="A70" s="107"/>
      <c r="B70" s="112"/>
      <c r="C70" s="43">
        <v>906</v>
      </c>
      <c r="D70" s="45">
        <v>48633</v>
      </c>
      <c r="E70" s="45">
        <f>383</f>
        <v>383</v>
      </c>
      <c r="F70" s="45">
        <f>1000-551</f>
        <v>449</v>
      </c>
      <c r="G70" s="45"/>
      <c r="H70" s="45"/>
      <c r="I70" s="45"/>
      <c r="J70" s="45">
        <v>30</v>
      </c>
      <c r="K70" s="45"/>
      <c r="L70" s="45">
        <f>102+662</f>
        <v>764</v>
      </c>
      <c r="M70" s="45"/>
      <c r="N70" s="45"/>
      <c r="O70" s="79"/>
      <c r="P70" s="45"/>
      <c r="Q70" s="45"/>
      <c r="R70" s="45"/>
      <c r="S70" s="45"/>
      <c r="T70" s="45"/>
      <c r="U70" s="45"/>
      <c r="V70" s="45">
        <f t="shared" ref="V70:V71" si="177">SUM(D70:U70)</f>
        <v>50259</v>
      </c>
      <c r="W70" s="45">
        <v>47408</v>
      </c>
      <c r="X70" s="45">
        <f>383</f>
        <v>383</v>
      </c>
      <c r="Y70" s="45">
        <f>662+7</f>
        <v>669</v>
      </c>
      <c r="Z70" s="45"/>
      <c r="AA70" s="45"/>
      <c r="AB70" s="45"/>
      <c r="AC70" s="45"/>
      <c r="AD70" s="45"/>
      <c r="AE70" s="45"/>
      <c r="AF70" s="45"/>
      <c r="AG70" s="79"/>
      <c r="AH70" s="45"/>
      <c r="AI70" s="45"/>
      <c r="AJ70" s="45"/>
      <c r="AK70" s="45"/>
      <c r="AL70" s="45">
        <f t="shared" ref="AL70:AL71" si="178">W70+X70+Y70</f>
        <v>48460</v>
      </c>
      <c r="AM70" s="45">
        <v>47408</v>
      </c>
      <c r="AN70" s="45">
        <f>383</f>
        <v>383</v>
      </c>
      <c r="AO70" s="45">
        <f>662+7</f>
        <v>669</v>
      </c>
      <c r="AP70" s="45"/>
      <c r="AQ70" s="45"/>
      <c r="AR70" s="45"/>
      <c r="AS70" s="45"/>
      <c r="AT70" s="79"/>
      <c r="AU70" s="45"/>
      <c r="AV70" s="45"/>
      <c r="AW70" s="45"/>
      <c r="AX70" s="45"/>
      <c r="AY70" s="45"/>
      <c r="AZ70" s="45"/>
      <c r="BA70" s="45"/>
      <c r="BB70" s="45">
        <f t="shared" ref="BB70:BB71" si="179">AM70+AN70+AO70</f>
        <v>48460</v>
      </c>
    </row>
    <row r="71" spans="1:59" s="47" customFormat="1" ht="15" hidden="1" customHeight="1" x14ac:dyDescent="0.25">
      <c r="A71" s="107"/>
      <c r="B71" s="112"/>
      <c r="C71" s="43">
        <v>921</v>
      </c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79"/>
      <c r="P71" s="45"/>
      <c r="Q71" s="45"/>
      <c r="R71" s="45"/>
      <c r="S71" s="45"/>
      <c r="T71" s="45"/>
      <c r="U71" s="45"/>
      <c r="V71" s="45">
        <f t="shared" si="177"/>
        <v>0</v>
      </c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79"/>
      <c r="AH71" s="45"/>
      <c r="AI71" s="45"/>
      <c r="AJ71" s="45"/>
      <c r="AK71" s="45"/>
      <c r="AL71" s="45">
        <f t="shared" si="178"/>
        <v>0</v>
      </c>
      <c r="AM71" s="45"/>
      <c r="AN71" s="45"/>
      <c r="AO71" s="45"/>
      <c r="AP71" s="45"/>
      <c r="AQ71" s="45"/>
      <c r="AR71" s="45"/>
      <c r="AS71" s="45"/>
      <c r="AT71" s="79"/>
      <c r="AU71" s="45"/>
      <c r="AV71" s="45"/>
      <c r="AW71" s="45"/>
      <c r="AX71" s="45"/>
      <c r="AY71" s="45"/>
      <c r="AZ71" s="45"/>
      <c r="BA71" s="45"/>
      <c r="BB71" s="45">
        <f t="shared" si="179"/>
        <v>0</v>
      </c>
    </row>
    <row r="72" spans="1:59" s="19" customFormat="1" ht="31.5" x14ac:dyDescent="0.25">
      <c r="A72" s="90" t="s">
        <v>28</v>
      </c>
      <c r="B72" s="35" t="s">
        <v>52</v>
      </c>
      <c r="C72" s="36" t="s">
        <v>7</v>
      </c>
      <c r="D72" s="13">
        <v>91</v>
      </c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80"/>
      <c r="P72" s="13"/>
      <c r="Q72" s="13"/>
      <c r="R72" s="13"/>
      <c r="S72" s="13"/>
      <c r="T72" s="13"/>
      <c r="U72" s="13"/>
      <c r="V72" s="13">
        <f>SUM(D72:U72)</f>
        <v>91</v>
      </c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80"/>
      <c r="AH72" s="13"/>
      <c r="AI72" s="13"/>
      <c r="AJ72" s="13"/>
      <c r="AK72" s="13"/>
      <c r="AL72" s="13">
        <f>SUM(W72:AK72)</f>
        <v>0</v>
      </c>
      <c r="AM72" s="13"/>
      <c r="AN72" s="13"/>
      <c r="AO72" s="13"/>
      <c r="AP72" s="13"/>
      <c r="AQ72" s="13"/>
      <c r="AR72" s="13"/>
      <c r="AS72" s="13"/>
      <c r="AT72" s="80"/>
      <c r="AU72" s="13"/>
      <c r="AV72" s="13"/>
      <c r="AW72" s="13"/>
      <c r="AX72" s="13"/>
      <c r="AY72" s="13"/>
      <c r="AZ72" s="13"/>
      <c r="BA72" s="13"/>
      <c r="BB72" s="13">
        <f>SUM(AM72:BA72)</f>
        <v>0</v>
      </c>
    </row>
    <row r="73" spans="1:59" s="19" customFormat="1" ht="33" customHeight="1" x14ac:dyDescent="0.25">
      <c r="A73" s="90" t="s">
        <v>29</v>
      </c>
      <c r="B73" s="35" t="s">
        <v>53</v>
      </c>
      <c r="C73" s="36" t="s">
        <v>92</v>
      </c>
      <c r="D73" s="37">
        <f t="shared" ref="D73:AI73" si="180">SUM(D74:D80)</f>
        <v>893619</v>
      </c>
      <c r="E73" s="37">
        <f t="shared" si="180"/>
        <v>61893</v>
      </c>
      <c r="F73" s="37">
        <f t="shared" si="180"/>
        <v>4346</v>
      </c>
      <c r="G73" s="37">
        <f t="shared" si="180"/>
        <v>0</v>
      </c>
      <c r="H73" s="37">
        <f t="shared" si="180"/>
        <v>2131</v>
      </c>
      <c r="I73" s="37">
        <f t="shared" si="180"/>
        <v>-57</v>
      </c>
      <c r="J73" s="37">
        <f t="shared" si="180"/>
        <v>570</v>
      </c>
      <c r="K73" s="37">
        <f t="shared" si="180"/>
        <v>0</v>
      </c>
      <c r="L73" s="37">
        <f t="shared" si="180"/>
        <v>5788</v>
      </c>
      <c r="M73" s="37">
        <f t="shared" si="180"/>
        <v>4254</v>
      </c>
      <c r="N73" s="37">
        <f t="shared" si="180"/>
        <v>0</v>
      </c>
      <c r="O73" s="78">
        <f t="shared" si="180"/>
        <v>3897</v>
      </c>
      <c r="P73" s="37">
        <f t="shared" si="180"/>
        <v>0</v>
      </c>
      <c r="Q73" s="37">
        <f t="shared" si="180"/>
        <v>0</v>
      </c>
      <c r="R73" s="37">
        <f t="shared" si="180"/>
        <v>0</v>
      </c>
      <c r="S73" s="37">
        <f t="shared" si="180"/>
        <v>0</v>
      </c>
      <c r="T73" s="37">
        <f t="shared" si="180"/>
        <v>0</v>
      </c>
      <c r="U73" s="37">
        <f t="shared" si="180"/>
        <v>0</v>
      </c>
      <c r="V73" s="37">
        <f t="shared" si="180"/>
        <v>976441</v>
      </c>
      <c r="W73" s="37">
        <f t="shared" si="180"/>
        <v>889671</v>
      </c>
      <c r="X73" s="37">
        <f t="shared" si="180"/>
        <v>0</v>
      </c>
      <c r="Y73" s="37">
        <f t="shared" si="180"/>
        <v>256</v>
      </c>
      <c r="Z73" s="37">
        <f t="shared" si="180"/>
        <v>47835</v>
      </c>
      <c r="AA73" s="37">
        <f t="shared" si="180"/>
        <v>0</v>
      </c>
      <c r="AB73" s="37">
        <f t="shared" si="180"/>
        <v>0</v>
      </c>
      <c r="AC73" s="37">
        <f t="shared" si="180"/>
        <v>0</v>
      </c>
      <c r="AD73" s="37">
        <f t="shared" si="180"/>
        <v>0</v>
      </c>
      <c r="AE73" s="37">
        <f t="shared" si="180"/>
        <v>186</v>
      </c>
      <c r="AF73" s="37">
        <f t="shared" si="180"/>
        <v>0</v>
      </c>
      <c r="AG73" s="78">
        <f t="shared" si="180"/>
        <v>0</v>
      </c>
      <c r="AH73" s="37">
        <f t="shared" si="180"/>
        <v>0</v>
      </c>
      <c r="AI73" s="37">
        <f t="shared" si="180"/>
        <v>0</v>
      </c>
      <c r="AJ73" s="37">
        <f t="shared" ref="AJ73:BB73" si="181">SUM(AJ74:AJ80)</f>
        <v>0</v>
      </c>
      <c r="AK73" s="37">
        <f t="shared" si="181"/>
        <v>0</v>
      </c>
      <c r="AL73" s="37">
        <f t="shared" si="181"/>
        <v>937948</v>
      </c>
      <c r="AM73" s="37">
        <f t="shared" si="181"/>
        <v>0</v>
      </c>
      <c r="AN73" s="37">
        <f t="shared" si="181"/>
        <v>0</v>
      </c>
      <c r="AO73" s="37">
        <f t="shared" si="181"/>
        <v>0</v>
      </c>
      <c r="AP73" s="37">
        <f t="shared" si="181"/>
        <v>0</v>
      </c>
      <c r="AQ73" s="37">
        <f t="shared" si="181"/>
        <v>0</v>
      </c>
      <c r="AR73" s="37">
        <f t="shared" si="181"/>
        <v>0</v>
      </c>
      <c r="AS73" s="37">
        <f t="shared" si="181"/>
        <v>0</v>
      </c>
      <c r="AT73" s="78">
        <f t="shared" si="181"/>
        <v>0</v>
      </c>
      <c r="AU73" s="37">
        <f t="shared" si="181"/>
        <v>0</v>
      </c>
      <c r="AV73" s="37">
        <f t="shared" si="181"/>
        <v>0</v>
      </c>
      <c r="AW73" s="37">
        <f t="shared" si="181"/>
        <v>0</v>
      </c>
      <c r="AX73" s="37">
        <f t="shared" si="181"/>
        <v>0</v>
      </c>
      <c r="AY73" s="37">
        <f t="shared" si="181"/>
        <v>0</v>
      </c>
      <c r="AZ73" s="37">
        <f t="shared" si="181"/>
        <v>0</v>
      </c>
      <c r="BA73" s="37">
        <f t="shared" si="181"/>
        <v>0</v>
      </c>
      <c r="BB73" s="37">
        <f t="shared" si="181"/>
        <v>0</v>
      </c>
      <c r="BE73" s="18"/>
      <c r="BG73" s="18"/>
    </row>
    <row r="74" spans="1:59" s="19" customFormat="1" ht="15" hidden="1" customHeight="1" x14ac:dyDescent="0.25">
      <c r="A74" s="113" t="s">
        <v>68</v>
      </c>
      <c r="B74" s="112"/>
      <c r="C74" s="43">
        <v>900</v>
      </c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79"/>
      <c r="P74" s="45"/>
      <c r="Q74" s="45"/>
      <c r="R74" s="45"/>
      <c r="S74" s="45"/>
      <c r="T74" s="45"/>
      <c r="U74" s="45"/>
      <c r="V74" s="45">
        <f t="shared" ref="V74:V80" si="182">SUM(D74:U74)</f>
        <v>0</v>
      </c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79"/>
      <c r="AH74" s="45"/>
      <c r="AI74" s="45"/>
      <c r="AJ74" s="45"/>
      <c r="AK74" s="45"/>
      <c r="AL74" s="45">
        <f>W74+X74+Y74</f>
        <v>0</v>
      </c>
      <c r="AM74" s="45"/>
      <c r="AN74" s="45"/>
      <c r="AO74" s="45"/>
      <c r="AP74" s="45"/>
      <c r="AQ74" s="45"/>
      <c r="AR74" s="45"/>
      <c r="AS74" s="45"/>
      <c r="AT74" s="79"/>
      <c r="AU74" s="45"/>
      <c r="AV74" s="45"/>
      <c r="AW74" s="45"/>
      <c r="AX74" s="45"/>
      <c r="AY74" s="45"/>
      <c r="AZ74" s="45"/>
      <c r="BA74" s="45"/>
      <c r="BB74" s="45">
        <f>AM74+AN74+AO74</f>
        <v>0</v>
      </c>
    </row>
    <row r="75" spans="1:59" s="47" customFormat="1" ht="15" hidden="1" customHeight="1" x14ac:dyDescent="0.25">
      <c r="A75" s="114"/>
      <c r="B75" s="112"/>
      <c r="C75" s="43">
        <v>901</v>
      </c>
      <c r="D75" s="45">
        <f>4334+563290</f>
        <v>567624</v>
      </c>
      <c r="E75" s="45">
        <f>59978</f>
        <v>59978</v>
      </c>
      <c r="F75" s="45"/>
      <c r="G75" s="45"/>
      <c r="H75" s="45"/>
      <c r="I75" s="45"/>
      <c r="J75" s="45"/>
      <c r="K75" s="45"/>
      <c r="L75" s="45">
        <f>2046+27-781</f>
        <v>1292</v>
      </c>
      <c r="M75" s="45"/>
      <c r="N75" s="45"/>
      <c r="O75" s="79"/>
      <c r="P75" s="45"/>
      <c r="Q75" s="45"/>
      <c r="R75" s="45"/>
      <c r="S75" s="45"/>
      <c r="T75" s="45"/>
      <c r="U75" s="45"/>
      <c r="V75" s="45">
        <f t="shared" si="182"/>
        <v>628894</v>
      </c>
      <c r="W75" s="45">
        <f>4334+563290</f>
        <v>567624</v>
      </c>
      <c r="X75" s="45"/>
      <c r="Y75" s="45"/>
      <c r="Z75" s="45">
        <f>801+38311+5065</f>
        <v>44177</v>
      </c>
      <c r="AA75" s="45"/>
      <c r="AB75" s="45"/>
      <c r="AC75" s="45"/>
      <c r="AD75" s="45"/>
      <c r="AE75" s="45"/>
      <c r="AF75" s="45"/>
      <c r="AG75" s="79"/>
      <c r="AH75" s="45"/>
      <c r="AI75" s="45"/>
      <c r="AJ75" s="45"/>
      <c r="AK75" s="45"/>
      <c r="AL75" s="45">
        <f t="shared" ref="AL75:AL80" si="183">SUM(W75:AK75)</f>
        <v>611801</v>
      </c>
      <c r="AM75" s="45"/>
      <c r="AN75" s="45"/>
      <c r="AO75" s="45"/>
      <c r="AP75" s="45"/>
      <c r="AQ75" s="45"/>
      <c r="AR75" s="45"/>
      <c r="AS75" s="45"/>
      <c r="AT75" s="79"/>
      <c r="AU75" s="45"/>
      <c r="AV75" s="45"/>
      <c r="AW75" s="45"/>
      <c r="AX75" s="45"/>
      <c r="AY75" s="45"/>
      <c r="AZ75" s="45"/>
      <c r="BA75" s="45"/>
      <c r="BB75" s="45">
        <f t="shared" ref="BB75:BB80" si="184">SUM(AM75:BA75)</f>
        <v>0</v>
      </c>
    </row>
    <row r="76" spans="1:59" s="47" customFormat="1" ht="15" hidden="1" customHeight="1" x14ac:dyDescent="0.25">
      <c r="A76" s="114"/>
      <c r="B76" s="112"/>
      <c r="C76" s="43">
        <v>902</v>
      </c>
      <c r="D76" s="45">
        <f>77777</f>
        <v>77777</v>
      </c>
      <c r="E76" s="45"/>
      <c r="F76" s="45"/>
      <c r="G76" s="45">
        <f>-1+1</f>
        <v>0</v>
      </c>
      <c r="H76" s="45">
        <f>-55</f>
        <v>-55</v>
      </c>
      <c r="I76" s="45"/>
      <c r="J76" s="45"/>
      <c r="K76" s="45"/>
      <c r="L76" s="45">
        <f>144+20</f>
        <v>164</v>
      </c>
      <c r="M76" s="45"/>
      <c r="N76" s="45"/>
      <c r="O76" s="79"/>
      <c r="P76" s="45"/>
      <c r="Q76" s="45"/>
      <c r="R76" s="45"/>
      <c r="S76" s="45"/>
      <c r="T76" s="45"/>
      <c r="U76" s="45"/>
      <c r="V76" s="45">
        <f t="shared" si="182"/>
        <v>77886</v>
      </c>
      <c r="W76" s="45">
        <f>77777</f>
        <v>77777</v>
      </c>
      <c r="X76" s="45"/>
      <c r="Y76" s="45"/>
      <c r="Z76" s="45"/>
      <c r="AA76" s="45"/>
      <c r="AB76" s="45"/>
      <c r="AC76" s="45"/>
      <c r="AD76" s="45"/>
      <c r="AE76" s="45">
        <v>186</v>
      </c>
      <c r="AF76" s="45"/>
      <c r="AG76" s="79"/>
      <c r="AH76" s="45"/>
      <c r="AI76" s="45"/>
      <c r="AJ76" s="45"/>
      <c r="AK76" s="45"/>
      <c r="AL76" s="45">
        <f t="shared" si="183"/>
        <v>77963</v>
      </c>
      <c r="AM76" s="45"/>
      <c r="AN76" s="45"/>
      <c r="AO76" s="45"/>
      <c r="AP76" s="45"/>
      <c r="AQ76" s="45"/>
      <c r="AR76" s="45"/>
      <c r="AS76" s="45"/>
      <c r="AT76" s="79"/>
      <c r="AU76" s="45"/>
      <c r="AV76" s="45"/>
      <c r="AW76" s="45"/>
      <c r="AX76" s="45"/>
      <c r="AY76" s="45"/>
      <c r="AZ76" s="45"/>
      <c r="BA76" s="45"/>
      <c r="BB76" s="45">
        <f t="shared" si="184"/>
        <v>0</v>
      </c>
    </row>
    <row r="77" spans="1:59" s="47" customFormat="1" ht="15" hidden="1" customHeight="1" x14ac:dyDescent="0.25">
      <c r="A77" s="114"/>
      <c r="B77" s="112"/>
      <c r="C77" s="43">
        <v>903</v>
      </c>
      <c r="D77" s="45">
        <v>7785</v>
      </c>
      <c r="E77" s="45">
        <v>-2466</v>
      </c>
      <c r="F77" s="45">
        <v>2871</v>
      </c>
      <c r="G77" s="45"/>
      <c r="H77" s="45">
        <v>90</v>
      </c>
      <c r="I77" s="45"/>
      <c r="J77" s="45"/>
      <c r="K77" s="45"/>
      <c r="L77" s="45"/>
      <c r="M77" s="45">
        <f>185-185</f>
        <v>0</v>
      </c>
      <c r="N77" s="45"/>
      <c r="O77" s="79">
        <f>-14-380</f>
        <v>-394</v>
      </c>
      <c r="P77" s="45"/>
      <c r="Q77" s="45"/>
      <c r="R77" s="45"/>
      <c r="S77" s="45"/>
      <c r="T77" s="45"/>
      <c r="U77" s="45"/>
      <c r="V77" s="45">
        <f t="shared" si="182"/>
        <v>7886</v>
      </c>
      <c r="W77" s="45">
        <v>7785</v>
      </c>
      <c r="X77" s="45"/>
      <c r="Y77" s="45"/>
      <c r="Z77" s="45"/>
      <c r="AA77" s="45"/>
      <c r="AB77" s="45"/>
      <c r="AC77" s="45"/>
      <c r="AD77" s="45"/>
      <c r="AE77" s="45"/>
      <c r="AF77" s="45"/>
      <c r="AG77" s="79"/>
      <c r="AH77" s="45"/>
      <c r="AI77" s="45"/>
      <c r="AJ77" s="45"/>
      <c r="AK77" s="45"/>
      <c r="AL77" s="45">
        <f t="shared" si="183"/>
        <v>7785</v>
      </c>
      <c r="AM77" s="45"/>
      <c r="AN77" s="45"/>
      <c r="AO77" s="45"/>
      <c r="AP77" s="45"/>
      <c r="AQ77" s="45"/>
      <c r="AR77" s="45"/>
      <c r="AS77" s="45"/>
      <c r="AT77" s="79"/>
      <c r="AU77" s="45"/>
      <c r="AV77" s="45"/>
      <c r="AW77" s="45"/>
      <c r="AX77" s="45"/>
      <c r="AY77" s="45"/>
      <c r="AZ77" s="45"/>
      <c r="BA77" s="45"/>
      <c r="BB77" s="45">
        <f t="shared" si="184"/>
        <v>0</v>
      </c>
    </row>
    <row r="78" spans="1:59" s="47" customFormat="1" ht="15" hidden="1" customHeight="1" x14ac:dyDescent="0.25">
      <c r="A78" s="114"/>
      <c r="B78" s="112"/>
      <c r="C78" s="43">
        <v>910</v>
      </c>
      <c r="D78" s="45">
        <f>1197</f>
        <v>1197</v>
      </c>
      <c r="E78" s="45"/>
      <c r="F78" s="45"/>
      <c r="G78" s="45"/>
      <c r="H78" s="45"/>
      <c r="I78" s="45"/>
      <c r="J78" s="45"/>
      <c r="K78" s="45"/>
      <c r="L78" s="45">
        <v>-139</v>
      </c>
      <c r="M78" s="45"/>
      <c r="N78" s="45"/>
      <c r="O78" s="79"/>
      <c r="P78" s="45"/>
      <c r="Q78" s="45"/>
      <c r="R78" s="45"/>
      <c r="S78" s="45"/>
      <c r="T78" s="45"/>
      <c r="U78" s="45"/>
      <c r="V78" s="45">
        <f t="shared" si="182"/>
        <v>1058</v>
      </c>
      <c r="W78" s="45">
        <f>1197</f>
        <v>1197</v>
      </c>
      <c r="X78" s="45"/>
      <c r="Y78" s="45"/>
      <c r="Z78" s="45"/>
      <c r="AA78" s="45"/>
      <c r="AB78" s="45"/>
      <c r="AC78" s="45"/>
      <c r="AD78" s="45"/>
      <c r="AE78" s="45"/>
      <c r="AF78" s="45"/>
      <c r="AG78" s="79"/>
      <c r="AH78" s="45"/>
      <c r="AI78" s="45"/>
      <c r="AJ78" s="45"/>
      <c r="AK78" s="45"/>
      <c r="AL78" s="45">
        <f t="shared" si="183"/>
        <v>1197</v>
      </c>
      <c r="AM78" s="45"/>
      <c r="AN78" s="45"/>
      <c r="AO78" s="45"/>
      <c r="AP78" s="45"/>
      <c r="AQ78" s="45"/>
      <c r="AR78" s="45"/>
      <c r="AS78" s="45"/>
      <c r="AT78" s="79"/>
      <c r="AU78" s="45"/>
      <c r="AV78" s="45"/>
      <c r="AW78" s="45"/>
      <c r="AX78" s="45"/>
      <c r="AY78" s="45"/>
      <c r="AZ78" s="45"/>
      <c r="BA78" s="45"/>
      <c r="BB78" s="45">
        <f t="shared" si="184"/>
        <v>0</v>
      </c>
    </row>
    <row r="79" spans="1:59" s="47" customFormat="1" ht="15" hidden="1" customHeight="1" x14ac:dyDescent="0.25">
      <c r="A79" s="114"/>
      <c r="B79" s="112"/>
      <c r="C79" s="43">
        <v>921</v>
      </c>
      <c r="D79" s="45">
        <f>46301</f>
        <v>46301</v>
      </c>
      <c r="E79" s="45"/>
      <c r="F79" s="45"/>
      <c r="G79" s="45"/>
      <c r="H79" s="45"/>
      <c r="I79" s="45"/>
      <c r="J79" s="45"/>
      <c r="K79" s="45"/>
      <c r="L79" s="45">
        <f>3690</f>
        <v>3690</v>
      </c>
      <c r="M79" s="45"/>
      <c r="N79" s="45"/>
      <c r="O79" s="79"/>
      <c r="P79" s="45"/>
      <c r="Q79" s="45"/>
      <c r="R79" s="45"/>
      <c r="S79" s="45"/>
      <c r="T79" s="45"/>
      <c r="U79" s="45"/>
      <c r="V79" s="45">
        <f t="shared" si="182"/>
        <v>49991</v>
      </c>
      <c r="W79" s="45">
        <f>46301</f>
        <v>46301</v>
      </c>
      <c r="X79" s="45"/>
      <c r="Y79" s="45"/>
      <c r="Z79" s="45"/>
      <c r="AA79" s="45"/>
      <c r="AB79" s="45"/>
      <c r="AC79" s="45"/>
      <c r="AD79" s="45"/>
      <c r="AE79" s="45"/>
      <c r="AF79" s="45"/>
      <c r="AG79" s="79"/>
      <c r="AH79" s="45"/>
      <c r="AI79" s="45"/>
      <c r="AJ79" s="45"/>
      <c r="AK79" s="45"/>
      <c r="AL79" s="45">
        <f t="shared" si="183"/>
        <v>46301</v>
      </c>
      <c r="AM79" s="45"/>
      <c r="AN79" s="45"/>
      <c r="AO79" s="45"/>
      <c r="AP79" s="45"/>
      <c r="AQ79" s="45"/>
      <c r="AR79" s="45"/>
      <c r="AS79" s="45"/>
      <c r="AT79" s="79"/>
      <c r="AU79" s="45"/>
      <c r="AV79" s="45"/>
      <c r="AW79" s="45"/>
      <c r="AX79" s="45"/>
      <c r="AY79" s="45"/>
      <c r="AZ79" s="45"/>
      <c r="BA79" s="45"/>
      <c r="BB79" s="45">
        <f t="shared" si="184"/>
        <v>0</v>
      </c>
    </row>
    <row r="80" spans="1:59" s="47" customFormat="1" ht="15" hidden="1" customHeight="1" x14ac:dyDescent="0.25">
      <c r="A80" s="115"/>
      <c r="B80" s="112"/>
      <c r="C80" s="43">
        <v>923</v>
      </c>
      <c r="D80" s="45">
        <f>3881+181464+7590</f>
        <v>192935</v>
      </c>
      <c r="E80" s="45">
        <v>4381</v>
      </c>
      <c r="F80" s="45">
        <f>1219+256</f>
        <v>1475</v>
      </c>
      <c r="G80" s="45"/>
      <c r="H80" s="45">
        <f>-58+2154</f>
        <v>2096</v>
      </c>
      <c r="I80" s="45">
        <f>-57</f>
        <v>-57</v>
      </c>
      <c r="J80" s="45">
        <v>570</v>
      </c>
      <c r="K80" s="45"/>
      <c r="L80" s="45">
        <f>-34-242+276+22+759</f>
        <v>781</v>
      </c>
      <c r="M80" s="45">
        <f>-690+189-73+4142+686</f>
        <v>4254</v>
      </c>
      <c r="N80" s="45"/>
      <c r="O80" s="79">
        <f>-691-1079-189+577-388+817+2622+2622</f>
        <v>4291</v>
      </c>
      <c r="P80" s="45"/>
      <c r="Q80" s="45"/>
      <c r="R80" s="45"/>
      <c r="S80" s="45"/>
      <c r="T80" s="45"/>
      <c r="U80" s="45"/>
      <c r="V80" s="45">
        <f t="shared" si="182"/>
        <v>210726</v>
      </c>
      <c r="W80" s="45">
        <f>3881+178486+6620</f>
        <v>188987</v>
      </c>
      <c r="X80" s="45"/>
      <c r="Y80" s="45">
        <v>256</v>
      </c>
      <c r="Z80" s="45">
        <f>3+65+3277+313</f>
        <v>3658</v>
      </c>
      <c r="AA80" s="45"/>
      <c r="AB80" s="45"/>
      <c r="AC80" s="45"/>
      <c r="AD80" s="45"/>
      <c r="AE80" s="45"/>
      <c r="AF80" s="45"/>
      <c r="AG80" s="79"/>
      <c r="AH80" s="45"/>
      <c r="AI80" s="45"/>
      <c r="AJ80" s="45"/>
      <c r="AK80" s="45"/>
      <c r="AL80" s="45">
        <f t="shared" si="183"/>
        <v>192901</v>
      </c>
      <c r="AM80" s="45"/>
      <c r="AN80" s="45"/>
      <c r="AO80" s="45"/>
      <c r="AP80" s="45"/>
      <c r="AQ80" s="45"/>
      <c r="AR80" s="45"/>
      <c r="AS80" s="45"/>
      <c r="AT80" s="79"/>
      <c r="AU80" s="45"/>
      <c r="AV80" s="45"/>
      <c r="AW80" s="45"/>
      <c r="AX80" s="45"/>
      <c r="AY80" s="45"/>
      <c r="AZ80" s="45"/>
      <c r="BA80" s="45"/>
      <c r="BB80" s="45">
        <f t="shared" si="184"/>
        <v>0</v>
      </c>
    </row>
    <row r="81" spans="1:54" s="19" customFormat="1" ht="30.75" customHeight="1" x14ac:dyDescent="0.25">
      <c r="A81" s="103" t="s">
        <v>114</v>
      </c>
      <c r="B81" s="106"/>
      <c r="C81" s="39" t="s">
        <v>113</v>
      </c>
      <c r="D81" s="104">
        <f>SUM(D82:D84)</f>
        <v>0</v>
      </c>
      <c r="E81" s="104">
        <f t="shared" ref="E81:BB81" si="185">SUM(E82:E84)</f>
        <v>0</v>
      </c>
      <c r="F81" s="104">
        <f t="shared" si="185"/>
        <v>0</v>
      </c>
      <c r="G81" s="104">
        <f t="shared" si="185"/>
        <v>0</v>
      </c>
      <c r="H81" s="104">
        <f t="shared" si="185"/>
        <v>0</v>
      </c>
      <c r="I81" s="104">
        <f t="shared" si="185"/>
        <v>0</v>
      </c>
      <c r="J81" s="104">
        <f t="shared" si="185"/>
        <v>0</v>
      </c>
      <c r="K81" s="104">
        <f t="shared" si="185"/>
        <v>0</v>
      </c>
      <c r="L81" s="104">
        <f t="shared" si="185"/>
        <v>276</v>
      </c>
      <c r="M81" s="104">
        <f t="shared" si="185"/>
        <v>0</v>
      </c>
      <c r="N81" s="104">
        <f t="shared" si="185"/>
        <v>0</v>
      </c>
      <c r="O81" s="105">
        <f t="shared" si="185"/>
        <v>0</v>
      </c>
      <c r="P81" s="104">
        <f t="shared" si="185"/>
        <v>0</v>
      </c>
      <c r="Q81" s="104">
        <f t="shared" si="185"/>
        <v>0</v>
      </c>
      <c r="R81" s="104">
        <f t="shared" si="185"/>
        <v>0</v>
      </c>
      <c r="S81" s="104">
        <f t="shared" si="185"/>
        <v>0</v>
      </c>
      <c r="T81" s="104">
        <f t="shared" si="185"/>
        <v>0</v>
      </c>
      <c r="U81" s="104">
        <f t="shared" si="185"/>
        <v>0</v>
      </c>
      <c r="V81" s="104">
        <f t="shared" si="185"/>
        <v>276</v>
      </c>
      <c r="W81" s="104">
        <f t="shared" si="185"/>
        <v>0</v>
      </c>
      <c r="X81" s="104">
        <f t="shared" si="185"/>
        <v>0</v>
      </c>
      <c r="Y81" s="104">
        <f t="shared" si="185"/>
        <v>0</v>
      </c>
      <c r="Z81" s="104">
        <f t="shared" si="185"/>
        <v>0</v>
      </c>
      <c r="AA81" s="104">
        <f t="shared" si="185"/>
        <v>0</v>
      </c>
      <c r="AB81" s="104">
        <f t="shared" si="185"/>
        <v>0</v>
      </c>
      <c r="AC81" s="104">
        <f t="shared" si="185"/>
        <v>0</v>
      </c>
      <c r="AD81" s="104">
        <f t="shared" si="185"/>
        <v>0</v>
      </c>
      <c r="AE81" s="104">
        <f t="shared" si="185"/>
        <v>0</v>
      </c>
      <c r="AF81" s="104">
        <f t="shared" si="185"/>
        <v>0</v>
      </c>
      <c r="AG81" s="105">
        <f t="shared" si="185"/>
        <v>0</v>
      </c>
      <c r="AH81" s="104">
        <f t="shared" si="185"/>
        <v>0</v>
      </c>
      <c r="AI81" s="104">
        <f t="shared" si="185"/>
        <v>0</v>
      </c>
      <c r="AJ81" s="104">
        <f t="shared" si="185"/>
        <v>0</v>
      </c>
      <c r="AK81" s="104">
        <f t="shared" si="185"/>
        <v>0</v>
      </c>
      <c r="AL81" s="104">
        <f t="shared" si="185"/>
        <v>0</v>
      </c>
      <c r="AM81" s="104">
        <f t="shared" si="185"/>
        <v>0</v>
      </c>
      <c r="AN81" s="104">
        <f t="shared" si="185"/>
        <v>0</v>
      </c>
      <c r="AO81" s="104">
        <f t="shared" si="185"/>
        <v>0</v>
      </c>
      <c r="AP81" s="104">
        <f t="shared" si="185"/>
        <v>0</v>
      </c>
      <c r="AQ81" s="104">
        <f t="shared" si="185"/>
        <v>0</v>
      </c>
      <c r="AR81" s="104">
        <f t="shared" si="185"/>
        <v>0</v>
      </c>
      <c r="AS81" s="104">
        <f t="shared" si="185"/>
        <v>0</v>
      </c>
      <c r="AT81" s="105">
        <f t="shared" si="185"/>
        <v>0</v>
      </c>
      <c r="AU81" s="104">
        <f t="shared" si="185"/>
        <v>0</v>
      </c>
      <c r="AV81" s="104">
        <f t="shared" si="185"/>
        <v>0</v>
      </c>
      <c r="AW81" s="104">
        <f t="shared" si="185"/>
        <v>0</v>
      </c>
      <c r="AX81" s="104">
        <f t="shared" si="185"/>
        <v>0</v>
      </c>
      <c r="AY81" s="104">
        <f t="shared" si="185"/>
        <v>0</v>
      </c>
      <c r="AZ81" s="104">
        <f t="shared" si="185"/>
        <v>0</v>
      </c>
      <c r="BA81" s="104">
        <f t="shared" si="185"/>
        <v>0</v>
      </c>
      <c r="BB81" s="104">
        <f t="shared" si="185"/>
        <v>0</v>
      </c>
    </row>
    <row r="82" spans="1:54" s="47" customFormat="1" ht="15" hidden="1" customHeight="1" x14ac:dyDescent="0.25">
      <c r="A82" s="102"/>
      <c r="B82" s="112"/>
      <c r="C82" s="43">
        <v>900</v>
      </c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79"/>
      <c r="P82" s="45"/>
      <c r="Q82" s="45"/>
      <c r="R82" s="45"/>
      <c r="S82" s="45"/>
      <c r="T82" s="45"/>
      <c r="U82" s="45"/>
      <c r="V82" s="45">
        <f t="shared" ref="V82:V84" si="186">SUM(D82:U82)</f>
        <v>0</v>
      </c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79"/>
      <c r="AH82" s="45"/>
      <c r="AI82" s="45"/>
      <c r="AJ82" s="45"/>
      <c r="AK82" s="45"/>
      <c r="AL82" s="45">
        <f t="shared" ref="AL82:AL84" si="187">W82+X82+Y82</f>
        <v>0</v>
      </c>
      <c r="AM82" s="45"/>
      <c r="AN82" s="45"/>
      <c r="AO82" s="45"/>
      <c r="AP82" s="45"/>
      <c r="AQ82" s="45"/>
      <c r="AR82" s="45"/>
      <c r="AS82" s="45"/>
      <c r="AT82" s="79"/>
      <c r="AU82" s="45"/>
      <c r="AV82" s="45"/>
      <c r="AW82" s="45"/>
      <c r="AX82" s="45"/>
      <c r="AY82" s="45"/>
      <c r="AZ82" s="45"/>
      <c r="BA82" s="45"/>
      <c r="BB82" s="45">
        <f t="shared" ref="BB82:BB84" si="188">AM82+AN82+AO82</f>
        <v>0</v>
      </c>
    </row>
    <row r="83" spans="1:54" s="47" customFormat="1" ht="15" hidden="1" customHeight="1" x14ac:dyDescent="0.25">
      <c r="A83" s="102"/>
      <c r="B83" s="112"/>
      <c r="C83" s="43">
        <v>901</v>
      </c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79"/>
      <c r="P83" s="45"/>
      <c r="Q83" s="45"/>
      <c r="R83" s="45"/>
      <c r="S83" s="45"/>
      <c r="T83" s="45"/>
      <c r="U83" s="45"/>
      <c r="V83" s="45">
        <f t="shared" si="186"/>
        <v>0</v>
      </c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79"/>
      <c r="AH83" s="45"/>
      <c r="AI83" s="45"/>
      <c r="AJ83" s="45"/>
      <c r="AK83" s="45"/>
      <c r="AL83" s="45">
        <f t="shared" si="187"/>
        <v>0</v>
      </c>
      <c r="AM83" s="45"/>
      <c r="AN83" s="45"/>
      <c r="AO83" s="45"/>
      <c r="AP83" s="45"/>
      <c r="AQ83" s="45"/>
      <c r="AR83" s="45"/>
      <c r="AS83" s="45"/>
      <c r="AT83" s="79"/>
      <c r="AU83" s="45"/>
      <c r="AV83" s="45"/>
      <c r="AW83" s="45"/>
      <c r="AX83" s="45"/>
      <c r="AY83" s="45"/>
      <c r="AZ83" s="45"/>
      <c r="BA83" s="45"/>
      <c r="BB83" s="45">
        <f t="shared" si="188"/>
        <v>0</v>
      </c>
    </row>
    <row r="84" spans="1:54" s="47" customFormat="1" ht="15" hidden="1" customHeight="1" x14ac:dyDescent="0.25">
      <c r="A84" s="102"/>
      <c r="B84" s="112"/>
      <c r="C84" s="43">
        <v>923</v>
      </c>
      <c r="D84" s="45"/>
      <c r="E84" s="45"/>
      <c r="F84" s="45"/>
      <c r="G84" s="45"/>
      <c r="H84" s="45"/>
      <c r="I84" s="45"/>
      <c r="J84" s="45"/>
      <c r="K84" s="45"/>
      <c r="L84" s="45">
        <v>276</v>
      </c>
      <c r="M84" s="45"/>
      <c r="N84" s="45"/>
      <c r="O84" s="79"/>
      <c r="P84" s="45"/>
      <c r="Q84" s="45"/>
      <c r="R84" s="45"/>
      <c r="S84" s="45"/>
      <c r="T84" s="45"/>
      <c r="U84" s="45"/>
      <c r="V84" s="45">
        <f t="shared" si="186"/>
        <v>276</v>
      </c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79"/>
      <c r="AH84" s="45"/>
      <c r="AI84" s="45"/>
      <c r="AJ84" s="45"/>
      <c r="AK84" s="45"/>
      <c r="AL84" s="45">
        <f t="shared" si="187"/>
        <v>0</v>
      </c>
      <c r="AM84" s="45"/>
      <c r="AN84" s="45"/>
      <c r="AO84" s="45"/>
      <c r="AP84" s="45"/>
      <c r="AQ84" s="45"/>
      <c r="AR84" s="45"/>
      <c r="AS84" s="45"/>
      <c r="AT84" s="79"/>
      <c r="AU84" s="45"/>
      <c r="AV84" s="45"/>
      <c r="AW84" s="45"/>
      <c r="AX84" s="45"/>
      <c r="AY84" s="45"/>
      <c r="AZ84" s="45"/>
      <c r="BA84" s="45"/>
      <c r="BB84" s="45">
        <f t="shared" si="188"/>
        <v>0</v>
      </c>
    </row>
    <row r="85" spans="1:54" s="19" customFormat="1" ht="36" customHeight="1" x14ac:dyDescent="0.25">
      <c r="A85" s="90" t="s">
        <v>30</v>
      </c>
      <c r="B85" s="35" t="s">
        <v>54</v>
      </c>
      <c r="C85" s="36" t="s">
        <v>73</v>
      </c>
      <c r="D85" s="13">
        <f>10907+2109</f>
        <v>13016</v>
      </c>
      <c r="E85" s="13"/>
      <c r="F85" s="13">
        <v>717</v>
      </c>
      <c r="G85" s="13">
        <v>5415</v>
      </c>
      <c r="H85" s="13">
        <f>-511+65+194</f>
        <v>-252</v>
      </c>
      <c r="I85" s="13">
        <f>1384-174</f>
        <v>1210</v>
      </c>
      <c r="J85" s="13"/>
      <c r="K85" s="13"/>
      <c r="L85" s="13">
        <f>837+104+7337</f>
        <v>8278</v>
      </c>
      <c r="M85" s="13">
        <f>599</f>
        <v>599</v>
      </c>
      <c r="N85" s="13"/>
      <c r="O85" s="80">
        <f>50-178</f>
        <v>-128</v>
      </c>
      <c r="P85" s="13"/>
      <c r="Q85" s="13"/>
      <c r="R85" s="13"/>
      <c r="S85" s="13"/>
      <c r="T85" s="13"/>
      <c r="U85" s="13"/>
      <c r="V85" s="13">
        <f>SUM(D85:U85)</f>
        <v>28855</v>
      </c>
      <c r="W85" s="13">
        <f>10907</f>
        <v>10907</v>
      </c>
      <c r="X85" s="13"/>
      <c r="Y85" s="13">
        <v>717</v>
      </c>
      <c r="Z85" s="13">
        <f>2355-4710+2521-166</f>
        <v>0</v>
      </c>
      <c r="AA85" s="13"/>
      <c r="AB85" s="13"/>
      <c r="AC85" s="13"/>
      <c r="AD85" s="13"/>
      <c r="AE85" s="13"/>
      <c r="AF85" s="13">
        <f>1848+18519+59615</f>
        <v>79982</v>
      </c>
      <c r="AG85" s="80"/>
      <c r="AH85" s="13"/>
      <c r="AI85" s="13"/>
      <c r="AJ85" s="13"/>
      <c r="AK85" s="13"/>
      <c r="AL85" s="13">
        <f t="shared" ref="AL85:AL88" si="189">SUM(W85:AK85)</f>
        <v>91606</v>
      </c>
      <c r="AM85" s="13">
        <f>10426</f>
        <v>10426</v>
      </c>
      <c r="AN85" s="13"/>
      <c r="AO85" s="13">
        <v>806</v>
      </c>
      <c r="AP85" s="13"/>
      <c r="AQ85" s="13"/>
      <c r="AR85" s="13"/>
      <c r="AS85" s="13"/>
      <c r="AT85" s="80"/>
      <c r="AU85" s="13"/>
      <c r="AV85" s="13"/>
      <c r="AW85" s="13"/>
      <c r="AX85" s="13"/>
      <c r="AY85" s="13"/>
      <c r="AZ85" s="13"/>
      <c r="BA85" s="13"/>
      <c r="BB85" s="13">
        <f>SUM(AM85:BA85)</f>
        <v>11232</v>
      </c>
    </row>
    <row r="86" spans="1:54" s="19" customFormat="1" ht="31.5" x14ac:dyDescent="0.25">
      <c r="A86" s="90" t="s">
        <v>31</v>
      </c>
      <c r="B86" s="35" t="s">
        <v>55</v>
      </c>
      <c r="C86" s="36" t="s">
        <v>8</v>
      </c>
      <c r="D86" s="13">
        <f>1342+50+9299</f>
        <v>10691</v>
      </c>
      <c r="E86" s="13">
        <v>171</v>
      </c>
      <c r="F86" s="13">
        <v>16777</v>
      </c>
      <c r="G86" s="13">
        <v>12298</v>
      </c>
      <c r="H86" s="13">
        <f>-456</f>
        <v>-456</v>
      </c>
      <c r="I86" s="13">
        <f>279+650</f>
        <v>929</v>
      </c>
      <c r="J86" s="13"/>
      <c r="K86" s="13">
        <v>1147</v>
      </c>
      <c r="L86" s="13"/>
      <c r="M86" s="13">
        <f>3588</f>
        <v>3588</v>
      </c>
      <c r="N86" s="13"/>
      <c r="O86" s="80"/>
      <c r="P86" s="13"/>
      <c r="Q86" s="13"/>
      <c r="R86" s="13"/>
      <c r="S86" s="13"/>
      <c r="T86" s="13"/>
      <c r="U86" s="13"/>
      <c r="V86" s="13">
        <f>SUM(D86:U86)</f>
        <v>45145</v>
      </c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80"/>
      <c r="AH86" s="13"/>
      <c r="AI86" s="13"/>
      <c r="AJ86" s="13"/>
      <c r="AK86" s="13"/>
      <c r="AL86" s="13">
        <f t="shared" si="189"/>
        <v>0</v>
      </c>
      <c r="AM86" s="13"/>
      <c r="AN86" s="13"/>
      <c r="AO86" s="13"/>
      <c r="AP86" s="13"/>
      <c r="AQ86" s="13"/>
      <c r="AR86" s="13"/>
      <c r="AS86" s="13"/>
      <c r="AT86" s="80"/>
      <c r="AU86" s="13"/>
      <c r="AV86" s="13"/>
      <c r="AW86" s="13"/>
      <c r="AX86" s="13"/>
      <c r="AY86" s="13"/>
      <c r="AZ86" s="13"/>
      <c r="BA86" s="13"/>
      <c r="BB86" s="13">
        <f t="shared" ref="BB86:BB88" si="190">SUM(AM86:BA86)</f>
        <v>0</v>
      </c>
    </row>
    <row r="87" spans="1:54" s="19" customFormat="1" ht="31.5" x14ac:dyDescent="0.25">
      <c r="A87" s="90" t="s">
        <v>32</v>
      </c>
      <c r="B87" s="35" t="s">
        <v>56</v>
      </c>
      <c r="C87" s="36" t="s">
        <v>90</v>
      </c>
      <c r="D87" s="13">
        <v>465</v>
      </c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80"/>
      <c r="P87" s="13"/>
      <c r="Q87" s="13"/>
      <c r="R87" s="13"/>
      <c r="S87" s="13"/>
      <c r="T87" s="13"/>
      <c r="U87" s="13"/>
      <c r="V87" s="13">
        <f>SUM(D87:U87)</f>
        <v>465</v>
      </c>
      <c r="W87" s="13">
        <v>465</v>
      </c>
      <c r="X87" s="13"/>
      <c r="Y87" s="13"/>
      <c r="Z87" s="13"/>
      <c r="AA87" s="13"/>
      <c r="AB87" s="13"/>
      <c r="AC87" s="13"/>
      <c r="AD87" s="13"/>
      <c r="AE87" s="13"/>
      <c r="AF87" s="13"/>
      <c r="AG87" s="80"/>
      <c r="AH87" s="13"/>
      <c r="AI87" s="13"/>
      <c r="AJ87" s="13"/>
      <c r="AK87" s="13"/>
      <c r="AL87" s="13">
        <f t="shared" si="189"/>
        <v>465</v>
      </c>
      <c r="AM87" s="13">
        <v>465</v>
      </c>
      <c r="AN87" s="13"/>
      <c r="AO87" s="13"/>
      <c r="AP87" s="13"/>
      <c r="AQ87" s="13"/>
      <c r="AR87" s="13"/>
      <c r="AS87" s="13"/>
      <c r="AT87" s="80"/>
      <c r="AU87" s="13"/>
      <c r="AV87" s="13"/>
      <c r="AW87" s="13"/>
      <c r="AX87" s="13"/>
      <c r="AY87" s="13"/>
      <c r="AZ87" s="13"/>
      <c r="BA87" s="13"/>
      <c r="BB87" s="13">
        <f t="shared" si="190"/>
        <v>465</v>
      </c>
    </row>
    <row r="88" spans="1:54" s="19" customFormat="1" ht="31.5" x14ac:dyDescent="0.25">
      <c r="A88" s="90" t="s">
        <v>63</v>
      </c>
      <c r="B88" s="35" t="s">
        <v>57</v>
      </c>
      <c r="C88" s="36" t="s">
        <v>64</v>
      </c>
      <c r="D88" s="13">
        <v>1062</v>
      </c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80"/>
      <c r="P88" s="13"/>
      <c r="Q88" s="13"/>
      <c r="R88" s="13"/>
      <c r="S88" s="13"/>
      <c r="T88" s="13"/>
      <c r="U88" s="13"/>
      <c r="V88" s="13">
        <f>SUM(D88:U88)</f>
        <v>1062</v>
      </c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80"/>
      <c r="AH88" s="13"/>
      <c r="AI88" s="13"/>
      <c r="AJ88" s="13"/>
      <c r="AK88" s="13"/>
      <c r="AL88" s="13">
        <f t="shared" si="189"/>
        <v>0</v>
      </c>
      <c r="AM88" s="13"/>
      <c r="AN88" s="13"/>
      <c r="AO88" s="13"/>
      <c r="AP88" s="13"/>
      <c r="AQ88" s="13"/>
      <c r="AR88" s="13"/>
      <c r="AS88" s="13"/>
      <c r="AT88" s="80"/>
      <c r="AU88" s="13"/>
      <c r="AV88" s="13"/>
      <c r="AW88" s="13"/>
      <c r="AX88" s="13"/>
      <c r="AY88" s="13"/>
      <c r="AZ88" s="13"/>
      <c r="BA88" s="13"/>
      <c r="BB88" s="13">
        <f t="shared" si="190"/>
        <v>0</v>
      </c>
    </row>
    <row r="89" spans="1:54" s="19" customFormat="1" ht="54.75" customHeight="1" x14ac:dyDescent="0.25">
      <c r="A89" s="90" t="s">
        <v>33</v>
      </c>
      <c r="B89" s="35" t="s">
        <v>58</v>
      </c>
      <c r="C89" s="67" t="s">
        <v>88</v>
      </c>
      <c r="D89" s="37">
        <f>SUM(D90:D93)</f>
        <v>18206</v>
      </c>
      <c r="E89" s="37">
        <f t="shared" ref="E89:BB89" si="191">SUM(E90:E93)</f>
        <v>0</v>
      </c>
      <c r="F89" s="37">
        <f t="shared" si="191"/>
        <v>0</v>
      </c>
      <c r="G89" s="37">
        <f t="shared" si="191"/>
        <v>34564</v>
      </c>
      <c r="H89" s="37">
        <f t="shared" si="191"/>
        <v>-1</v>
      </c>
      <c r="I89" s="37">
        <f t="shared" si="191"/>
        <v>1923</v>
      </c>
      <c r="J89" s="37">
        <f t="shared" si="191"/>
        <v>191</v>
      </c>
      <c r="K89" s="37">
        <f t="shared" si="191"/>
        <v>0</v>
      </c>
      <c r="L89" s="37">
        <f t="shared" si="191"/>
        <v>0</v>
      </c>
      <c r="M89" s="37">
        <f t="shared" ref="M89:T89" si="192">SUM(M90:M93)</f>
        <v>-2</v>
      </c>
      <c r="N89" s="37">
        <f t="shared" si="192"/>
        <v>0</v>
      </c>
      <c r="O89" s="78">
        <f t="shared" ref="O89:P89" si="193">SUM(O90:O93)</f>
        <v>-100</v>
      </c>
      <c r="P89" s="37">
        <f t="shared" si="193"/>
        <v>0</v>
      </c>
      <c r="Q89" s="37">
        <f t="shared" si="192"/>
        <v>0</v>
      </c>
      <c r="R89" s="37">
        <f t="shared" si="192"/>
        <v>0</v>
      </c>
      <c r="S89" s="37">
        <f t="shared" si="192"/>
        <v>0</v>
      </c>
      <c r="T89" s="37">
        <f t="shared" si="192"/>
        <v>0</v>
      </c>
      <c r="U89" s="37">
        <f t="shared" si="191"/>
        <v>0</v>
      </c>
      <c r="V89" s="37">
        <f t="shared" si="191"/>
        <v>54781</v>
      </c>
      <c r="W89" s="37">
        <f t="shared" si="191"/>
        <v>16701</v>
      </c>
      <c r="X89" s="37">
        <f t="shared" si="191"/>
        <v>0</v>
      </c>
      <c r="Y89" s="37">
        <f t="shared" si="191"/>
        <v>0</v>
      </c>
      <c r="Z89" s="37">
        <f t="shared" si="191"/>
        <v>0</v>
      </c>
      <c r="AA89" s="37">
        <f t="shared" si="191"/>
        <v>0</v>
      </c>
      <c r="AB89" s="37">
        <f t="shared" si="191"/>
        <v>0</v>
      </c>
      <c r="AC89" s="37">
        <f t="shared" si="191"/>
        <v>0</v>
      </c>
      <c r="AD89" s="37">
        <f t="shared" ref="AD89:AI89" si="194">SUM(AD90:AD93)</f>
        <v>0</v>
      </c>
      <c r="AE89" s="37">
        <f t="shared" ref="AE89" si="195">SUM(AE90:AE93)</f>
        <v>0</v>
      </c>
      <c r="AF89" s="37">
        <f t="shared" si="194"/>
        <v>0</v>
      </c>
      <c r="AG89" s="78">
        <f t="shared" si="194"/>
        <v>0</v>
      </c>
      <c r="AH89" s="37">
        <f t="shared" si="194"/>
        <v>0</v>
      </c>
      <c r="AI89" s="37">
        <f t="shared" si="194"/>
        <v>0</v>
      </c>
      <c r="AJ89" s="37">
        <f t="shared" si="191"/>
        <v>0</v>
      </c>
      <c r="AK89" s="37">
        <f t="shared" si="191"/>
        <v>0</v>
      </c>
      <c r="AL89" s="37">
        <f t="shared" si="191"/>
        <v>16701</v>
      </c>
      <c r="AM89" s="37">
        <f t="shared" si="191"/>
        <v>16701</v>
      </c>
      <c r="AN89" s="37">
        <f t="shared" si="191"/>
        <v>0</v>
      </c>
      <c r="AO89" s="37">
        <f t="shared" si="191"/>
        <v>0</v>
      </c>
      <c r="AP89" s="37">
        <f t="shared" si="191"/>
        <v>0</v>
      </c>
      <c r="AQ89" s="37">
        <f t="shared" si="191"/>
        <v>0</v>
      </c>
      <c r="AR89" s="37">
        <f t="shared" si="191"/>
        <v>0</v>
      </c>
      <c r="AS89" s="37">
        <f t="shared" si="191"/>
        <v>0</v>
      </c>
      <c r="AT89" s="78">
        <f t="shared" ref="AT89:AY89" si="196">SUM(AT90:AT93)</f>
        <v>0</v>
      </c>
      <c r="AU89" s="37">
        <f t="shared" si="196"/>
        <v>0</v>
      </c>
      <c r="AV89" s="37">
        <f t="shared" si="196"/>
        <v>0</v>
      </c>
      <c r="AW89" s="37">
        <f t="shared" si="196"/>
        <v>0</v>
      </c>
      <c r="AX89" s="37">
        <f t="shared" si="196"/>
        <v>0</v>
      </c>
      <c r="AY89" s="37">
        <f t="shared" si="196"/>
        <v>0</v>
      </c>
      <c r="AZ89" s="37">
        <f t="shared" si="191"/>
        <v>0</v>
      </c>
      <c r="BA89" s="37">
        <f t="shared" si="191"/>
        <v>0</v>
      </c>
      <c r="BB89" s="37">
        <f t="shared" si="191"/>
        <v>16701</v>
      </c>
    </row>
    <row r="90" spans="1:54" s="56" customFormat="1" ht="15.75" hidden="1" x14ac:dyDescent="0.25">
      <c r="A90" s="92"/>
      <c r="B90" s="55"/>
      <c r="C90" s="51">
        <v>906</v>
      </c>
      <c r="D90" s="45"/>
      <c r="E90" s="49"/>
      <c r="F90" s="49"/>
      <c r="G90" s="49">
        <v>2000</v>
      </c>
      <c r="H90" s="49"/>
      <c r="I90" s="49"/>
      <c r="J90" s="49"/>
      <c r="K90" s="49"/>
      <c r="L90" s="49"/>
      <c r="M90" s="49"/>
      <c r="N90" s="49"/>
      <c r="O90" s="81"/>
      <c r="P90" s="49"/>
      <c r="Q90" s="49"/>
      <c r="R90" s="49"/>
      <c r="S90" s="49"/>
      <c r="T90" s="49"/>
      <c r="U90" s="49"/>
      <c r="V90" s="45">
        <f t="shared" ref="V90:V100" si="197">SUM(D90:U90)</f>
        <v>2000</v>
      </c>
      <c r="W90" s="45"/>
      <c r="X90" s="49"/>
      <c r="Y90" s="49"/>
      <c r="Z90" s="49"/>
      <c r="AA90" s="49"/>
      <c r="AB90" s="49"/>
      <c r="AC90" s="49"/>
      <c r="AD90" s="49"/>
      <c r="AE90" s="49"/>
      <c r="AF90" s="49"/>
      <c r="AG90" s="81"/>
      <c r="AH90" s="49"/>
      <c r="AI90" s="49"/>
      <c r="AJ90" s="49"/>
      <c r="AK90" s="49"/>
      <c r="AL90" s="45">
        <f t="shared" ref="AL90:AL95" si="198">SUM(W90:AK90)</f>
        <v>0</v>
      </c>
      <c r="AM90" s="45"/>
      <c r="AN90" s="49"/>
      <c r="AO90" s="49"/>
      <c r="AP90" s="49"/>
      <c r="AQ90" s="49"/>
      <c r="AR90" s="49"/>
      <c r="AS90" s="49"/>
      <c r="AT90" s="81"/>
      <c r="AU90" s="49"/>
      <c r="AV90" s="49"/>
      <c r="AW90" s="49"/>
      <c r="AX90" s="49"/>
      <c r="AY90" s="49"/>
      <c r="AZ90" s="49"/>
      <c r="BA90" s="49"/>
      <c r="BB90" s="45">
        <f t="shared" ref="BB90:BB93" si="199">SUM(AM90:BA90)</f>
        <v>0</v>
      </c>
    </row>
    <row r="91" spans="1:54" s="56" customFormat="1" ht="15.75" hidden="1" x14ac:dyDescent="0.25">
      <c r="A91" s="92"/>
      <c r="B91" s="55"/>
      <c r="C91" s="51">
        <v>917</v>
      </c>
      <c r="D91" s="45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81"/>
      <c r="P91" s="49"/>
      <c r="Q91" s="49"/>
      <c r="R91" s="49"/>
      <c r="S91" s="49"/>
      <c r="T91" s="49"/>
      <c r="U91" s="49"/>
      <c r="V91" s="45">
        <f t="shared" si="197"/>
        <v>0</v>
      </c>
      <c r="W91" s="45"/>
      <c r="X91" s="49"/>
      <c r="Y91" s="49"/>
      <c r="Z91" s="49"/>
      <c r="AA91" s="49"/>
      <c r="AB91" s="49"/>
      <c r="AC91" s="49"/>
      <c r="AD91" s="49"/>
      <c r="AE91" s="49"/>
      <c r="AF91" s="49"/>
      <c r="AG91" s="81"/>
      <c r="AH91" s="49"/>
      <c r="AI91" s="49"/>
      <c r="AJ91" s="49"/>
      <c r="AK91" s="49"/>
      <c r="AL91" s="45">
        <f t="shared" si="198"/>
        <v>0</v>
      </c>
      <c r="AM91" s="45"/>
      <c r="AN91" s="49"/>
      <c r="AO91" s="49"/>
      <c r="AP91" s="49"/>
      <c r="AQ91" s="49"/>
      <c r="AR91" s="49"/>
      <c r="AS91" s="49"/>
      <c r="AT91" s="81"/>
      <c r="AU91" s="49"/>
      <c r="AV91" s="49"/>
      <c r="AW91" s="49"/>
      <c r="AX91" s="49"/>
      <c r="AY91" s="49"/>
      <c r="AZ91" s="49"/>
      <c r="BA91" s="49"/>
      <c r="BB91" s="45">
        <f t="shared" si="199"/>
        <v>0</v>
      </c>
    </row>
    <row r="92" spans="1:54" s="56" customFormat="1" ht="15.75" hidden="1" x14ac:dyDescent="0.25">
      <c r="A92" s="92"/>
      <c r="B92" s="55"/>
      <c r="C92" s="51">
        <v>920</v>
      </c>
      <c r="D92" s="45">
        <v>1500</v>
      </c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81"/>
      <c r="P92" s="49"/>
      <c r="Q92" s="49"/>
      <c r="R92" s="49"/>
      <c r="S92" s="49"/>
      <c r="T92" s="49"/>
      <c r="U92" s="49"/>
      <c r="V92" s="45">
        <f t="shared" ref="V92" si="200">SUM(D92:U92)</f>
        <v>1500</v>
      </c>
      <c r="W92" s="45"/>
      <c r="X92" s="49"/>
      <c r="Y92" s="49"/>
      <c r="Z92" s="49"/>
      <c r="AA92" s="49"/>
      <c r="AB92" s="49"/>
      <c r="AC92" s="49"/>
      <c r="AD92" s="49"/>
      <c r="AE92" s="49"/>
      <c r="AF92" s="49"/>
      <c r="AG92" s="81"/>
      <c r="AH92" s="49"/>
      <c r="AI92" s="49"/>
      <c r="AJ92" s="49"/>
      <c r="AK92" s="49"/>
      <c r="AL92" s="45">
        <f t="shared" si="198"/>
        <v>0</v>
      </c>
      <c r="AM92" s="45"/>
      <c r="AN92" s="49"/>
      <c r="AO92" s="49"/>
      <c r="AP92" s="49"/>
      <c r="AQ92" s="49"/>
      <c r="AR92" s="49"/>
      <c r="AS92" s="49"/>
      <c r="AT92" s="81"/>
      <c r="AU92" s="49"/>
      <c r="AV92" s="49"/>
      <c r="AW92" s="49"/>
      <c r="AX92" s="49"/>
      <c r="AY92" s="49"/>
      <c r="AZ92" s="49"/>
      <c r="BA92" s="49"/>
      <c r="BB92" s="45">
        <f t="shared" ref="BB92" si="201">SUM(AM92:BA92)</f>
        <v>0</v>
      </c>
    </row>
    <row r="93" spans="1:54" s="56" customFormat="1" ht="15.75" hidden="1" x14ac:dyDescent="0.25">
      <c r="A93" s="92"/>
      <c r="B93" s="55"/>
      <c r="C93" s="51">
        <v>924</v>
      </c>
      <c r="D93" s="45">
        <f>16706</f>
        <v>16706</v>
      </c>
      <c r="E93" s="49"/>
      <c r="F93" s="49"/>
      <c r="G93" s="49">
        <v>32564</v>
      </c>
      <c r="H93" s="49">
        <v>-1</v>
      </c>
      <c r="I93" s="49">
        <v>1923</v>
      </c>
      <c r="J93" s="49">
        <f>193-2</f>
        <v>191</v>
      </c>
      <c r="K93" s="49"/>
      <c r="L93" s="49"/>
      <c r="M93" s="49">
        <f>7-9</f>
        <v>-2</v>
      </c>
      <c r="N93" s="49"/>
      <c r="O93" s="81">
        <f>-88-9-3</f>
        <v>-100</v>
      </c>
      <c r="P93" s="49"/>
      <c r="Q93" s="49"/>
      <c r="R93" s="49"/>
      <c r="S93" s="49"/>
      <c r="T93" s="49"/>
      <c r="U93" s="49"/>
      <c r="V93" s="45">
        <f t="shared" si="197"/>
        <v>51281</v>
      </c>
      <c r="W93" s="45">
        <f>16701</f>
        <v>16701</v>
      </c>
      <c r="X93" s="49"/>
      <c r="Y93" s="49"/>
      <c r="Z93" s="49"/>
      <c r="AA93" s="49"/>
      <c r="AB93" s="49"/>
      <c r="AC93" s="49"/>
      <c r="AD93" s="49"/>
      <c r="AE93" s="49"/>
      <c r="AF93" s="49"/>
      <c r="AG93" s="81"/>
      <c r="AH93" s="49"/>
      <c r="AI93" s="49"/>
      <c r="AJ93" s="49"/>
      <c r="AK93" s="49"/>
      <c r="AL93" s="45">
        <f t="shared" si="198"/>
        <v>16701</v>
      </c>
      <c r="AM93" s="45">
        <v>16701</v>
      </c>
      <c r="AN93" s="45"/>
      <c r="AO93" s="45"/>
      <c r="AP93" s="45"/>
      <c r="AQ93" s="45"/>
      <c r="AR93" s="45"/>
      <c r="AS93" s="45"/>
      <c r="AT93" s="79"/>
      <c r="AU93" s="45"/>
      <c r="AV93" s="45"/>
      <c r="AW93" s="45"/>
      <c r="AX93" s="45"/>
      <c r="AY93" s="45"/>
      <c r="AZ93" s="45"/>
      <c r="BA93" s="45"/>
      <c r="BB93" s="45">
        <f t="shared" si="199"/>
        <v>16701</v>
      </c>
    </row>
    <row r="94" spans="1:54" s="19" customFormat="1" ht="31.5" x14ac:dyDescent="0.25">
      <c r="A94" s="90" t="s">
        <v>34</v>
      </c>
      <c r="B94" s="35" t="s">
        <v>59</v>
      </c>
      <c r="C94" s="36" t="s">
        <v>67</v>
      </c>
      <c r="D94" s="13">
        <f>2500+918</f>
        <v>3418</v>
      </c>
      <c r="E94" s="13">
        <v>3802</v>
      </c>
      <c r="F94" s="13"/>
      <c r="G94" s="13"/>
      <c r="H94" s="13">
        <f>10869-959-3</f>
        <v>9907</v>
      </c>
      <c r="I94" s="13">
        <f>-357</f>
        <v>-357</v>
      </c>
      <c r="J94" s="13"/>
      <c r="K94" s="13"/>
      <c r="L94" s="13"/>
      <c r="M94" s="13"/>
      <c r="N94" s="13">
        <f>-10869</f>
        <v>-10869</v>
      </c>
      <c r="O94" s="80">
        <v>-246</v>
      </c>
      <c r="P94" s="13"/>
      <c r="Q94" s="13"/>
      <c r="R94" s="13"/>
      <c r="S94" s="13"/>
      <c r="T94" s="13"/>
      <c r="U94" s="13"/>
      <c r="V94" s="13">
        <f t="shared" si="197"/>
        <v>5655</v>
      </c>
      <c r="W94" s="13">
        <f>2500+918</f>
        <v>3418</v>
      </c>
      <c r="X94" s="13"/>
      <c r="Y94" s="13"/>
      <c r="Z94" s="13"/>
      <c r="AA94" s="13">
        <f>7544</f>
        <v>7544</v>
      </c>
      <c r="AB94" s="13"/>
      <c r="AC94" s="13"/>
      <c r="AD94" s="13"/>
      <c r="AE94" s="13"/>
      <c r="AF94" s="13"/>
      <c r="AG94" s="80"/>
      <c r="AH94" s="13"/>
      <c r="AI94" s="13"/>
      <c r="AJ94" s="13"/>
      <c r="AK94" s="13"/>
      <c r="AL94" s="13">
        <f t="shared" si="198"/>
        <v>10962</v>
      </c>
      <c r="AM94" s="13"/>
      <c r="AN94" s="13"/>
      <c r="AO94" s="13"/>
      <c r="AP94" s="13"/>
      <c r="AQ94" s="13"/>
      <c r="AR94" s="13"/>
      <c r="AS94" s="13"/>
      <c r="AT94" s="80"/>
      <c r="AU94" s="13"/>
      <c r="AV94" s="13"/>
      <c r="AW94" s="13"/>
      <c r="AX94" s="13"/>
      <c r="AY94" s="13"/>
      <c r="AZ94" s="13"/>
      <c r="BA94" s="13"/>
      <c r="BB94" s="13">
        <f>SUM(AM94:BA94)</f>
        <v>0</v>
      </c>
    </row>
    <row r="95" spans="1:54" s="19" customFormat="1" ht="31.5" x14ac:dyDescent="0.25">
      <c r="A95" s="90" t="s">
        <v>35</v>
      </c>
      <c r="B95" s="35" t="s">
        <v>60</v>
      </c>
      <c r="C95" s="36" t="s">
        <v>65</v>
      </c>
      <c r="D95" s="13">
        <f>15913+368290+2118</f>
        <v>386321</v>
      </c>
      <c r="E95" s="13">
        <v>940</v>
      </c>
      <c r="F95" s="13">
        <f>2400+2812+800</f>
        <v>6012</v>
      </c>
      <c r="G95" s="13"/>
      <c r="H95" s="13">
        <f>1520</f>
        <v>1520</v>
      </c>
      <c r="I95" s="13"/>
      <c r="J95" s="13">
        <v>1028</v>
      </c>
      <c r="K95" s="13"/>
      <c r="L95" s="13">
        <v>1260</v>
      </c>
      <c r="M95" s="13"/>
      <c r="N95" s="13"/>
      <c r="O95" s="80">
        <f>-1410-450</f>
        <v>-1860</v>
      </c>
      <c r="P95" s="13"/>
      <c r="Q95" s="13"/>
      <c r="R95" s="13"/>
      <c r="S95" s="13"/>
      <c r="T95" s="13"/>
      <c r="U95" s="13"/>
      <c r="V95" s="13">
        <f t="shared" si="197"/>
        <v>395221</v>
      </c>
      <c r="W95" s="13">
        <f>15913+363760+3823</f>
        <v>383496</v>
      </c>
      <c r="X95" s="13"/>
      <c r="Y95" s="13"/>
      <c r="Z95" s="13"/>
      <c r="AA95" s="13"/>
      <c r="AB95" s="13"/>
      <c r="AC95" s="13"/>
      <c r="AD95" s="13"/>
      <c r="AE95" s="13"/>
      <c r="AF95" s="13"/>
      <c r="AG95" s="80"/>
      <c r="AH95" s="13"/>
      <c r="AI95" s="13"/>
      <c r="AJ95" s="13"/>
      <c r="AK95" s="13"/>
      <c r="AL95" s="13">
        <f t="shared" si="198"/>
        <v>383496</v>
      </c>
      <c r="AM95" s="13"/>
      <c r="AN95" s="13"/>
      <c r="AO95" s="13"/>
      <c r="AP95" s="13"/>
      <c r="AQ95" s="13"/>
      <c r="AR95" s="13"/>
      <c r="AS95" s="13"/>
      <c r="AT95" s="80"/>
      <c r="AU95" s="13"/>
      <c r="AV95" s="13"/>
      <c r="AW95" s="13"/>
      <c r="AX95" s="13"/>
      <c r="AY95" s="13"/>
      <c r="AZ95" s="13"/>
      <c r="BA95" s="13"/>
      <c r="BB95" s="13">
        <f>SUM(AM95:BA95)</f>
        <v>0</v>
      </c>
    </row>
    <row r="96" spans="1:54" s="19" customFormat="1" ht="33.75" customHeight="1" x14ac:dyDescent="0.25">
      <c r="A96" s="90" t="s">
        <v>36</v>
      </c>
      <c r="B96" s="35" t="s">
        <v>61</v>
      </c>
      <c r="C96" s="36" t="s">
        <v>3</v>
      </c>
      <c r="D96" s="37">
        <f>SUM(D97:D100)</f>
        <v>16871</v>
      </c>
      <c r="E96" s="37">
        <f t="shared" ref="E96:BB96" si="202">SUM(E97:E100)</f>
        <v>51000</v>
      </c>
      <c r="F96" s="37">
        <f t="shared" si="202"/>
        <v>558</v>
      </c>
      <c r="G96" s="37">
        <f>SUM(G97:G100)</f>
        <v>128890</v>
      </c>
      <c r="H96" s="37">
        <f t="shared" si="202"/>
        <v>0</v>
      </c>
      <c r="I96" s="37">
        <f t="shared" si="202"/>
        <v>0</v>
      </c>
      <c r="J96" s="37">
        <f t="shared" si="202"/>
        <v>33962</v>
      </c>
      <c r="K96" s="37">
        <f t="shared" si="202"/>
        <v>3737</v>
      </c>
      <c r="L96" s="37">
        <f t="shared" si="202"/>
        <v>12766</v>
      </c>
      <c r="M96" s="37">
        <f t="shared" ref="M96:T96" si="203">SUM(M97:M100)</f>
        <v>0</v>
      </c>
      <c r="N96" s="37">
        <f t="shared" si="203"/>
        <v>0</v>
      </c>
      <c r="O96" s="78">
        <f t="shared" ref="O96:P96" si="204">SUM(O97:O100)</f>
        <v>-865</v>
      </c>
      <c r="P96" s="37">
        <f t="shared" si="204"/>
        <v>0</v>
      </c>
      <c r="Q96" s="37">
        <f t="shared" si="203"/>
        <v>0</v>
      </c>
      <c r="R96" s="37">
        <f t="shared" si="203"/>
        <v>0</v>
      </c>
      <c r="S96" s="37">
        <f t="shared" si="203"/>
        <v>0</v>
      </c>
      <c r="T96" s="37">
        <f t="shared" si="203"/>
        <v>0</v>
      </c>
      <c r="U96" s="37">
        <f t="shared" si="202"/>
        <v>0</v>
      </c>
      <c r="V96" s="37">
        <f t="shared" si="202"/>
        <v>246919</v>
      </c>
      <c r="W96" s="37">
        <f t="shared" si="202"/>
        <v>17033</v>
      </c>
      <c r="X96" s="37">
        <f t="shared" si="202"/>
        <v>0</v>
      </c>
      <c r="Y96" s="37">
        <f t="shared" si="202"/>
        <v>0</v>
      </c>
      <c r="Z96" s="37">
        <f t="shared" si="202"/>
        <v>0</v>
      </c>
      <c r="AA96" s="37">
        <f t="shared" si="202"/>
        <v>0</v>
      </c>
      <c r="AB96" s="37">
        <f t="shared" si="202"/>
        <v>0</v>
      </c>
      <c r="AC96" s="37">
        <f t="shared" si="202"/>
        <v>1400</v>
      </c>
      <c r="AD96" s="37">
        <f t="shared" ref="AD96:AI96" si="205">SUM(AD97:AD100)</f>
        <v>0</v>
      </c>
      <c r="AE96" s="37">
        <f t="shared" ref="AE96" si="206">SUM(AE97:AE100)</f>
        <v>0</v>
      </c>
      <c r="AF96" s="37">
        <f t="shared" si="205"/>
        <v>0</v>
      </c>
      <c r="AG96" s="78">
        <f t="shared" si="205"/>
        <v>0</v>
      </c>
      <c r="AH96" s="37">
        <f t="shared" si="205"/>
        <v>0</v>
      </c>
      <c r="AI96" s="37">
        <f t="shared" si="205"/>
        <v>0</v>
      </c>
      <c r="AJ96" s="37">
        <f t="shared" si="202"/>
        <v>0</v>
      </c>
      <c r="AK96" s="37">
        <f t="shared" si="202"/>
        <v>0</v>
      </c>
      <c r="AL96" s="13">
        <f>SUM(AL97:AL100)</f>
        <v>18433</v>
      </c>
      <c r="AM96" s="37">
        <f t="shared" si="202"/>
        <v>17033</v>
      </c>
      <c r="AN96" s="37">
        <f t="shared" si="202"/>
        <v>0</v>
      </c>
      <c r="AO96" s="37">
        <f t="shared" si="202"/>
        <v>0</v>
      </c>
      <c r="AP96" s="37">
        <f t="shared" si="202"/>
        <v>0</v>
      </c>
      <c r="AQ96" s="37">
        <f t="shared" si="202"/>
        <v>0</v>
      </c>
      <c r="AR96" s="37">
        <f t="shared" si="202"/>
        <v>0</v>
      </c>
      <c r="AS96" s="37">
        <f t="shared" si="202"/>
        <v>0</v>
      </c>
      <c r="AT96" s="78">
        <f t="shared" ref="AT96:AY96" si="207">SUM(AT97:AT100)</f>
        <v>0</v>
      </c>
      <c r="AU96" s="37">
        <f t="shared" si="207"/>
        <v>0</v>
      </c>
      <c r="AV96" s="37">
        <f t="shared" si="207"/>
        <v>0</v>
      </c>
      <c r="AW96" s="37">
        <f t="shared" si="207"/>
        <v>0</v>
      </c>
      <c r="AX96" s="37">
        <f t="shared" si="207"/>
        <v>0</v>
      </c>
      <c r="AY96" s="37">
        <f t="shared" si="207"/>
        <v>0</v>
      </c>
      <c r="AZ96" s="37">
        <f t="shared" si="202"/>
        <v>0</v>
      </c>
      <c r="BA96" s="37">
        <f t="shared" si="202"/>
        <v>0</v>
      </c>
      <c r="BB96" s="37">
        <f t="shared" si="202"/>
        <v>17033</v>
      </c>
    </row>
    <row r="97" spans="1:54" s="56" customFormat="1" ht="15.75" hidden="1" x14ac:dyDescent="0.25">
      <c r="A97" s="92"/>
      <c r="B97" s="55"/>
      <c r="C97" s="51">
        <v>912</v>
      </c>
      <c r="D97" s="49"/>
      <c r="E97" s="49"/>
      <c r="F97" s="49"/>
      <c r="G97" s="49">
        <v>736</v>
      </c>
      <c r="H97" s="49"/>
      <c r="I97" s="49"/>
      <c r="J97" s="49"/>
      <c r="K97" s="49"/>
      <c r="L97" s="49"/>
      <c r="M97" s="49"/>
      <c r="N97" s="49"/>
      <c r="O97" s="81">
        <v>-94</v>
      </c>
      <c r="P97" s="49"/>
      <c r="Q97" s="49"/>
      <c r="R97" s="49"/>
      <c r="S97" s="49"/>
      <c r="T97" s="49"/>
      <c r="U97" s="49"/>
      <c r="V97" s="45">
        <f t="shared" si="197"/>
        <v>642</v>
      </c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81"/>
      <c r="AH97" s="49"/>
      <c r="AI97" s="49"/>
      <c r="AJ97" s="49"/>
      <c r="AK97" s="49"/>
      <c r="AL97" s="52">
        <f>SUM(W97:AK97)</f>
        <v>0</v>
      </c>
      <c r="AM97" s="49"/>
      <c r="AN97" s="49"/>
      <c r="AO97" s="49"/>
      <c r="AP97" s="49"/>
      <c r="AQ97" s="49"/>
      <c r="AR97" s="49"/>
      <c r="AS97" s="49"/>
      <c r="AT97" s="81"/>
      <c r="AU97" s="49"/>
      <c r="AV97" s="49"/>
      <c r="AW97" s="49"/>
      <c r="AX97" s="49"/>
      <c r="AY97" s="49"/>
      <c r="AZ97" s="49"/>
      <c r="BA97" s="49"/>
      <c r="BB97" s="45">
        <f t="shared" ref="BB97:BB100" si="208">SUM(AM97:BA97)</f>
        <v>0</v>
      </c>
    </row>
    <row r="98" spans="1:54" s="56" customFormat="1" ht="15.75" hidden="1" x14ac:dyDescent="0.25">
      <c r="A98" s="92"/>
      <c r="B98" s="55"/>
      <c r="C98" s="51">
        <v>913</v>
      </c>
      <c r="D98" s="49">
        <f>1400+2438</f>
        <v>3838</v>
      </c>
      <c r="E98" s="49">
        <v>2000</v>
      </c>
      <c r="F98" s="49">
        <v>7282</v>
      </c>
      <c r="G98" s="49"/>
      <c r="H98" s="49"/>
      <c r="I98" s="49"/>
      <c r="J98" s="49">
        <f>-610-1418</f>
        <v>-2028</v>
      </c>
      <c r="K98" s="49"/>
      <c r="L98" s="49"/>
      <c r="M98" s="49"/>
      <c r="N98" s="49"/>
      <c r="O98" s="81"/>
      <c r="P98" s="49"/>
      <c r="Q98" s="49"/>
      <c r="R98" s="49"/>
      <c r="S98" s="49"/>
      <c r="T98" s="49"/>
      <c r="U98" s="49"/>
      <c r="V98" s="45">
        <f t="shared" si="197"/>
        <v>11092</v>
      </c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81"/>
      <c r="AH98" s="49"/>
      <c r="AI98" s="49"/>
      <c r="AJ98" s="49"/>
      <c r="AK98" s="49"/>
      <c r="AL98" s="52">
        <f>SUM(W98:AK98)</f>
        <v>0</v>
      </c>
      <c r="AM98" s="49"/>
      <c r="AN98" s="49"/>
      <c r="AO98" s="49"/>
      <c r="AP98" s="49"/>
      <c r="AQ98" s="49"/>
      <c r="AR98" s="49"/>
      <c r="AS98" s="49"/>
      <c r="AT98" s="81"/>
      <c r="AU98" s="49"/>
      <c r="AV98" s="49"/>
      <c r="AW98" s="49"/>
      <c r="AX98" s="49"/>
      <c r="AY98" s="49"/>
      <c r="AZ98" s="49"/>
      <c r="BA98" s="49"/>
      <c r="BB98" s="45">
        <f t="shared" si="208"/>
        <v>0</v>
      </c>
    </row>
    <row r="99" spans="1:54" s="56" customFormat="1" ht="15.75" hidden="1" x14ac:dyDescent="0.25">
      <c r="A99" s="92"/>
      <c r="B99" s="55"/>
      <c r="C99" s="51">
        <v>914</v>
      </c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81"/>
      <c r="P99" s="49"/>
      <c r="Q99" s="49"/>
      <c r="R99" s="49"/>
      <c r="S99" s="49"/>
      <c r="T99" s="49"/>
      <c r="U99" s="49"/>
      <c r="V99" s="45">
        <f t="shared" si="197"/>
        <v>0</v>
      </c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81"/>
      <c r="AH99" s="49"/>
      <c r="AI99" s="49"/>
      <c r="AJ99" s="49"/>
      <c r="AK99" s="49"/>
      <c r="AL99" s="52">
        <f>SUM(W99:AK99)</f>
        <v>0</v>
      </c>
      <c r="AM99" s="49"/>
      <c r="AN99" s="49"/>
      <c r="AO99" s="49"/>
      <c r="AP99" s="49"/>
      <c r="AQ99" s="49"/>
      <c r="AR99" s="49"/>
      <c r="AS99" s="49"/>
      <c r="AT99" s="81"/>
      <c r="AU99" s="49"/>
      <c r="AV99" s="49"/>
      <c r="AW99" s="49"/>
      <c r="AX99" s="49"/>
      <c r="AY99" s="49"/>
      <c r="AZ99" s="49"/>
      <c r="BA99" s="49"/>
      <c r="BB99" s="45">
        <f t="shared" si="208"/>
        <v>0</v>
      </c>
    </row>
    <row r="100" spans="1:54" s="56" customFormat="1" ht="15.75" hidden="1" x14ac:dyDescent="0.25">
      <c r="A100" s="92"/>
      <c r="B100" s="55"/>
      <c r="C100" s="51">
        <v>920</v>
      </c>
      <c r="D100" s="49">
        <f>13033</f>
        <v>13033</v>
      </c>
      <c r="E100" s="49">
        <v>49000</v>
      </c>
      <c r="F100" s="49">
        <f>2572-9296</f>
        <v>-6724</v>
      </c>
      <c r="G100" s="49">
        <v>128154</v>
      </c>
      <c r="H100" s="49"/>
      <c r="I100" s="49">
        <f>2930-400-2530</f>
        <v>0</v>
      </c>
      <c r="J100" s="49">
        <f>600+851+22149+12390</f>
        <v>35990</v>
      </c>
      <c r="K100" s="49">
        <v>3737</v>
      </c>
      <c r="L100" s="49">
        <v>12766</v>
      </c>
      <c r="M100" s="49"/>
      <c r="N100" s="49"/>
      <c r="O100" s="81">
        <f>-247-4-462-13-45</f>
        <v>-771</v>
      </c>
      <c r="P100" s="49"/>
      <c r="Q100" s="49"/>
      <c r="R100" s="49"/>
      <c r="S100" s="49"/>
      <c r="T100" s="49"/>
      <c r="U100" s="49"/>
      <c r="V100" s="45">
        <f t="shared" si="197"/>
        <v>235185</v>
      </c>
      <c r="W100" s="49">
        <f>17033</f>
        <v>17033</v>
      </c>
      <c r="X100" s="49"/>
      <c r="Y100" s="49"/>
      <c r="Z100" s="49"/>
      <c r="AA100" s="49"/>
      <c r="AB100" s="49"/>
      <c r="AC100" s="49">
        <v>1400</v>
      </c>
      <c r="AD100" s="49"/>
      <c r="AE100" s="49"/>
      <c r="AF100" s="49"/>
      <c r="AG100" s="81"/>
      <c r="AH100" s="49"/>
      <c r="AI100" s="49"/>
      <c r="AJ100" s="49"/>
      <c r="AK100" s="49"/>
      <c r="AL100" s="49">
        <f>SUM(W100:AK100)</f>
        <v>18433</v>
      </c>
      <c r="AM100" s="49">
        <v>17033</v>
      </c>
      <c r="AN100" s="49"/>
      <c r="AO100" s="49"/>
      <c r="AP100" s="49"/>
      <c r="AQ100" s="49"/>
      <c r="AR100" s="49"/>
      <c r="AS100" s="49"/>
      <c r="AT100" s="81"/>
      <c r="AU100" s="49"/>
      <c r="AV100" s="49"/>
      <c r="AW100" s="49"/>
      <c r="AX100" s="49"/>
      <c r="AY100" s="49"/>
      <c r="AZ100" s="49"/>
      <c r="BA100" s="49"/>
      <c r="BB100" s="45">
        <f t="shared" si="208"/>
        <v>17033</v>
      </c>
    </row>
    <row r="101" spans="1:54" s="19" customFormat="1" ht="31.5" x14ac:dyDescent="0.25">
      <c r="A101" s="90" t="s">
        <v>69</v>
      </c>
      <c r="B101" s="35" t="s">
        <v>62</v>
      </c>
      <c r="C101" s="36" t="s">
        <v>80</v>
      </c>
      <c r="D101" s="37">
        <f>SUM(D102:D103)</f>
        <v>129189</v>
      </c>
      <c r="E101" s="37">
        <f t="shared" ref="E101:BB101" si="209">SUM(E102:E103)</f>
        <v>0</v>
      </c>
      <c r="F101" s="37">
        <f t="shared" si="209"/>
        <v>7893</v>
      </c>
      <c r="G101" s="37">
        <f t="shared" si="209"/>
        <v>0</v>
      </c>
      <c r="H101" s="37">
        <f t="shared" si="209"/>
        <v>0</v>
      </c>
      <c r="I101" s="37">
        <f t="shared" ref="I101" si="210">SUM(I102:I103)</f>
        <v>0</v>
      </c>
      <c r="J101" s="37">
        <f t="shared" si="209"/>
        <v>0</v>
      </c>
      <c r="K101" s="37">
        <f t="shared" si="209"/>
        <v>52632</v>
      </c>
      <c r="L101" s="37">
        <f t="shared" si="209"/>
        <v>0</v>
      </c>
      <c r="M101" s="37">
        <f t="shared" ref="M101:T101" si="211">SUM(M102:M103)</f>
        <v>0</v>
      </c>
      <c r="N101" s="37">
        <f t="shared" si="211"/>
        <v>0</v>
      </c>
      <c r="O101" s="78">
        <f t="shared" ref="O101:P101" si="212">SUM(O102:O103)</f>
        <v>0</v>
      </c>
      <c r="P101" s="37">
        <f t="shared" si="212"/>
        <v>0</v>
      </c>
      <c r="Q101" s="37">
        <f t="shared" si="211"/>
        <v>0</v>
      </c>
      <c r="R101" s="37">
        <f t="shared" si="211"/>
        <v>0</v>
      </c>
      <c r="S101" s="37">
        <f t="shared" si="211"/>
        <v>0</v>
      </c>
      <c r="T101" s="37">
        <f t="shared" si="211"/>
        <v>0</v>
      </c>
      <c r="U101" s="37">
        <f t="shared" si="209"/>
        <v>0</v>
      </c>
      <c r="V101" s="37">
        <f t="shared" si="209"/>
        <v>189714</v>
      </c>
      <c r="W101" s="37">
        <f t="shared" si="209"/>
        <v>16843</v>
      </c>
      <c r="X101" s="37">
        <f t="shared" si="209"/>
        <v>0</v>
      </c>
      <c r="Y101" s="37">
        <f t="shared" si="209"/>
        <v>0</v>
      </c>
      <c r="Z101" s="37">
        <f t="shared" si="209"/>
        <v>0</v>
      </c>
      <c r="AA101" s="37">
        <f t="shared" si="209"/>
        <v>0</v>
      </c>
      <c r="AB101" s="37">
        <f t="shared" si="209"/>
        <v>0</v>
      </c>
      <c r="AC101" s="37">
        <f t="shared" si="209"/>
        <v>0</v>
      </c>
      <c r="AD101" s="37">
        <f t="shared" ref="AD101:AI101" si="213">SUM(AD102:AD103)</f>
        <v>148261</v>
      </c>
      <c r="AE101" s="37">
        <f t="shared" ref="AE101" si="214">SUM(AE102:AE103)</f>
        <v>0</v>
      </c>
      <c r="AF101" s="37">
        <f t="shared" si="213"/>
        <v>0</v>
      </c>
      <c r="AG101" s="78">
        <f t="shared" si="213"/>
        <v>0</v>
      </c>
      <c r="AH101" s="37">
        <f t="shared" si="213"/>
        <v>0</v>
      </c>
      <c r="AI101" s="37">
        <f t="shared" si="213"/>
        <v>0</v>
      </c>
      <c r="AJ101" s="37">
        <f t="shared" si="209"/>
        <v>0</v>
      </c>
      <c r="AK101" s="37">
        <f t="shared" si="209"/>
        <v>0</v>
      </c>
      <c r="AL101" s="13">
        <f>SUM(AL102:AL103)</f>
        <v>165104</v>
      </c>
      <c r="AM101" s="37">
        <f t="shared" si="209"/>
        <v>16843</v>
      </c>
      <c r="AN101" s="37">
        <f t="shared" si="209"/>
        <v>0</v>
      </c>
      <c r="AO101" s="37">
        <f t="shared" si="209"/>
        <v>0</v>
      </c>
      <c r="AP101" s="37">
        <f t="shared" si="209"/>
        <v>0</v>
      </c>
      <c r="AQ101" s="37">
        <f t="shared" si="209"/>
        <v>0</v>
      </c>
      <c r="AR101" s="37">
        <f t="shared" si="209"/>
        <v>0</v>
      </c>
      <c r="AS101" s="37">
        <f t="shared" si="209"/>
        <v>0</v>
      </c>
      <c r="AT101" s="78">
        <f t="shared" ref="AT101:AY101" si="215">SUM(AT102:AT103)</f>
        <v>0</v>
      </c>
      <c r="AU101" s="37">
        <f t="shared" si="215"/>
        <v>0</v>
      </c>
      <c r="AV101" s="37">
        <f t="shared" si="215"/>
        <v>0</v>
      </c>
      <c r="AW101" s="37">
        <f t="shared" si="215"/>
        <v>0</v>
      </c>
      <c r="AX101" s="37">
        <f t="shared" si="215"/>
        <v>0</v>
      </c>
      <c r="AY101" s="37">
        <f t="shared" si="215"/>
        <v>0</v>
      </c>
      <c r="AZ101" s="37">
        <f t="shared" si="209"/>
        <v>0</v>
      </c>
      <c r="BA101" s="37">
        <f t="shared" si="209"/>
        <v>0</v>
      </c>
      <c r="BB101" s="37">
        <f t="shared" si="209"/>
        <v>16843</v>
      </c>
    </row>
    <row r="102" spans="1:54" s="47" customFormat="1" ht="15.75" hidden="1" x14ac:dyDescent="0.25">
      <c r="A102" s="98"/>
      <c r="B102" s="53"/>
      <c r="C102" s="54">
        <v>909</v>
      </c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80"/>
      <c r="P102" s="52"/>
      <c r="Q102" s="52"/>
      <c r="R102" s="52"/>
      <c r="S102" s="52"/>
      <c r="T102" s="52"/>
      <c r="U102" s="52"/>
      <c r="V102" s="45">
        <f t="shared" ref="V102:V103" si="216">SUM(D102:U102)</f>
        <v>0</v>
      </c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80"/>
      <c r="AH102" s="52"/>
      <c r="AI102" s="52"/>
      <c r="AJ102" s="52"/>
      <c r="AK102" s="52"/>
      <c r="AL102" s="52">
        <f>SUM(W102:AK102)</f>
        <v>0</v>
      </c>
      <c r="AM102" s="52"/>
      <c r="AN102" s="52"/>
      <c r="AO102" s="52"/>
      <c r="AP102" s="52"/>
      <c r="AQ102" s="52"/>
      <c r="AR102" s="52"/>
      <c r="AS102" s="52"/>
      <c r="AT102" s="80"/>
      <c r="AU102" s="52"/>
      <c r="AV102" s="52"/>
      <c r="AW102" s="52"/>
      <c r="AX102" s="52"/>
      <c r="AY102" s="52"/>
      <c r="AZ102" s="52"/>
      <c r="BA102" s="52"/>
      <c r="BB102" s="45">
        <f t="shared" ref="BB102:BB103" si="217">SUM(AM102:BA102)</f>
        <v>0</v>
      </c>
    </row>
    <row r="103" spans="1:54" s="56" customFormat="1" ht="15.75" hidden="1" x14ac:dyDescent="0.25">
      <c r="A103" s="99"/>
      <c r="B103" s="57"/>
      <c r="C103" s="54">
        <v>920</v>
      </c>
      <c r="D103" s="49">
        <f>129189</f>
        <v>129189</v>
      </c>
      <c r="E103" s="49"/>
      <c r="F103" s="49">
        <f>7498+395</f>
        <v>7893</v>
      </c>
      <c r="G103" s="49"/>
      <c r="H103" s="49"/>
      <c r="I103" s="49"/>
      <c r="J103" s="49"/>
      <c r="K103" s="49">
        <v>52632</v>
      </c>
      <c r="L103" s="49"/>
      <c r="M103" s="49"/>
      <c r="N103" s="49"/>
      <c r="O103" s="81"/>
      <c r="P103" s="49"/>
      <c r="Q103" s="49"/>
      <c r="R103" s="49"/>
      <c r="S103" s="49"/>
      <c r="T103" s="49"/>
      <c r="U103" s="49"/>
      <c r="V103" s="45">
        <f t="shared" si="216"/>
        <v>189714</v>
      </c>
      <c r="W103" s="49">
        <v>16843</v>
      </c>
      <c r="X103" s="49"/>
      <c r="Y103" s="49"/>
      <c r="Z103" s="49"/>
      <c r="AA103" s="49"/>
      <c r="AB103" s="49"/>
      <c r="AC103" s="49"/>
      <c r="AD103" s="49">
        <v>148261</v>
      </c>
      <c r="AE103" s="49"/>
      <c r="AF103" s="49"/>
      <c r="AG103" s="81"/>
      <c r="AH103" s="49"/>
      <c r="AI103" s="49"/>
      <c r="AJ103" s="49"/>
      <c r="AK103" s="49"/>
      <c r="AL103" s="49">
        <f>SUM(W103:AK103)</f>
        <v>165104</v>
      </c>
      <c r="AM103" s="49">
        <v>16843</v>
      </c>
      <c r="AN103" s="49"/>
      <c r="AO103" s="49"/>
      <c r="AP103" s="49"/>
      <c r="AQ103" s="49"/>
      <c r="AR103" s="49"/>
      <c r="AS103" s="49"/>
      <c r="AT103" s="81"/>
      <c r="AU103" s="49"/>
      <c r="AV103" s="49"/>
      <c r="AW103" s="49"/>
      <c r="AX103" s="49"/>
      <c r="AY103" s="49"/>
      <c r="AZ103" s="49"/>
      <c r="BA103" s="49"/>
      <c r="BB103" s="45">
        <f t="shared" si="217"/>
        <v>16843</v>
      </c>
    </row>
    <row r="104" spans="1:54" s="19" customFormat="1" ht="21.75" customHeight="1" x14ac:dyDescent="0.25">
      <c r="A104" s="100"/>
      <c r="B104" s="40"/>
      <c r="C104" s="41" t="s">
        <v>4</v>
      </c>
      <c r="D104" s="15">
        <f t="shared" ref="D104:AI104" si="218">D14+D18+D22+D25+D30+D31+D35+D36+D42+D45+D49+D50+D55+D56+D69+D72+D73+D85+D86+D87+D89+D94+D95+D96+D88+D101</f>
        <v>9281606</v>
      </c>
      <c r="E104" s="15">
        <f t="shared" si="218"/>
        <v>215872</v>
      </c>
      <c r="F104" s="15">
        <f t="shared" si="218"/>
        <v>445464</v>
      </c>
      <c r="G104" s="15">
        <f t="shared" si="218"/>
        <v>4929498</v>
      </c>
      <c r="H104" s="15">
        <f t="shared" si="218"/>
        <v>282171</v>
      </c>
      <c r="I104" s="15">
        <f t="shared" si="218"/>
        <v>387</v>
      </c>
      <c r="J104" s="15">
        <f t="shared" si="218"/>
        <v>159862</v>
      </c>
      <c r="K104" s="15">
        <f t="shared" si="218"/>
        <v>76952</v>
      </c>
      <c r="L104" s="15">
        <f t="shared" si="218"/>
        <v>107363</v>
      </c>
      <c r="M104" s="15">
        <f t="shared" si="218"/>
        <v>29033</v>
      </c>
      <c r="N104" s="15">
        <f t="shared" si="218"/>
        <v>0</v>
      </c>
      <c r="O104" s="83">
        <f t="shared" si="218"/>
        <v>30281</v>
      </c>
      <c r="P104" s="15">
        <f t="shared" si="218"/>
        <v>0</v>
      </c>
      <c r="Q104" s="15">
        <f t="shared" si="218"/>
        <v>0</v>
      </c>
      <c r="R104" s="15">
        <f t="shared" si="218"/>
        <v>0</v>
      </c>
      <c r="S104" s="15">
        <f t="shared" si="218"/>
        <v>0</v>
      </c>
      <c r="T104" s="15">
        <f t="shared" si="218"/>
        <v>0</v>
      </c>
      <c r="U104" s="15">
        <f t="shared" si="218"/>
        <v>0</v>
      </c>
      <c r="V104" s="15">
        <f t="shared" si="218"/>
        <v>15558489</v>
      </c>
      <c r="W104" s="15">
        <f t="shared" si="218"/>
        <v>7613482</v>
      </c>
      <c r="X104" s="15">
        <f t="shared" si="218"/>
        <v>33463</v>
      </c>
      <c r="Y104" s="15">
        <f t="shared" si="218"/>
        <v>383375</v>
      </c>
      <c r="Z104" s="15">
        <f t="shared" si="218"/>
        <v>4520370</v>
      </c>
      <c r="AA104" s="15">
        <f t="shared" si="218"/>
        <v>73648</v>
      </c>
      <c r="AB104" s="15">
        <f t="shared" si="218"/>
        <v>-43</v>
      </c>
      <c r="AC104" s="15">
        <f t="shared" si="218"/>
        <v>44319</v>
      </c>
      <c r="AD104" s="15">
        <f t="shared" si="218"/>
        <v>148261</v>
      </c>
      <c r="AE104" s="15">
        <f t="shared" si="218"/>
        <v>3733</v>
      </c>
      <c r="AF104" s="15">
        <f t="shared" si="218"/>
        <v>79982</v>
      </c>
      <c r="AG104" s="83">
        <f t="shared" si="218"/>
        <v>0</v>
      </c>
      <c r="AH104" s="15">
        <f t="shared" si="218"/>
        <v>0</v>
      </c>
      <c r="AI104" s="15">
        <f t="shared" si="218"/>
        <v>0</v>
      </c>
      <c r="AJ104" s="15">
        <f t="shared" ref="AJ104:BB104" si="219">AJ14+AJ18+AJ22+AJ25+AJ30+AJ31+AJ35+AJ36+AJ42+AJ45+AJ49+AJ50+AJ55+AJ56+AJ69+AJ72+AJ73+AJ85+AJ86+AJ87+AJ89+AJ94+AJ95+AJ96+AJ88+AJ101</f>
        <v>0</v>
      </c>
      <c r="AK104" s="15">
        <f t="shared" si="219"/>
        <v>0</v>
      </c>
      <c r="AL104" s="15">
        <f t="shared" si="219"/>
        <v>12900590</v>
      </c>
      <c r="AM104" s="15">
        <f t="shared" si="219"/>
        <v>4710933</v>
      </c>
      <c r="AN104" s="15">
        <f t="shared" si="219"/>
        <v>135730</v>
      </c>
      <c r="AO104" s="15">
        <f t="shared" si="219"/>
        <v>1494729</v>
      </c>
      <c r="AP104" s="15">
        <f t="shared" si="219"/>
        <v>4548671</v>
      </c>
      <c r="AQ104" s="15">
        <f t="shared" si="219"/>
        <v>65642</v>
      </c>
      <c r="AR104" s="15">
        <f t="shared" si="219"/>
        <v>-43</v>
      </c>
      <c r="AS104" s="15">
        <f t="shared" si="219"/>
        <v>35766</v>
      </c>
      <c r="AT104" s="83">
        <f t="shared" si="219"/>
        <v>0</v>
      </c>
      <c r="AU104" s="15">
        <f t="shared" si="219"/>
        <v>0</v>
      </c>
      <c r="AV104" s="15">
        <f t="shared" si="219"/>
        <v>0</v>
      </c>
      <c r="AW104" s="15">
        <f t="shared" si="219"/>
        <v>0</v>
      </c>
      <c r="AX104" s="15">
        <f t="shared" si="219"/>
        <v>0</v>
      </c>
      <c r="AY104" s="15">
        <f t="shared" si="219"/>
        <v>0</v>
      </c>
      <c r="AZ104" s="15">
        <f t="shared" si="219"/>
        <v>0</v>
      </c>
      <c r="BA104" s="15">
        <f t="shared" si="219"/>
        <v>0</v>
      </c>
      <c r="BB104" s="15">
        <f t="shared" si="219"/>
        <v>10991428</v>
      </c>
    </row>
    <row r="105" spans="1:54" ht="15.75" x14ac:dyDescent="0.25">
      <c r="A105" s="6"/>
      <c r="B105" s="9"/>
      <c r="C105" s="12"/>
      <c r="D105" s="23"/>
      <c r="E105" s="2"/>
      <c r="F105" s="27"/>
      <c r="G105" s="27"/>
      <c r="H105" s="27"/>
      <c r="I105" s="27"/>
      <c r="J105" s="27"/>
      <c r="K105" s="27"/>
      <c r="L105" s="2"/>
      <c r="M105" s="27"/>
      <c r="N105" s="27"/>
      <c r="O105" s="27"/>
      <c r="P105" s="27"/>
      <c r="Q105" s="27"/>
      <c r="R105" s="27"/>
      <c r="S105" s="27"/>
      <c r="T105" s="27"/>
      <c r="U105" s="27"/>
      <c r="V105" s="16"/>
      <c r="W105" s="27"/>
      <c r="X105" s="16"/>
      <c r="Y105" s="27"/>
      <c r="Z105" s="27"/>
      <c r="AA105" s="27"/>
      <c r="AB105" s="27"/>
      <c r="AC105" s="27"/>
      <c r="AD105" s="2"/>
      <c r="AE105" s="27"/>
      <c r="AF105" s="27"/>
      <c r="AG105" s="27"/>
      <c r="AH105" s="2"/>
      <c r="AI105" s="2"/>
      <c r="AJ105" s="2"/>
      <c r="AK105" s="2"/>
      <c r="AL105" s="2"/>
      <c r="AM105" s="2"/>
      <c r="AN105" s="2"/>
      <c r="AO105" s="27"/>
      <c r="AP105" s="27"/>
      <c r="AQ105" s="16"/>
      <c r="AR105" s="16"/>
      <c r="AS105" s="2"/>
      <c r="AT105" s="27"/>
      <c r="AU105" s="27"/>
      <c r="AV105" s="27"/>
      <c r="AW105" s="27"/>
      <c r="AX105" s="27"/>
      <c r="AY105" s="27"/>
      <c r="AZ105" s="27"/>
      <c r="BA105" s="27"/>
      <c r="BB105" s="2"/>
    </row>
    <row r="106" spans="1:54" ht="15.75" x14ac:dyDescent="0.25">
      <c r="A106" s="6"/>
      <c r="B106" s="9"/>
      <c r="C106" s="12"/>
      <c r="D106" s="23"/>
      <c r="E106" s="5"/>
      <c r="F106" s="21"/>
      <c r="G106" s="21"/>
      <c r="H106" s="21"/>
      <c r="I106" s="21"/>
      <c r="J106" s="21"/>
      <c r="K106" s="21"/>
      <c r="L106" s="5"/>
      <c r="M106" s="21"/>
      <c r="N106" s="59"/>
      <c r="O106" s="21"/>
      <c r="P106" s="21"/>
      <c r="Q106" s="21"/>
      <c r="R106" s="21"/>
      <c r="S106" s="21"/>
      <c r="T106" s="21"/>
      <c r="U106" s="21"/>
      <c r="V106" s="17"/>
      <c r="W106" s="21"/>
      <c r="X106" s="20"/>
      <c r="Y106" s="24"/>
      <c r="Z106" s="24"/>
      <c r="AA106" s="24"/>
      <c r="AB106" s="24"/>
      <c r="AC106" s="24"/>
      <c r="AD106" s="3"/>
      <c r="AE106" s="24"/>
      <c r="AF106" s="24"/>
      <c r="AG106" s="24"/>
      <c r="AH106" s="24"/>
      <c r="AI106" s="24"/>
      <c r="AJ106" s="24"/>
      <c r="AK106" s="24"/>
      <c r="AL106" s="5"/>
      <c r="AM106" s="5"/>
      <c r="AN106" s="3"/>
      <c r="AO106" s="24"/>
      <c r="AP106" s="24"/>
      <c r="AQ106" s="20"/>
      <c r="AR106" s="20"/>
      <c r="AS106" s="3"/>
      <c r="AT106" s="24"/>
      <c r="AU106" s="24"/>
      <c r="AV106" s="24"/>
      <c r="AW106" s="24"/>
      <c r="AX106" s="24"/>
      <c r="AY106" s="24"/>
      <c r="AZ106" s="24"/>
      <c r="BA106" s="24"/>
      <c r="BB106" s="5"/>
    </row>
    <row r="107" spans="1:54" ht="15.75" x14ac:dyDescent="0.25">
      <c r="A107" s="6"/>
      <c r="B107" s="9"/>
      <c r="C107" s="22"/>
      <c r="D107" s="23"/>
      <c r="E107" s="21"/>
      <c r="F107" s="21"/>
      <c r="G107" s="21"/>
      <c r="H107" s="21"/>
      <c r="I107" s="21"/>
      <c r="J107" s="21"/>
      <c r="K107" s="21"/>
      <c r="L107" s="5"/>
      <c r="M107" s="21"/>
      <c r="N107" s="60"/>
      <c r="O107" s="21"/>
      <c r="P107" s="21"/>
      <c r="Q107" s="21"/>
      <c r="R107" s="21"/>
      <c r="S107" s="21"/>
      <c r="T107" s="21"/>
      <c r="U107" s="21"/>
      <c r="V107" s="17"/>
      <c r="W107" s="21"/>
      <c r="X107" s="20"/>
      <c r="Y107" s="24"/>
      <c r="Z107" s="24"/>
      <c r="AA107" s="24"/>
      <c r="AB107" s="24"/>
      <c r="AC107" s="24"/>
      <c r="AD107" s="3"/>
      <c r="AE107" s="24"/>
      <c r="AF107" s="24"/>
      <c r="AG107" s="24"/>
      <c r="AH107" s="24"/>
      <c r="AI107" s="24"/>
      <c r="AJ107" s="24"/>
      <c r="AK107" s="24"/>
      <c r="AL107" s="5"/>
      <c r="AM107" s="5"/>
      <c r="AN107" s="3"/>
      <c r="AO107" s="24"/>
      <c r="AP107" s="24"/>
      <c r="AQ107" s="20"/>
      <c r="AR107" s="20"/>
      <c r="AS107" s="3"/>
      <c r="AT107" s="24"/>
      <c r="AU107" s="24"/>
      <c r="AV107" s="24"/>
      <c r="AW107" s="24"/>
      <c r="AX107" s="24"/>
      <c r="AY107" s="24"/>
      <c r="AZ107" s="24"/>
      <c r="BA107" s="24"/>
      <c r="BB107" s="5"/>
    </row>
    <row r="108" spans="1:54" ht="15.75" x14ac:dyDescent="0.25">
      <c r="A108" s="6"/>
      <c r="B108" s="9"/>
      <c r="C108" s="101"/>
      <c r="D108" s="24"/>
      <c r="E108" s="5"/>
      <c r="F108" s="21"/>
      <c r="G108" s="21"/>
      <c r="H108" s="21"/>
      <c r="I108" s="21"/>
      <c r="J108" s="21"/>
      <c r="K108" s="21"/>
      <c r="L108" s="5"/>
      <c r="M108" s="21"/>
      <c r="N108" s="61"/>
      <c r="O108" s="21"/>
      <c r="P108" s="21"/>
      <c r="Q108" s="21"/>
      <c r="R108" s="21"/>
      <c r="S108" s="21"/>
      <c r="T108" s="21"/>
      <c r="U108" s="21"/>
      <c r="V108" s="17"/>
      <c r="W108" s="21"/>
      <c r="X108" s="20"/>
      <c r="Y108" s="24"/>
      <c r="Z108" s="24"/>
      <c r="AA108" s="24"/>
      <c r="AB108" s="24"/>
      <c r="AC108" s="24"/>
      <c r="AD108" s="3"/>
      <c r="AE108" s="24"/>
      <c r="AF108" s="24"/>
      <c r="AG108" s="24"/>
      <c r="AH108" s="24"/>
      <c r="AI108" s="24"/>
      <c r="AJ108" s="24"/>
      <c r="AK108" s="24"/>
      <c r="AL108" s="88"/>
      <c r="AM108" s="5"/>
      <c r="AN108" s="5"/>
      <c r="AO108" s="21"/>
      <c r="AP108" s="21"/>
      <c r="AQ108" s="17"/>
      <c r="AR108" s="17"/>
      <c r="AS108" s="5"/>
      <c r="AT108" s="21"/>
      <c r="AU108" s="21"/>
      <c r="AV108" s="21"/>
      <c r="AW108" s="21"/>
      <c r="AX108" s="21"/>
      <c r="AY108" s="21"/>
      <c r="AZ108" s="21"/>
      <c r="BA108" s="21"/>
      <c r="BB108" s="88"/>
    </row>
    <row r="109" spans="1:54" ht="15.75" x14ac:dyDescent="0.25">
      <c r="A109" s="6"/>
      <c r="B109" s="9"/>
      <c r="C109" s="12"/>
      <c r="D109" s="24"/>
      <c r="E109" s="3"/>
      <c r="F109" s="24"/>
      <c r="G109" s="24"/>
      <c r="H109" s="24"/>
      <c r="I109" s="24"/>
      <c r="J109" s="24"/>
      <c r="K109" s="24"/>
      <c r="L109" s="3"/>
      <c r="M109" s="24"/>
      <c r="N109" s="62"/>
      <c r="O109" s="24"/>
      <c r="P109" s="24"/>
      <c r="Q109" s="24"/>
      <c r="R109" s="24"/>
      <c r="S109" s="24"/>
      <c r="T109" s="24"/>
      <c r="U109" s="24"/>
      <c r="V109" s="17"/>
      <c r="W109" s="21"/>
      <c r="X109" s="20"/>
      <c r="Y109" s="24"/>
      <c r="Z109" s="24"/>
      <c r="AA109" s="24"/>
      <c r="AB109" s="24"/>
      <c r="AC109" s="24"/>
      <c r="AD109" s="3"/>
      <c r="AE109" s="24"/>
      <c r="AF109" s="24"/>
      <c r="AG109" s="24"/>
      <c r="AH109" s="24"/>
      <c r="AI109" s="24"/>
      <c r="AJ109" s="24"/>
      <c r="AK109" s="24"/>
      <c r="AL109" s="5"/>
      <c r="AM109" s="5"/>
      <c r="AN109" s="3"/>
      <c r="AO109" s="24"/>
      <c r="AP109" s="24"/>
      <c r="AQ109" s="20"/>
      <c r="AR109" s="20"/>
      <c r="AS109" s="3"/>
      <c r="AT109" s="24"/>
      <c r="AU109" s="24"/>
      <c r="AV109" s="24"/>
      <c r="AW109" s="24"/>
      <c r="AX109" s="24"/>
      <c r="AY109" s="24"/>
      <c r="AZ109" s="24"/>
      <c r="BA109" s="24"/>
      <c r="BB109" s="5"/>
    </row>
    <row r="110" spans="1:54" x14ac:dyDescent="0.25">
      <c r="C110" s="11"/>
      <c r="V110" s="18"/>
      <c r="W110" s="28"/>
      <c r="AL110" s="8"/>
      <c r="AM110" s="8"/>
      <c r="BB110" s="8"/>
    </row>
    <row r="111" spans="1:54" x14ac:dyDescent="0.25">
      <c r="C111" s="89"/>
      <c r="V111" s="70"/>
      <c r="W111" s="71"/>
      <c r="X111" s="72"/>
      <c r="Y111" s="73"/>
      <c r="Z111" s="73"/>
      <c r="AA111" s="73"/>
      <c r="AB111" s="73"/>
      <c r="AC111" s="73"/>
      <c r="AD111" s="74"/>
      <c r="AE111" s="73"/>
      <c r="AF111" s="73"/>
      <c r="AG111" s="73"/>
      <c r="AH111" s="73"/>
      <c r="AI111" s="73"/>
      <c r="AJ111" s="73"/>
      <c r="AK111" s="73"/>
      <c r="AL111" s="75"/>
      <c r="AM111" s="75"/>
      <c r="AN111" s="75"/>
      <c r="AO111" s="75"/>
      <c r="AP111" s="75"/>
      <c r="AQ111" s="75"/>
      <c r="AR111" s="75"/>
      <c r="AS111" s="74"/>
      <c r="AT111" s="73"/>
      <c r="AU111" s="73"/>
      <c r="AV111" s="73"/>
      <c r="AW111" s="73"/>
      <c r="AX111" s="73"/>
      <c r="AY111" s="73"/>
      <c r="AZ111" s="73"/>
      <c r="BA111" s="73"/>
      <c r="BB111" s="75"/>
    </row>
    <row r="112" spans="1:54" x14ac:dyDescent="0.25">
      <c r="V112" s="18"/>
      <c r="W112" s="28"/>
      <c r="AL112" s="8"/>
      <c r="AM112" s="8"/>
      <c r="BB112" s="8"/>
    </row>
    <row r="113" spans="3:54" x14ac:dyDescent="0.25">
      <c r="C113" s="11"/>
      <c r="D113" s="26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</row>
    <row r="114" spans="3:54" x14ac:dyDescent="0.25">
      <c r="V114" s="18"/>
      <c r="W114" s="28"/>
      <c r="AL114" s="8"/>
      <c r="AM114" s="8"/>
      <c r="BB114" s="8"/>
    </row>
    <row r="115" spans="3:54" x14ac:dyDescent="0.25">
      <c r="V115" s="18"/>
      <c r="W115" s="28"/>
      <c r="AL115" s="8"/>
      <c r="AM115" s="8"/>
      <c r="BB115" s="8"/>
    </row>
    <row r="116" spans="3:54" x14ac:dyDescent="0.25">
      <c r="V116" s="18"/>
      <c r="W116" s="28"/>
      <c r="AL116" s="8"/>
      <c r="AM116" s="8"/>
      <c r="BB116" s="8"/>
    </row>
    <row r="117" spans="3:54" x14ac:dyDescent="0.25">
      <c r="V117" s="18"/>
      <c r="W117" s="28"/>
      <c r="AL117" s="8"/>
      <c r="AM117" s="8"/>
      <c r="BB117" s="8"/>
    </row>
    <row r="124" spans="3:54" x14ac:dyDescent="0.25">
      <c r="V124" s="18"/>
    </row>
    <row r="125" spans="3:54" x14ac:dyDescent="0.25">
      <c r="V125" s="18"/>
    </row>
  </sheetData>
  <mergeCells count="18">
    <mergeCell ref="A1:BB1"/>
    <mergeCell ref="A2:BB2"/>
    <mergeCell ref="A3:BB3"/>
    <mergeCell ref="B57:B67"/>
    <mergeCell ref="A58:A60"/>
    <mergeCell ref="A74:A80"/>
    <mergeCell ref="B5:BB5"/>
    <mergeCell ref="B6:BB6"/>
    <mergeCell ref="B7:BB7"/>
    <mergeCell ref="A10:BB10"/>
    <mergeCell ref="A46:A48"/>
    <mergeCell ref="B46:B48"/>
    <mergeCell ref="A12:A13"/>
    <mergeCell ref="B12:B13"/>
    <mergeCell ref="C12:C13"/>
    <mergeCell ref="E12:BB12"/>
    <mergeCell ref="A37:A41"/>
    <mergeCell ref="B37:B41"/>
  </mergeCells>
  <pageMargins left="0.62992125984251968" right="0" top="0.35433070866141736" bottom="0.31496062992125984" header="0.15748031496062992" footer="0.31496062992125984"/>
  <pageSetup paperSize="9" scale="71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Тришина Ольга Викторовна</cp:lastModifiedBy>
  <cp:lastPrinted>2021-06-25T11:33:28Z</cp:lastPrinted>
  <dcterms:created xsi:type="dcterms:W3CDTF">2015-09-30T07:41:26Z</dcterms:created>
  <dcterms:modified xsi:type="dcterms:W3CDTF">2021-12-28T12:22:28Z</dcterms:modified>
</cp:coreProperties>
</file>