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8_{EFD3055F-7222-4365-AEC1-716035CB6B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Лист1!$A$1:$AD$73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  <c r="W53" i="1"/>
  <c r="W50" i="1"/>
  <c r="W48" i="1"/>
  <c r="W36" i="1"/>
  <c r="W35" i="1"/>
  <c r="W30" i="1"/>
  <c r="W27" i="1"/>
  <c r="O54" i="1"/>
  <c r="O53" i="1"/>
  <c r="O51" i="1"/>
  <c r="O50" i="1"/>
  <c r="O48" i="1"/>
  <c r="O36" i="1"/>
  <c r="O34" i="1"/>
  <c r="O31" i="1"/>
  <c r="O30" i="1"/>
  <c r="O28" i="1"/>
  <c r="O27" i="1"/>
  <c r="O24" i="1"/>
  <c r="O9" i="1"/>
  <c r="P54" i="1"/>
  <c r="P53" i="1"/>
  <c r="P51" i="1"/>
  <c r="Q51" i="1" s="1"/>
  <c r="P50" i="1"/>
  <c r="P48" i="1"/>
  <c r="P36" i="1"/>
  <c r="P35" i="1"/>
  <c r="P34" i="1"/>
  <c r="Q34" i="1" s="1"/>
  <c r="P31" i="1"/>
  <c r="Q31" i="1" s="1"/>
  <c r="P30" i="1"/>
  <c r="P28" i="1"/>
  <c r="Q28" i="1" s="1"/>
  <c r="P27" i="1"/>
  <c r="Q27" i="1" s="1"/>
  <c r="P25" i="1"/>
  <c r="P24" i="1"/>
  <c r="P16" i="1"/>
  <c r="P55" i="1" s="1"/>
  <c r="P9" i="1"/>
  <c r="Q9" i="1" s="1"/>
  <c r="AB55" i="1"/>
  <c r="X54" i="1"/>
  <c r="X53" i="1"/>
  <c r="Y53" i="1" s="1"/>
  <c r="X51" i="1"/>
  <c r="X50" i="1"/>
  <c r="Y50" i="1" s="1"/>
  <c r="X48" i="1"/>
  <c r="X36" i="1"/>
  <c r="X35" i="1"/>
  <c r="X34" i="1"/>
  <c r="X31" i="1"/>
  <c r="X30" i="1"/>
  <c r="Y30" i="1" s="1"/>
  <c r="X28" i="1"/>
  <c r="X27" i="1"/>
  <c r="Y27" i="1" s="1"/>
  <c r="X25" i="1"/>
  <c r="X24" i="1"/>
  <c r="X16" i="1"/>
  <c r="X9" i="1"/>
  <c r="T55" i="1"/>
  <c r="V55" i="1"/>
  <c r="C52" i="1"/>
  <c r="C49" i="1"/>
  <c r="C47" i="1"/>
  <c r="C32" i="1"/>
  <c r="C26" i="1"/>
  <c r="C23" i="1"/>
  <c r="C16" i="1"/>
  <c r="C9" i="1"/>
  <c r="Q30" i="1" l="1"/>
  <c r="Q48" i="1"/>
  <c r="Q54" i="1"/>
  <c r="D16" i="1"/>
  <c r="C55" i="1"/>
  <c r="D9" i="1" s="1"/>
  <c r="D32" i="1"/>
  <c r="Q24" i="1"/>
  <c r="Q36" i="1"/>
  <c r="Q50" i="1"/>
  <c r="Q53" i="1"/>
  <c r="M66" i="1"/>
  <c r="R56" i="1"/>
  <c r="AD56" i="1"/>
  <c r="X55" i="1"/>
  <c r="M62" i="1"/>
  <c r="P62" i="1" s="1"/>
  <c r="R62" i="1" s="1"/>
  <c r="C62" i="1"/>
  <c r="H62" i="1" s="1"/>
  <c r="AA53" i="1"/>
  <c r="AC53" i="1" s="1"/>
  <c r="AA50" i="1"/>
  <c r="AC50" i="1" s="1"/>
  <c r="AA48" i="1"/>
  <c r="AC48" i="1" s="1"/>
  <c r="AA36" i="1"/>
  <c r="AC36" i="1" s="1"/>
  <c r="AA35" i="1"/>
  <c r="AC35" i="1" s="1"/>
  <c r="AA34" i="1"/>
  <c r="AC34" i="1" s="1"/>
  <c r="AA30" i="1"/>
  <c r="AC30" i="1" s="1"/>
  <c r="AA27" i="1"/>
  <c r="AC27" i="1" s="1"/>
  <c r="AA24" i="1"/>
  <c r="AC24" i="1" s="1"/>
  <c r="AA9" i="1"/>
  <c r="Y36" i="1"/>
  <c r="Y48" i="1"/>
  <c r="Y35" i="1"/>
  <c r="U25" i="1"/>
  <c r="U16" i="1"/>
  <c r="S54" i="1"/>
  <c r="S51" i="1"/>
  <c r="S34" i="1"/>
  <c r="W34" i="1" s="1"/>
  <c r="Y34" i="1" s="1"/>
  <c r="Y32" i="1" s="1"/>
  <c r="S31" i="1"/>
  <c r="W31" i="1" s="1"/>
  <c r="Y31" i="1" s="1"/>
  <c r="S28" i="1"/>
  <c r="W28" i="1" s="1"/>
  <c r="Y28" i="1" s="1"/>
  <c r="S24" i="1"/>
  <c r="W24" i="1" s="1"/>
  <c r="Y24" i="1" s="1"/>
  <c r="S9" i="1"/>
  <c r="O35" i="1"/>
  <c r="Q35" i="1" s="1"/>
  <c r="Q32" i="1" s="1"/>
  <c r="J55" i="1"/>
  <c r="N55" i="1"/>
  <c r="L55" i="1"/>
  <c r="K25" i="1"/>
  <c r="O25" i="1" s="1"/>
  <c r="Q25" i="1" s="1"/>
  <c r="H10" i="1"/>
  <c r="M16" i="1"/>
  <c r="AC9" i="1" l="1"/>
  <c r="AA66" i="1"/>
  <c r="AC66" i="1" s="1"/>
  <c r="AA62" i="1"/>
  <c r="AC62" i="1" s="1"/>
  <c r="AD62" i="1" s="1"/>
  <c r="S25" i="1"/>
  <c r="W25" i="1" s="1"/>
  <c r="Y25" i="1" s="1"/>
  <c r="D25" i="1"/>
  <c r="D28" i="1"/>
  <c r="D48" i="1"/>
  <c r="D51" i="1"/>
  <c r="D54" i="1"/>
  <c r="D24" i="1"/>
  <c r="D27" i="1"/>
  <c r="D50" i="1"/>
  <c r="D53" i="1"/>
  <c r="D55" i="1"/>
  <c r="P56" i="1"/>
  <c r="P66" i="1" s="1"/>
  <c r="S16" i="1"/>
  <c r="W16" i="1" s="1"/>
  <c r="Y16" i="1" s="1"/>
  <c r="W9" i="1"/>
  <c r="W51" i="1"/>
  <c r="Y51" i="1" s="1"/>
  <c r="AC32" i="1"/>
  <c r="W54" i="1"/>
  <c r="Y54" i="1" s="1"/>
  <c r="AA25" i="1"/>
  <c r="AC25" i="1" s="1"/>
  <c r="AA28" i="1"/>
  <c r="AC28" i="1" s="1"/>
  <c r="AA31" i="1"/>
  <c r="AC31" i="1" s="1"/>
  <c r="AA51" i="1"/>
  <c r="AC51" i="1" s="1"/>
  <c r="AA54" i="1"/>
  <c r="AC54" i="1" s="1"/>
  <c r="AA16" i="1"/>
  <c r="AC16" i="1" s="1"/>
  <c r="Y9" i="1" l="1"/>
  <c r="U66" i="1"/>
  <c r="X66" i="1" s="1"/>
  <c r="U62" i="1"/>
  <c r="X62" i="1" s="1"/>
  <c r="Z62" i="1" s="1"/>
  <c r="I16" i="1"/>
  <c r="K16" i="1" l="1"/>
  <c r="O16" i="1" s="1"/>
  <c r="Q16" i="1" s="1"/>
  <c r="F53" i="1" l="1"/>
  <c r="F29" i="1" l="1"/>
  <c r="C66" i="1" s="1"/>
  <c r="H29" i="1" l="1"/>
  <c r="H66" i="1"/>
  <c r="F54" i="1"/>
  <c r="H54" i="1" s="1"/>
  <c r="R54" i="1" s="1"/>
  <c r="H41" i="1"/>
  <c r="H40" i="1"/>
  <c r="AD66" i="1" l="1"/>
  <c r="R66" i="1"/>
  <c r="Z66" i="1"/>
  <c r="AD54" i="1"/>
  <c r="Z54" i="1"/>
  <c r="C45" i="1"/>
  <c r="H53" i="1" l="1"/>
  <c r="R53" i="1" s="1"/>
  <c r="AD53" i="1" l="1"/>
  <c r="Z53" i="1"/>
  <c r="F31" i="1"/>
  <c r="F30" i="1"/>
  <c r="C44" i="1"/>
  <c r="C43" i="1"/>
  <c r="H43" i="1" s="1"/>
  <c r="C46" i="1"/>
  <c r="H46" i="1" s="1"/>
  <c r="H45" i="1"/>
  <c r="H44" i="1"/>
  <c r="C38" i="1"/>
  <c r="H38" i="1" s="1"/>
  <c r="C39" i="1"/>
  <c r="H39" i="1" s="1"/>
  <c r="H32" i="1" l="1"/>
  <c r="R32" i="1" s="1"/>
  <c r="AD32" i="1"/>
  <c r="H48" i="1"/>
  <c r="R48" i="1" l="1"/>
  <c r="AD48" i="1"/>
  <c r="Z48" i="1"/>
  <c r="Z32" i="1"/>
  <c r="C30" i="1"/>
  <c r="C31" i="1"/>
  <c r="H51" i="1"/>
  <c r="R51" i="1" s="1"/>
  <c r="H31" i="1" l="1"/>
  <c r="D31" i="1"/>
  <c r="H30" i="1"/>
  <c r="R30" i="1" s="1"/>
  <c r="D30" i="1"/>
  <c r="R31" i="1"/>
  <c r="AD31" i="1"/>
  <c r="AD30" i="1"/>
  <c r="Z51" i="1"/>
  <c r="AD51" i="1"/>
  <c r="Z31" i="1"/>
  <c r="Z30" i="1"/>
  <c r="H25" i="1"/>
  <c r="R25" i="1" l="1"/>
  <c r="AD25" i="1"/>
  <c r="Z25" i="1"/>
  <c r="H28" i="1"/>
  <c r="R28" i="1" l="1"/>
  <c r="AD28" i="1"/>
  <c r="Z28" i="1"/>
  <c r="H22" i="1"/>
  <c r="H21" i="1"/>
  <c r="H20" i="1"/>
  <c r="H19" i="1"/>
  <c r="H50" i="1" l="1"/>
  <c r="R50" i="1" s="1"/>
  <c r="F18" i="1"/>
  <c r="H18" i="1" s="1"/>
  <c r="F17" i="1"/>
  <c r="H17" i="1" s="1"/>
  <c r="H16" i="1" l="1"/>
  <c r="AD50" i="1"/>
  <c r="Z50" i="1"/>
  <c r="H24" i="1"/>
  <c r="H27" i="1"/>
  <c r="R27" i="1" l="1"/>
  <c r="AD27" i="1"/>
  <c r="AD16" i="1"/>
  <c r="R16" i="1"/>
  <c r="R24" i="1"/>
  <c r="AD24" i="1"/>
  <c r="Z27" i="1"/>
  <c r="Z16" i="1"/>
  <c r="Z24" i="1"/>
  <c r="H15" i="1"/>
  <c r="H14" i="1" l="1"/>
  <c r="H11" i="1" l="1"/>
  <c r="H12" i="1"/>
  <c r="H13" i="1"/>
  <c r="H9" i="1" l="1"/>
  <c r="R9" i="1" l="1"/>
  <c r="R55" i="1" s="1"/>
  <c r="AD9" i="1"/>
  <c r="AD55" i="1" s="1"/>
  <c r="Z9" i="1"/>
  <c r="Z55" i="1" l="1"/>
  <c r="Z56" i="1" s="1"/>
</calcChain>
</file>

<file path=xl/sharedStrings.xml><?xml version="1.0" encoding="utf-8"?>
<sst xmlns="http://schemas.openxmlformats.org/spreadsheetml/2006/main" count="202" uniqueCount="119">
  <si>
    <t>кол-во м-цев за сезон</t>
  </si>
  <si>
    <t>№ п/п</t>
  </si>
  <si>
    <t>Всего по смете, руб. с НДС</t>
  </si>
  <si>
    <t>4 категории</t>
  </si>
  <si>
    <t>5 категории</t>
  </si>
  <si>
    <t>1.1</t>
  </si>
  <si>
    <t>1.2</t>
  </si>
  <si>
    <t>2.1</t>
  </si>
  <si>
    <t>2.2</t>
  </si>
  <si>
    <t>3.1</t>
  </si>
  <si>
    <t>3.2</t>
  </si>
  <si>
    <t>4.1</t>
  </si>
  <si>
    <t>4.2</t>
  </si>
  <si>
    <t>объем а/дорог</t>
  </si>
  <si>
    <t>Ед. изм.</t>
  </si>
  <si>
    <t>зимнее содержание (5 мес.)</t>
  </si>
  <si>
    <t>1.1.1</t>
  </si>
  <si>
    <t>1.1.2</t>
  </si>
  <si>
    <t>1.1.3</t>
  </si>
  <si>
    <t>1.1.4</t>
  </si>
  <si>
    <t>1.1.5</t>
  </si>
  <si>
    <t>1.1.6</t>
  </si>
  <si>
    <t>1 м2</t>
  </si>
  <si>
    <t>летнее содержание (7 мес.)</t>
  </si>
  <si>
    <t>1.2.1</t>
  </si>
  <si>
    <t>1.2.2</t>
  </si>
  <si>
    <t>1.2.3</t>
  </si>
  <si>
    <t>1.2.4</t>
  </si>
  <si>
    <t>1.2.5</t>
  </si>
  <si>
    <t>1.2.6</t>
  </si>
  <si>
    <t>2</t>
  </si>
  <si>
    <t>3</t>
  </si>
  <si>
    <t>4</t>
  </si>
  <si>
    <t>5</t>
  </si>
  <si>
    <t>5.1</t>
  </si>
  <si>
    <t>5.1.1</t>
  </si>
  <si>
    <t>5.1.2</t>
  </si>
  <si>
    <t>1 шт</t>
  </si>
  <si>
    <t>5.1.3</t>
  </si>
  <si>
    <t>5.1.4</t>
  </si>
  <si>
    <t>устранение повреждений горловин колодцев</t>
  </si>
  <si>
    <t>5.2</t>
  </si>
  <si>
    <t>1 п.м.</t>
  </si>
  <si>
    <t>6</t>
  </si>
  <si>
    <t>содержание путепроводов (7 мес.)</t>
  </si>
  <si>
    <t>6.1</t>
  </si>
  <si>
    <t>7</t>
  </si>
  <si>
    <t>7.1</t>
  </si>
  <si>
    <t>7.2</t>
  </si>
  <si>
    <t>8</t>
  </si>
  <si>
    <t>8.1</t>
  </si>
  <si>
    <t>8.2</t>
  </si>
  <si>
    <t>содержание открытых водостоков (заделка трещин цементным раствором в ж/б лотках)</t>
  </si>
  <si>
    <t>содержание дождеприемных колодцев (очистка)</t>
  </si>
  <si>
    <t>устранение повреждений дождеприемных колодцев (замена дождеприемных решеток и дождеприемников)</t>
  </si>
  <si>
    <t>содержание открытых водостоков (Очистка водой и вручную, заделка трещин цементным раствором в ж/б лотках)</t>
  </si>
  <si>
    <t>МК272</t>
  </si>
  <si>
    <t>МК074</t>
  </si>
  <si>
    <t>2021 год</t>
  </si>
  <si>
    <t>2022 год</t>
  </si>
  <si>
    <t>%-ное соотношение к НФЗ-2021</t>
  </si>
  <si>
    <t>Общее значение за 2021 год</t>
  </si>
  <si>
    <t>Общее значение за 2022 год</t>
  </si>
  <si>
    <t>1,2 категории без бортового камня</t>
  </si>
  <si>
    <t>1,2 категории с бортовым камнем</t>
  </si>
  <si>
    <t xml:space="preserve"> 3 категории без бортового камня</t>
  </si>
  <si>
    <t>3 категории с бортовым камнем</t>
  </si>
  <si>
    <t>3 категории без бортового камня</t>
  </si>
  <si>
    <t>2023 год</t>
  </si>
  <si>
    <t>МК310</t>
  </si>
  <si>
    <t>объем, тыс.м2</t>
  </si>
  <si>
    <t>сумма, руб.</t>
  </si>
  <si>
    <t>Стоимость 1м2 содержания в месяц</t>
  </si>
  <si>
    <t>объем, м2</t>
  </si>
  <si>
    <t>годовое содержание (12 месяцев)</t>
  </si>
  <si>
    <t>Содержание колодцев ливневой канализации</t>
  </si>
  <si>
    <t>5.0</t>
  </si>
  <si>
    <t>5.01</t>
  </si>
  <si>
    <t>5.02</t>
  </si>
  <si>
    <t>5.03</t>
  </si>
  <si>
    <t xml:space="preserve">Устранение повреждений дождеприемных колодцев </t>
  </si>
  <si>
    <t xml:space="preserve">Устранение мелких повреждений горловин </t>
  </si>
  <si>
    <t>м2</t>
  </si>
  <si>
    <t>тыс.шт</t>
  </si>
  <si>
    <t>%-ное соотношение к НФЗ-2022</t>
  </si>
  <si>
    <t>%-ное соотношение к НФЗ-2023</t>
  </si>
  <si>
    <t>Приложение № 1</t>
  </si>
  <si>
    <t>МК272 + октябрь, ноябрь, декабрь (рассчитаны аналогично суммам контракта)</t>
  </si>
  <si>
    <t>Норматив   финансовых затрат             (НФЗ-2021), с учетом НДС 20%, руб.</t>
  </si>
  <si>
    <t>Примечание:</t>
  </si>
  <si>
    <t>1.</t>
  </si>
  <si>
    <t>Объем</t>
  </si>
  <si>
    <t>2.</t>
  </si>
  <si>
    <t>Содержание проезжей части автомобильных дорог с бортовым камнем (при наличии бортового камня) и (или) обочины (при наличии обочины)</t>
  </si>
  <si>
    <t>выкашивание газонов на разделительных полосах (включая кольцевые развязки) и прилегающих к автодорогам территориях (8 раз за летний сезон)</t>
  </si>
  <si>
    <r>
      <t>очистка от мусора и посторонних предметов разделительных полос (включая кольцевые развязки) и прилегающей к автодорогам территории,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посев газонных трав,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срезка поросли кустарников (8 мес.)</t>
    </r>
  </si>
  <si>
    <t>Содержание посадочных площадок остановок общественного транспорта и тротуарных дорожек на подходах к ним</t>
  </si>
  <si>
    <t>Содержание тротуаров, тротуаров через разделительные полосы и подходов к ним</t>
  </si>
  <si>
    <t>Содержание разделительных полос (включая кольцевые развязки) и прилегающей к автодорогам территории</t>
  </si>
  <si>
    <t>Содержание элементов системы водоотвода</t>
  </si>
  <si>
    <t>Содержание путепроводов</t>
  </si>
  <si>
    <t>Содержание удерживающих барьерных ограждений</t>
  </si>
  <si>
    <t>Содержание надземных и подземных переходов</t>
  </si>
  <si>
    <t>Расчет средней стоимости 1 м2 НФЗ-2021 года только по объему автомобильных дорог категорий 1-5 (п.1):</t>
  </si>
  <si>
    <t>Расчет средней стоимости 1 м2 НФЗ-2021 года по всем объемам автомобильных дорог (п.п. 1, 2, 3, 4, 6, 8):</t>
  </si>
  <si>
    <t>Главный специалист отдела смет и договоров</t>
  </si>
  <si>
    <t>М.М.Куклева</t>
  </si>
  <si>
    <t>Начальник отдела смет и договоров</t>
  </si>
  <si>
    <t>С.А.Алексеенко</t>
  </si>
  <si>
    <t xml:space="preserve">Таблица соотношения процентного показателя объема финансирования работ по содержанию автомобильных дорог г.о. Тольятти по действующим контрактам к расчетному финансированию, определенному на основании проектных нормативов финансовых затрат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</si>
  <si>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Доля стоимости показателя в общей стоимости услуг по содержанию</t>
  </si>
  <si>
    <r>
      <t xml:space="preserve">Наименование услуг </t>
    </r>
    <r>
      <rPr>
        <b/>
        <sz val="11"/>
        <color rgb="FF0000FF"/>
        <rFont val="Times New Roman"/>
        <family val="1"/>
        <charset val="204"/>
      </rPr>
      <t>(Показатель)</t>
    </r>
  </si>
  <si>
    <t>Объем, м2</t>
  </si>
  <si>
    <t>Площадь автомобильных дорог, м2</t>
  </si>
  <si>
    <t>Площадь автомобильных дорог и объектов содержания, м2</t>
  </si>
  <si>
    <t>Площадь автомобильных дорог при расчете НФЗ, м2</t>
  </si>
  <si>
    <t>Средняя стоимость содержания за 1 м2 по НФЗ, в месяц, руб.</t>
  </si>
  <si>
    <t>Средняя стоимость содержания за 1 м2, в месяц, руб.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</si>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</sst>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#,##0.000"/>
    <numFmt numFmtId="166" formatCode="0.000"/>
    <numFmt numFmtId="167" formatCode="#,##0.0000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theme="0"/>
      <name val="Times New Roman"/>
      <family val="1"/>
      <charset val="204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0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0" fillId="0" borderId="16" xfId="0" applyNumberFormat="1" applyFont="1" applyBorder="1" applyAlignment="1">
      <alignment horizontal="center" wrapText="1"/>
    </xf>
    <xf numFmtId="49" fontId="1" fillId="0" borderId="16" xfId="0" applyNumberFormat="1" applyFont="1" applyBorder="1" applyAlignment="1">
      <alignment horizontal="center" wrapText="1"/>
    </xf>
    <xf numFmtId="49" fontId="0" fillId="0" borderId="17" xfId="0" applyNumberFormat="1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4" fontId="3" fillId="0" borderId="7" xfId="0" applyNumberFormat="1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0" fillId="0" borderId="7" xfId="0" applyBorder="1" applyAlignment="1">
      <alignment wrapText="1"/>
    </xf>
    <xf numFmtId="0" fontId="9" fillId="0" borderId="7" xfId="0" applyFont="1" applyBorder="1" applyAlignment="1">
      <alignment wrapText="1"/>
    </xf>
    <xf numFmtId="0" fontId="0" fillId="0" borderId="8" xfId="0" applyBorder="1" applyAlignment="1">
      <alignment wrapText="1"/>
    </xf>
    <xf numFmtId="49" fontId="3" fillId="0" borderId="19" xfId="0" applyNumberFormat="1" applyFont="1" applyBorder="1" applyAlignment="1">
      <alignment horizontal="center" vertical="center" wrapText="1"/>
    </xf>
    <xf numFmtId="10" fontId="5" fillId="0" borderId="10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49" fontId="3" fillId="2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Border="1" applyAlignment="1">
      <alignment wrapText="1"/>
    </xf>
    <xf numFmtId="0" fontId="14" fillId="0" borderId="13" xfId="0" applyFont="1" applyBorder="1" applyAlignment="1">
      <alignment wrapText="1"/>
    </xf>
    <xf numFmtId="4" fontId="3" fillId="0" borderId="13" xfId="0" applyNumberFormat="1" applyFont="1" applyBorder="1" applyAlignment="1">
      <alignment wrapText="1"/>
    </xf>
    <xf numFmtId="4" fontId="0" fillId="0" borderId="13" xfId="0" applyNumberForma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wrapText="1"/>
    </xf>
    <xf numFmtId="0" fontId="3" fillId="0" borderId="8" xfId="0" applyFont="1" applyBorder="1" applyAlignment="1">
      <alignment wrapText="1"/>
    </xf>
    <xf numFmtId="4" fontId="12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9" fontId="0" fillId="0" borderId="22" xfId="0" applyNumberFormat="1" applyFont="1" applyBorder="1" applyAlignment="1">
      <alignment horizontal="center" wrapText="1"/>
    </xf>
    <xf numFmtId="0" fontId="0" fillId="0" borderId="23" xfId="0" applyBorder="1" applyAlignment="1">
      <alignment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49" fontId="1" fillId="0" borderId="17" xfId="0" applyNumberFormat="1" applyFont="1" applyBorder="1" applyAlignment="1">
      <alignment horizontal="center" wrapText="1"/>
    </xf>
    <xf numFmtId="165" fontId="3" fillId="0" borderId="18" xfId="0" applyNumberFormat="1" applyFont="1" applyBorder="1" applyAlignment="1">
      <alignment wrapText="1"/>
    </xf>
    <xf numFmtId="0" fontId="9" fillId="0" borderId="8" xfId="0" applyFont="1" applyBorder="1" applyAlignment="1">
      <alignment wrapText="1"/>
    </xf>
    <xf numFmtId="165" fontId="3" fillId="0" borderId="19" xfId="0" applyNumberFormat="1" applyFont="1" applyBorder="1" applyAlignment="1">
      <alignment horizontal="center" vertical="center" wrapText="1"/>
    </xf>
    <xf numFmtId="165" fontId="8" fillId="0" borderId="19" xfId="0" applyNumberFormat="1" applyFont="1" applyBorder="1" applyAlignment="1">
      <alignment horizontal="center" vertical="center" wrapText="1"/>
    </xf>
    <xf numFmtId="165" fontId="7" fillId="0" borderId="19" xfId="0" applyNumberFormat="1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2" fontId="7" fillId="0" borderId="19" xfId="0" applyNumberFormat="1" applyFont="1" applyBorder="1" applyAlignment="1">
      <alignment horizontal="center" vertical="center" wrapText="1"/>
    </xf>
    <xf numFmtId="165" fontId="8" fillId="2" borderId="19" xfId="0" applyNumberFormat="1" applyFont="1" applyFill="1" applyBorder="1" applyAlignment="1">
      <alignment horizontal="center" vertical="center" wrapText="1"/>
    </xf>
    <xf numFmtId="165" fontId="7" fillId="2" borderId="19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wrapText="1"/>
    </xf>
    <xf numFmtId="0" fontId="0" fillId="0" borderId="18" xfId="0" applyBorder="1" applyAlignment="1">
      <alignment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2" borderId="19" xfId="0" applyNumberFormat="1" applyFont="1" applyFill="1" applyBorder="1" applyAlignment="1">
      <alignment horizontal="center" vertical="center" wrapText="1"/>
    </xf>
    <xf numFmtId="165" fontId="3" fillId="2" borderId="19" xfId="0" applyNumberFormat="1" applyFont="1" applyFill="1" applyBorder="1" applyAlignment="1">
      <alignment horizontal="center" vertical="center" wrapText="1"/>
    </xf>
    <xf numFmtId="4" fontId="0" fillId="0" borderId="20" xfId="0" applyNumberFormat="1" applyBorder="1" applyAlignment="1">
      <alignment horizontal="center" vertical="center" wrapText="1"/>
    </xf>
    <xf numFmtId="10" fontId="4" fillId="0" borderId="1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2" fontId="12" fillId="0" borderId="10" xfId="0" applyNumberFormat="1" applyFont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49" fontId="17" fillId="0" borderId="0" xfId="0" applyNumberFormat="1" applyFont="1" applyAlignment="1">
      <alignment wrapText="1"/>
    </xf>
    <xf numFmtId="4" fontId="5" fillId="0" borderId="7" xfId="0" applyNumberFormat="1" applyFont="1" applyBorder="1" applyAlignment="1">
      <alignment wrapText="1"/>
    </xf>
    <xf numFmtId="4" fontId="17" fillId="0" borderId="0" xfId="0" applyNumberFormat="1" applyFont="1" applyAlignment="1">
      <alignment wrapText="1"/>
    </xf>
    <xf numFmtId="4" fontId="19" fillId="0" borderId="0" xfId="0" applyNumberFormat="1" applyFont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17" fillId="0" borderId="0" xfId="0" applyFont="1" applyAlignment="1"/>
    <xf numFmtId="10" fontId="19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 wrapText="1"/>
    </xf>
    <xf numFmtId="0" fontId="18" fillId="0" borderId="0" xfId="0" applyFont="1" applyAlignment="1"/>
    <xf numFmtId="10" fontId="19" fillId="3" borderId="0" xfId="0" applyNumberFormat="1" applyFont="1" applyFill="1" applyAlignment="1">
      <alignment horizontal="center" vertical="center" wrapText="1"/>
    </xf>
    <xf numFmtId="4" fontId="23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22" fillId="0" borderId="0" xfId="0" applyFont="1" applyAlignment="1"/>
    <xf numFmtId="10" fontId="19" fillId="3" borderId="0" xfId="2" applyNumberFormat="1" applyFont="1" applyFill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4" fontId="17" fillId="0" borderId="0" xfId="0" applyNumberFormat="1" applyFont="1" applyAlignment="1">
      <alignment horizontal="center" vertical="center" wrapText="1"/>
    </xf>
    <xf numFmtId="49" fontId="25" fillId="0" borderId="0" xfId="0" applyNumberFormat="1" applyFont="1" applyAlignment="1">
      <alignment wrapText="1"/>
    </xf>
    <xf numFmtId="0" fontId="25" fillId="0" borderId="0" xfId="0" applyFont="1" applyAlignment="1">
      <alignment wrapText="1"/>
    </xf>
    <xf numFmtId="4" fontId="25" fillId="0" borderId="0" xfId="0" applyNumberFormat="1" applyFont="1" applyAlignment="1">
      <alignment wrapText="1"/>
    </xf>
    <xf numFmtId="4" fontId="26" fillId="0" borderId="0" xfId="0" applyNumberFormat="1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 wrapText="1"/>
    </xf>
    <xf numFmtId="0" fontId="26" fillId="0" borderId="0" xfId="0" applyFont="1" applyAlignment="1">
      <alignment wrapText="1"/>
    </xf>
    <xf numFmtId="4" fontId="7" fillId="0" borderId="13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28" fillId="0" borderId="13" xfId="0" applyNumberFormat="1" applyFont="1" applyBorder="1" applyAlignment="1">
      <alignment horizontal="center" vertical="center" wrapText="1"/>
    </xf>
    <xf numFmtId="4" fontId="24" fillId="0" borderId="13" xfId="0" applyNumberFormat="1" applyFont="1" applyBorder="1" applyAlignment="1">
      <alignment horizontal="center" vertical="center" wrapText="1"/>
    </xf>
    <xf numFmtId="4" fontId="29" fillId="0" borderId="13" xfId="0" applyNumberFormat="1" applyFont="1" applyBorder="1" applyAlignment="1">
      <alignment horizontal="center" vertical="center" wrapText="1"/>
    </xf>
    <xf numFmtId="4" fontId="30" fillId="0" borderId="13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wrapText="1"/>
    </xf>
    <xf numFmtId="164" fontId="33" fillId="0" borderId="1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10" fontId="34" fillId="4" borderId="14" xfId="0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wrapText="1"/>
    </xf>
    <xf numFmtId="4" fontId="3" fillId="5" borderId="0" xfId="0" applyNumberFormat="1" applyFont="1" applyFill="1" applyAlignment="1">
      <alignment wrapText="1"/>
    </xf>
    <xf numFmtId="4" fontId="35" fillId="5" borderId="0" xfId="0" applyNumberFormat="1" applyFont="1" applyFill="1" applyAlignment="1">
      <alignment horizontal="center" vertical="center" wrapText="1"/>
    </xf>
    <xf numFmtId="0" fontId="17" fillId="5" borderId="0" xfId="0" applyFont="1" applyFill="1" applyAlignment="1">
      <alignment wrapText="1"/>
    </xf>
    <xf numFmtId="4" fontId="18" fillId="5" borderId="0" xfId="0" applyNumberFormat="1" applyFont="1" applyFill="1" applyAlignment="1">
      <alignment wrapText="1"/>
    </xf>
    <xf numFmtId="0" fontId="3" fillId="6" borderId="0" xfId="0" applyFont="1" applyFill="1" applyAlignment="1">
      <alignment wrapText="1"/>
    </xf>
    <xf numFmtId="4" fontId="3" fillId="6" borderId="0" xfId="0" applyNumberFormat="1" applyFont="1" applyFill="1" applyAlignment="1">
      <alignment wrapText="1"/>
    </xf>
    <xf numFmtId="4" fontId="35" fillId="6" borderId="0" xfId="0" applyNumberFormat="1" applyFont="1" applyFill="1" applyAlignment="1">
      <alignment horizontal="center" vertical="center" wrapText="1"/>
    </xf>
    <xf numFmtId="0" fontId="17" fillId="6" borderId="0" xfId="0" applyFont="1" applyFill="1" applyAlignment="1">
      <alignment wrapText="1"/>
    </xf>
    <xf numFmtId="4" fontId="18" fillId="6" borderId="0" xfId="0" applyNumberFormat="1" applyFont="1" applyFill="1" applyAlignment="1">
      <alignment wrapText="1"/>
    </xf>
    <xf numFmtId="4" fontId="8" fillId="0" borderId="19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4" fontId="17" fillId="0" borderId="0" xfId="0" applyNumberFormat="1" applyFont="1" applyAlignment="1">
      <alignment horizontal="center" vertical="center" wrapText="1"/>
    </xf>
    <xf numFmtId="4" fontId="19" fillId="0" borderId="0" xfId="0" applyNumberFormat="1" applyFont="1" applyAlignment="1">
      <alignment horizontal="center" vertical="center" wrapText="1"/>
    </xf>
    <xf numFmtId="4" fontId="35" fillId="0" borderId="0" xfId="0" applyNumberFormat="1" applyFont="1" applyAlignment="1">
      <alignment horizontal="center" vertical="center" wrapText="1"/>
    </xf>
    <xf numFmtId="4" fontId="35" fillId="6" borderId="0" xfId="0" applyNumberFormat="1" applyFont="1" applyFill="1" applyAlignment="1">
      <alignment horizontal="center" vertical="center" wrapText="1"/>
    </xf>
    <xf numFmtId="4" fontId="17" fillId="6" borderId="0" xfId="0" applyNumberFormat="1" applyFont="1" applyFill="1" applyAlignment="1">
      <alignment horizontal="center" wrapText="1"/>
    </xf>
    <xf numFmtId="4" fontId="17" fillId="5" borderId="0" xfId="0" applyNumberFormat="1" applyFont="1" applyFill="1" applyAlignment="1">
      <alignment horizontal="center" wrapText="1"/>
    </xf>
    <xf numFmtId="0" fontId="22" fillId="0" borderId="34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/>
    </xf>
    <xf numFmtId="0" fontId="36" fillId="0" borderId="0" xfId="0" applyFont="1" applyAlignment="1">
      <alignment horizontal="right" wrapText="1"/>
    </xf>
    <xf numFmtId="0" fontId="9" fillId="0" borderId="2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0" fillId="0" borderId="30" xfId="0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4" fontId="35" fillId="5" borderId="0" xfId="0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228"/>
  <sheetViews>
    <sheetView tabSelected="1" view="pageBreakPreview" topLeftCell="L1" zoomScale="60" zoomScaleNormal="90" workbookViewId="0">
      <selection activeCell="T62" sqref="T62"/>
    </sheetView>
  </sheetViews>
  <sheetFormatPr defaultColWidth="8.85546875" defaultRowHeight="15" x14ac:dyDescent="0.25"/>
  <cols>
    <col min="1" max="1" width="5" style="6" customWidth="1"/>
    <col min="2" max="2" width="29.42578125" style="6" customWidth="1"/>
    <col min="3" max="3" width="14.5703125" style="6" customWidth="1"/>
    <col min="4" max="4" width="12.7109375" style="6" customWidth="1"/>
    <col min="5" max="5" width="4.85546875" style="6" customWidth="1"/>
    <col min="6" max="6" width="11.5703125" style="6" customWidth="1"/>
    <col min="7" max="7" width="7.5703125" style="6" customWidth="1"/>
    <col min="8" max="8" width="13.7109375" style="6" customWidth="1"/>
    <col min="9" max="9" width="12" style="6" customWidth="1"/>
    <col min="10" max="10" width="12.7109375" style="6" customWidth="1"/>
    <col min="11" max="11" width="9.7109375" style="6" customWidth="1"/>
    <col min="12" max="12" width="14.28515625" style="6" customWidth="1"/>
    <col min="13" max="13" width="11" style="6" customWidth="1"/>
    <col min="14" max="14" width="13.42578125" style="6" customWidth="1"/>
    <col min="15" max="15" width="11.7109375" style="6" customWidth="1"/>
    <col min="16" max="16" width="13" style="6" customWidth="1"/>
    <col min="17" max="17" width="8.5703125" style="6" customWidth="1"/>
    <col min="18" max="18" width="9.7109375" style="6" customWidth="1"/>
    <col min="19" max="19" width="10.85546875" style="6" customWidth="1"/>
    <col min="20" max="20" width="13.7109375" style="6" customWidth="1"/>
    <col min="21" max="21" width="10.140625" style="6" customWidth="1"/>
    <col min="22" max="22" width="11.42578125" style="6" customWidth="1"/>
    <col min="23" max="23" width="12.140625" style="6" customWidth="1"/>
    <col min="24" max="24" width="12.7109375" style="6" customWidth="1"/>
    <col min="25" max="26" width="9.7109375" style="6" customWidth="1"/>
    <col min="27" max="27" width="13.140625" style="6" customWidth="1"/>
    <col min="28" max="28" width="15" style="6" customWidth="1"/>
    <col min="29" max="29" width="11.7109375" style="6" customWidth="1"/>
    <col min="30" max="30" width="11.28515625" style="6" customWidth="1"/>
    <col min="31" max="16384" width="8.85546875" style="6"/>
  </cols>
  <sheetData>
    <row r="1" spans="1:47" ht="15.75" x14ac:dyDescent="0.25">
      <c r="AA1" s="150" t="s">
        <v>86</v>
      </c>
      <c r="AB1" s="150"/>
      <c r="AC1" s="150"/>
      <c r="AD1" s="150"/>
    </row>
    <row r="2" spans="1:47" ht="18.75" x14ac:dyDescent="0.3">
      <c r="A2" s="174" t="s">
        <v>109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</row>
    <row r="3" spans="1:47" ht="15.75" thickBot="1" x14ac:dyDescent="0.3">
      <c r="A3" s="5"/>
      <c r="B3" s="5"/>
      <c r="C3" s="5"/>
      <c r="D3" s="5"/>
      <c r="E3" s="5"/>
      <c r="F3" s="5"/>
      <c r="G3" s="5"/>
      <c r="H3" s="36"/>
      <c r="I3" s="5"/>
      <c r="J3" s="5"/>
    </row>
    <row r="4" spans="1:47" ht="39.6" customHeight="1" thickBot="1" x14ac:dyDescent="0.3">
      <c r="A4" s="156" t="s">
        <v>1</v>
      </c>
      <c r="B4" s="159" t="s">
        <v>111</v>
      </c>
      <c r="C4" s="162" t="s">
        <v>2</v>
      </c>
      <c r="D4" s="180" t="s">
        <v>110</v>
      </c>
      <c r="E4" s="159" t="s">
        <v>14</v>
      </c>
      <c r="F4" s="162" t="s">
        <v>13</v>
      </c>
      <c r="G4" s="162" t="s">
        <v>0</v>
      </c>
      <c r="H4" s="165" t="s">
        <v>88</v>
      </c>
      <c r="I4" s="169" t="s">
        <v>58</v>
      </c>
      <c r="J4" s="170"/>
      <c r="K4" s="170"/>
      <c r="L4" s="170"/>
      <c r="M4" s="170"/>
      <c r="N4" s="170"/>
      <c r="O4" s="170"/>
      <c r="P4" s="170"/>
      <c r="Q4" s="170"/>
      <c r="R4" s="171"/>
      <c r="S4" s="176" t="s">
        <v>59</v>
      </c>
      <c r="T4" s="154"/>
      <c r="U4" s="154"/>
      <c r="V4" s="154"/>
      <c r="W4" s="154"/>
      <c r="X4" s="154"/>
      <c r="Y4" s="154"/>
      <c r="Z4" s="155"/>
      <c r="AA4" s="153" t="s">
        <v>68</v>
      </c>
      <c r="AB4" s="154"/>
      <c r="AC4" s="154"/>
      <c r="AD4" s="155"/>
    </row>
    <row r="5" spans="1:47" ht="40.9" customHeight="1" x14ac:dyDescent="0.25">
      <c r="A5" s="157"/>
      <c r="B5" s="160"/>
      <c r="C5" s="163"/>
      <c r="D5" s="181"/>
      <c r="E5" s="160"/>
      <c r="F5" s="163"/>
      <c r="G5" s="163"/>
      <c r="H5" s="166"/>
      <c r="I5" s="178" t="s">
        <v>69</v>
      </c>
      <c r="J5" s="179"/>
      <c r="K5" s="168" t="s">
        <v>56</v>
      </c>
      <c r="L5" s="168"/>
      <c r="M5" s="168" t="s">
        <v>57</v>
      </c>
      <c r="N5" s="168"/>
      <c r="O5" s="168" t="s">
        <v>61</v>
      </c>
      <c r="P5" s="168"/>
      <c r="Q5" s="172" t="s">
        <v>72</v>
      </c>
      <c r="R5" s="151" t="s">
        <v>60</v>
      </c>
      <c r="S5" s="175" t="s">
        <v>56</v>
      </c>
      <c r="T5" s="168"/>
      <c r="U5" s="168" t="s">
        <v>57</v>
      </c>
      <c r="V5" s="168"/>
      <c r="W5" s="168" t="s">
        <v>62</v>
      </c>
      <c r="X5" s="168"/>
      <c r="Y5" s="172" t="s">
        <v>72</v>
      </c>
      <c r="Z5" s="151" t="s">
        <v>84</v>
      </c>
      <c r="AA5" s="177" t="s">
        <v>87</v>
      </c>
      <c r="AB5" s="168"/>
      <c r="AC5" s="172" t="s">
        <v>72</v>
      </c>
      <c r="AD5" s="151" t="s">
        <v>85</v>
      </c>
    </row>
    <row r="6" spans="1:47" ht="43.9" customHeight="1" thickBot="1" x14ac:dyDescent="0.3">
      <c r="A6" s="158"/>
      <c r="B6" s="161"/>
      <c r="C6" s="164"/>
      <c r="D6" s="182"/>
      <c r="E6" s="161"/>
      <c r="F6" s="164"/>
      <c r="G6" s="164"/>
      <c r="H6" s="167"/>
      <c r="I6" s="68" t="s">
        <v>70</v>
      </c>
      <c r="J6" s="37" t="s">
        <v>71</v>
      </c>
      <c r="K6" s="37" t="s">
        <v>70</v>
      </c>
      <c r="L6" s="37" t="s">
        <v>71</v>
      </c>
      <c r="M6" s="37" t="s">
        <v>70</v>
      </c>
      <c r="N6" s="37" t="s">
        <v>71</v>
      </c>
      <c r="O6" s="37" t="s">
        <v>73</v>
      </c>
      <c r="P6" s="37" t="s">
        <v>71</v>
      </c>
      <c r="Q6" s="173"/>
      <c r="R6" s="152"/>
      <c r="S6" s="68" t="s">
        <v>70</v>
      </c>
      <c r="T6" s="37" t="s">
        <v>71</v>
      </c>
      <c r="U6" s="37" t="s">
        <v>70</v>
      </c>
      <c r="V6" s="37" t="s">
        <v>71</v>
      </c>
      <c r="W6" s="37" t="s">
        <v>73</v>
      </c>
      <c r="X6" s="37" t="s">
        <v>71</v>
      </c>
      <c r="Y6" s="173"/>
      <c r="Z6" s="152"/>
      <c r="AA6" s="57" t="s">
        <v>73</v>
      </c>
      <c r="AB6" s="37" t="s">
        <v>71</v>
      </c>
      <c r="AC6" s="173"/>
      <c r="AD6" s="152"/>
    </row>
    <row r="7" spans="1:47" ht="15.75" thickBot="1" x14ac:dyDescent="0.3">
      <c r="A7" s="38">
        <v>1</v>
      </c>
      <c r="B7" s="39">
        <v>2</v>
      </c>
      <c r="C7" s="39">
        <v>3</v>
      </c>
      <c r="D7" s="39"/>
      <c r="E7" s="39">
        <v>4</v>
      </c>
      <c r="F7" s="39">
        <v>5</v>
      </c>
      <c r="G7" s="39">
        <v>6</v>
      </c>
      <c r="H7" s="58">
        <v>7</v>
      </c>
      <c r="I7" s="38">
        <v>8</v>
      </c>
      <c r="J7" s="39">
        <v>9</v>
      </c>
      <c r="K7" s="40">
        <v>10</v>
      </c>
      <c r="L7" s="40">
        <v>11</v>
      </c>
      <c r="M7" s="40">
        <v>12</v>
      </c>
      <c r="N7" s="40">
        <v>13</v>
      </c>
      <c r="O7" s="40">
        <v>14</v>
      </c>
      <c r="P7" s="40">
        <v>15</v>
      </c>
      <c r="Q7" s="41">
        <v>16</v>
      </c>
      <c r="R7" s="69">
        <v>17</v>
      </c>
      <c r="S7" s="81">
        <v>18</v>
      </c>
      <c r="T7" s="40">
        <v>19</v>
      </c>
      <c r="U7" s="40">
        <v>20</v>
      </c>
      <c r="V7" s="40">
        <v>21</v>
      </c>
      <c r="W7" s="40">
        <v>22</v>
      </c>
      <c r="X7" s="40">
        <v>23</v>
      </c>
      <c r="Y7" s="40">
        <v>24</v>
      </c>
      <c r="Z7" s="42">
        <v>25</v>
      </c>
      <c r="AA7" s="63">
        <v>26</v>
      </c>
      <c r="AB7" s="40">
        <v>27</v>
      </c>
      <c r="AC7" s="40">
        <v>28</v>
      </c>
      <c r="AD7" s="42">
        <v>29</v>
      </c>
    </row>
    <row r="8" spans="1:47" ht="73.150000000000006" customHeight="1" x14ac:dyDescent="0.25">
      <c r="A8" s="43">
        <v>1</v>
      </c>
      <c r="B8" s="97" t="s">
        <v>93</v>
      </c>
      <c r="C8" s="44"/>
      <c r="D8" s="124"/>
      <c r="E8" s="45"/>
      <c r="F8" s="94">
        <f>SUM(F10:F15)</f>
        <v>6443743</v>
      </c>
      <c r="G8" s="45"/>
      <c r="H8" s="59"/>
      <c r="I8" s="70"/>
      <c r="J8" s="45"/>
      <c r="K8" s="46"/>
      <c r="L8" s="46"/>
      <c r="M8" s="46"/>
      <c r="N8" s="46"/>
      <c r="O8" s="46"/>
      <c r="P8" s="46"/>
      <c r="Q8" s="47"/>
      <c r="R8" s="71"/>
      <c r="S8" s="82"/>
      <c r="T8" s="46"/>
      <c r="U8" s="46"/>
      <c r="V8" s="46"/>
      <c r="W8" s="46"/>
      <c r="X8" s="46"/>
      <c r="Y8" s="46"/>
      <c r="Z8" s="48"/>
      <c r="AA8" s="64"/>
      <c r="AB8" s="46"/>
      <c r="AC8" s="46"/>
      <c r="AD8" s="48"/>
    </row>
    <row r="9" spans="1:47" x14ac:dyDescent="0.25">
      <c r="A9" s="49" t="s">
        <v>5</v>
      </c>
      <c r="B9" s="7" t="s">
        <v>15</v>
      </c>
      <c r="C9" s="34">
        <f>SUM(C10:C15)</f>
        <v>848074400.39999998</v>
      </c>
      <c r="D9" s="125">
        <f>C9/$C$55</f>
        <v>0.46189999999999998</v>
      </c>
      <c r="E9" s="1"/>
      <c r="F9" s="1"/>
      <c r="G9" s="1"/>
      <c r="H9" s="88">
        <f>AVERAGE(H10:H15)</f>
        <v>26.79</v>
      </c>
      <c r="I9" s="72">
        <v>5942.76</v>
      </c>
      <c r="J9" s="25">
        <v>68153094.599999994</v>
      </c>
      <c r="K9" s="27">
        <v>6096.5739999999996</v>
      </c>
      <c r="L9" s="25">
        <v>44781980.719999999</v>
      </c>
      <c r="M9" s="30">
        <v>200.34899999999999</v>
      </c>
      <c r="N9" s="25">
        <v>4152600.32</v>
      </c>
      <c r="O9" s="25">
        <f>((I9+K9)/2+M9)*1000</f>
        <v>6220016</v>
      </c>
      <c r="P9" s="25">
        <f>J9+L9+N9</f>
        <v>117087675.64</v>
      </c>
      <c r="Q9" s="34">
        <f>P9/O9/5</f>
        <v>3.76</v>
      </c>
      <c r="R9" s="50">
        <f>Q9/H9</f>
        <v>0.1404</v>
      </c>
      <c r="S9" s="72">
        <f>(6096.574+6296.923)/2</f>
        <v>6196.7489999999998</v>
      </c>
      <c r="T9" s="24">
        <v>133499056.40000001</v>
      </c>
      <c r="U9" s="33">
        <v>200.34899999999999</v>
      </c>
      <c r="V9" s="25">
        <v>2580646.62</v>
      </c>
      <c r="W9" s="18">
        <f>(S9+U9)*1000</f>
        <v>6397098</v>
      </c>
      <c r="X9" s="18">
        <f>T9+V9</f>
        <v>136079703.02000001</v>
      </c>
      <c r="Y9" s="34">
        <f>X9/W9/5</f>
        <v>4.25</v>
      </c>
      <c r="Z9" s="50">
        <f>Y9/H9</f>
        <v>0.15859999999999999</v>
      </c>
      <c r="AA9" s="65">
        <f>6296.923*1000</f>
        <v>6296923</v>
      </c>
      <c r="AB9" s="25">
        <v>131731734.2</v>
      </c>
      <c r="AC9" s="35">
        <f>AB9/AA9/5</f>
        <v>4.18</v>
      </c>
      <c r="AD9" s="50">
        <f>AC9/H9</f>
        <v>0.156</v>
      </c>
    </row>
    <row r="10" spans="1:47" ht="15.6" customHeight="1" x14ac:dyDescent="0.25">
      <c r="A10" s="49" t="s">
        <v>16</v>
      </c>
      <c r="B10" s="2" t="s">
        <v>63</v>
      </c>
      <c r="C10" s="8">
        <v>84620982</v>
      </c>
      <c r="D10" s="125"/>
      <c r="E10" s="8" t="s">
        <v>22</v>
      </c>
      <c r="F10" s="8">
        <v>580272</v>
      </c>
      <c r="G10" s="8">
        <v>5</v>
      </c>
      <c r="H10" s="61">
        <f>C10/F10/G10</f>
        <v>29.17</v>
      </c>
      <c r="I10" s="73"/>
      <c r="J10" s="9"/>
      <c r="K10" s="27"/>
      <c r="L10" s="25"/>
      <c r="M10" s="25"/>
      <c r="N10" s="25"/>
      <c r="O10" s="25"/>
      <c r="P10" s="25"/>
      <c r="Q10" s="34"/>
      <c r="R10" s="50"/>
      <c r="S10" s="83"/>
      <c r="T10" s="25"/>
      <c r="U10" s="33"/>
      <c r="V10" s="25"/>
      <c r="W10" s="18"/>
      <c r="X10" s="18"/>
      <c r="Y10" s="34"/>
      <c r="Z10" s="50"/>
      <c r="AA10" s="65"/>
      <c r="AB10" s="25"/>
      <c r="AC10" s="35"/>
      <c r="AD10" s="5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</row>
    <row r="11" spans="1:47" x14ac:dyDescent="0.25">
      <c r="A11" s="49" t="s">
        <v>17</v>
      </c>
      <c r="B11" s="2" t="s">
        <v>64</v>
      </c>
      <c r="C11" s="8">
        <v>353057924.39999998</v>
      </c>
      <c r="D11" s="125"/>
      <c r="E11" s="8" t="s">
        <v>22</v>
      </c>
      <c r="F11" s="8">
        <v>2679514</v>
      </c>
      <c r="G11" s="8">
        <v>5</v>
      </c>
      <c r="H11" s="61">
        <f t="shared" ref="H11:H15" si="0">C11/F11/G11</f>
        <v>26.35</v>
      </c>
      <c r="I11" s="140"/>
      <c r="J11" s="9"/>
      <c r="K11" s="27"/>
      <c r="L11" s="25"/>
      <c r="M11" s="25"/>
      <c r="N11" s="25"/>
      <c r="O11" s="25"/>
      <c r="P11" s="25"/>
      <c r="Q11" s="34"/>
      <c r="R11" s="50"/>
      <c r="S11" s="83"/>
      <c r="T11" s="25"/>
      <c r="U11" s="33"/>
      <c r="V11" s="25"/>
      <c r="W11" s="18"/>
      <c r="X11" s="18"/>
      <c r="Y11" s="34"/>
      <c r="Z11" s="50"/>
      <c r="AA11" s="65"/>
      <c r="AB11" s="25"/>
      <c r="AC11" s="35"/>
      <c r="AD11" s="5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</row>
    <row r="12" spans="1:47" x14ac:dyDescent="0.25">
      <c r="A12" s="49" t="s">
        <v>18</v>
      </c>
      <c r="B12" s="2" t="s">
        <v>65</v>
      </c>
      <c r="C12" s="8">
        <v>87970254</v>
      </c>
      <c r="D12" s="125"/>
      <c r="E12" s="8" t="s">
        <v>22</v>
      </c>
      <c r="F12" s="8">
        <v>474588</v>
      </c>
      <c r="G12" s="8">
        <v>5</v>
      </c>
      <c r="H12" s="61">
        <f t="shared" si="0"/>
        <v>37.07</v>
      </c>
      <c r="I12" s="140"/>
      <c r="J12" s="9"/>
      <c r="K12" s="27"/>
      <c r="L12" s="25"/>
      <c r="M12" s="25"/>
      <c r="N12" s="25"/>
      <c r="O12" s="25"/>
      <c r="P12" s="25"/>
      <c r="Q12" s="34"/>
      <c r="R12" s="50"/>
      <c r="S12" s="83"/>
      <c r="T12" s="25"/>
      <c r="U12" s="33"/>
      <c r="V12" s="25"/>
      <c r="W12" s="18"/>
      <c r="X12" s="18"/>
      <c r="Y12" s="34"/>
      <c r="Z12" s="50"/>
      <c r="AA12" s="65"/>
      <c r="AB12" s="25"/>
      <c r="AC12" s="35"/>
      <c r="AD12" s="5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</row>
    <row r="13" spans="1:47" x14ac:dyDescent="0.25">
      <c r="A13" s="49" t="s">
        <v>19</v>
      </c>
      <c r="B13" s="2" t="s">
        <v>66</v>
      </c>
      <c r="C13" s="8">
        <v>177647708.40000001</v>
      </c>
      <c r="D13" s="125"/>
      <c r="E13" s="8" t="s">
        <v>22</v>
      </c>
      <c r="F13" s="8">
        <v>1352717</v>
      </c>
      <c r="G13" s="8">
        <v>5</v>
      </c>
      <c r="H13" s="61">
        <f t="shared" si="0"/>
        <v>26.27</v>
      </c>
      <c r="I13" s="140"/>
      <c r="J13" s="9"/>
      <c r="K13" s="27"/>
      <c r="L13" s="25"/>
      <c r="M13" s="25"/>
      <c r="N13" s="25"/>
      <c r="O13" s="25"/>
      <c r="P13" s="25"/>
      <c r="Q13" s="34"/>
      <c r="R13" s="50"/>
      <c r="S13" s="83"/>
      <c r="T13" s="25"/>
      <c r="U13" s="33"/>
      <c r="V13" s="25"/>
      <c r="W13" s="18"/>
      <c r="X13" s="18"/>
      <c r="Y13" s="34"/>
      <c r="Z13" s="50"/>
      <c r="AA13" s="65"/>
      <c r="AB13" s="25"/>
      <c r="AC13" s="35"/>
      <c r="AD13" s="5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x14ac:dyDescent="0.25">
      <c r="A14" s="49" t="s">
        <v>20</v>
      </c>
      <c r="B14" s="2" t="s">
        <v>3</v>
      </c>
      <c r="C14" s="8">
        <v>96459469.200000003</v>
      </c>
      <c r="D14" s="125"/>
      <c r="E14" s="8" t="s">
        <v>22</v>
      </c>
      <c r="F14" s="8">
        <v>728379</v>
      </c>
      <c r="G14" s="8">
        <v>5</v>
      </c>
      <c r="H14" s="61">
        <f t="shared" si="0"/>
        <v>26.49</v>
      </c>
      <c r="I14" s="140"/>
      <c r="J14" s="9"/>
      <c r="K14" s="27"/>
      <c r="L14" s="25"/>
      <c r="M14" s="25"/>
      <c r="N14" s="25"/>
      <c r="O14" s="25"/>
      <c r="P14" s="25"/>
      <c r="Q14" s="34"/>
      <c r="R14" s="50"/>
      <c r="S14" s="83"/>
      <c r="T14" s="25"/>
      <c r="U14" s="33"/>
      <c r="V14" s="25"/>
      <c r="W14" s="18"/>
      <c r="X14" s="18"/>
      <c r="Y14" s="34"/>
      <c r="Z14" s="50"/>
      <c r="AA14" s="65"/>
      <c r="AB14" s="25"/>
      <c r="AC14" s="35"/>
      <c r="AD14" s="5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</row>
    <row r="15" spans="1:47" x14ac:dyDescent="0.25">
      <c r="A15" s="49" t="s">
        <v>21</v>
      </c>
      <c r="B15" s="2" t="s">
        <v>4</v>
      </c>
      <c r="C15" s="8">
        <v>48318062.399999999</v>
      </c>
      <c r="D15" s="125"/>
      <c r="E15" s="8" t="s">
        <v>22</v>
      </c>
      <c r="F15" s="8">
        <v>628273</v>
      </c>
      <c r="G15" s="8">
        <v>5</v>
      </c>
      <c r="H15" s="61">
        <f t="shared" si="0"/>
        <v>15.38</v>
      </c>
      <c r="I15" s="73"/>
      <c r="J15" s="9"/>
      <c r="K15" s="27"/>
      <c r="L15" s="25"/>
      <c r="M15" s="25"/>
      <c r="N15" s="25"/>
      <c r="O15" s="25"/>
      <c r="P15" s="25"/>
      <c r="Q15" s="34"/>
      <c r="R15" s="50"/>
      <c r="S15" s="83"/>
      <c r="T15" s="25"/>
      <c r="U15" s="33"/>
      <c r="V15" s="25"/>
      <c r="W15" s="18"/>
      <c r="X15" s="18"/>
      <c r="Y15" s="34"/>
      <c r="Z15" s="50"/>
      <c r="AA15" s="65"/>
      <c r="AB15" s="25"/>
      <c r="AC15" s="35"/>
      <c r="AD15" s="5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</row>
    <row r="16" spans="1:47" x14ac:dyDescent="0.25">
      <c r="A16" s="49" t="s">
        <v>6</v>
      </c>
      <c r="B16" s="7" t="s">
        <v>23</v>
      </c>
      <c r="C16" s="9">
        <f>SUM(C17:C22)</f>
        <v>440080130.39999998</v>
      </c>
      <c r="D16" s="125">
        <f t="shared" ref="D16:D55" si="1">C16/$C$55</f>
        <v>0.2397</v>
      </c>
      <c r="E16" s="8"/>
      <c r="F16" s="8"/>
      <c r="G16" s="8"/>
      <c r="H16" s="60">
        <f>AVERAGE(H17:H22)</f>
        <v>9.7100000000000009</v>
      </c>
      <c r="I16" s="74">
        <f>I9</f>
        <v>5942.76</v>
      </c>
      <c r="J16" s="8">
        <v>100203699.59999999</v>
      </c>
      <c r="K16" s="27">
        <f>K9</f>
        <v>6096.5739999999996</v>
      </c>
      <c r="L16" s="25">
        <v>16360017.029999999</v>
      </c>
      <c r="M16" s="27">
        <f>M9</f>
        <v>200.34899999999999</v>
      </c>
      <c r="N16" s="25">
        <v>3506213.55</v>
      </c>
      <c r="O16" s="25">
        <f>((I16+K16)/2+M16)*1000</f>
        <v>6220016</v>
      </c>
      <c r="P16" s="25">
        <f>J16+L16+N16</f>
        <v>120069930.18000001</v>
      </c>
      <c r="Q16" s="34">
        <f>P16/O16/7</f>
        <v>2.76</v>
      </c>
      <c r="R16" s="50">
        <f>Q16/H16</f>
        <v>0.28420000000000001</v>
      </c>
      <c r="S16" s="72">
        <f>S9</f>
        <v>6196.7489999999998</v>
      </c>
      <c r="T16" s="25">
        <v>135360783.05000001</v>
      </c>
      <c r="U16" s="33">
        <f>U9</f>
        <v>200.34899999999999</v>
      </c>
      <c r="V16" s="25">
        <v>3276091.92</v>
      </c>
      <c r="W16" s="18">
        <f t="shared" ref="W16:W24" si="2">(S16+U16)*1000</f>
        <v>6397098</v>
      </c>
      <c r="X16" s="18">
        <f>T16+V16</f>
        <v>138636874.97</v>
      </c>
      <c r="Y16" s="34">
        <f>X16/W16/7</f>
        <v>3.1</v>
      </c>
      <c r="Z16" s="50">
        <f t="shared" ref="Z16:Z28" si="3">Y16/H16</f>
        <v>0.31929999999999997</v>
      </c>
      <c r="AA16" s="65">
        <f>AA9</f>
        <v>6296923</v>
      </c>
      <c r="AB16" s="25">
        <v>135387259.34999999</v>
      </c>
      <c r="AC16" s="35">
        <f>AB16/AA16/7</f>
        <v>3.07</v>
      </c>
      <c r="AD16" s="50">
        <f>AC16/H16</f>
        <v>0.31619999999999998</v>
      </c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</row>
    <row r="17" spans="1:47" x14ac:dyDescent="0.25">
      <c r="A17" s="49" t="s">
        <v>24</v>
      </c>
      <c r="B17" s="2" t="s">
        <v>63</v>
      </c>
      <c r="C17" s="8">
        <v>31716733.199999999</v>
      </c>
      <c r="D17" s="125"/>
      <c r="E17" s="8" t="s">
        <v>22</v>
      </c>
      <c r="F17" s="8">
        <f>F10</f>
        <v>580272</v>
      </c>
      <c r="G17" s="8">
        <v>7</v>
      </c>
      <c r="H17" s="61">
        <f t="shared" ref="H17:H22" si="4">C17/F17/G17</f>
        <v>7.81</v>
      </c>
      <c r="I17" s="73"/>
      <c r="J17" s="9"/>
      <c r="K17" s="27"/>
      <c r="L17" s="25"/>
      <c r="M17" s="25"/>
      <c r="N17" s="25"/>
      <c r="O17" s="25"/>
      <c r="P17" s="25"/>
      <c r="Q17" s="34"/>
      <c r="R17" s="50"/>
      <c r="S17" s="83"/>
      <c r="T17" s="25"/>
      <c r="U17" s="25"/>
      <c r="V17" s="25"/>
      <c r="W17" s="18"/>
      <c r="X17" s="18"/>
      <c r="Y17" s="34"/>
      <c r="Z17" s="50"/>
      <c r="AA17" s="65"/>
      <c r="AB17" s="25"/>
      <c r="AC17" s="35"/>
      <c r="AD17" s="5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</row>
    <row r="18" spans="1:47" x14ac:dyDescent="0.25">
      <c r="A18" s="49" t="s">
        <v>25</v>
      </c>
      <c r="B18" s="2" t="s">
        <v>64</v>
      </c>
      <c r="C18" s="8">
        <v>175488885.59999999</v>
      </c>
      <c r="D18" s="125"/>
      <c r="E18" s="8" t="s">
        <v>22</v>
      </c>
      <c r="F18" s="8">
        <f>F11</f>
        <v>2679514</v>
      </c>
      <c r="G18" s="8">
        <v>7</v>
      </c>
      <c r="H18" s="61">
        <f t="shared" si="4"/>
        <v>9.36</v>
      </c>
      <c r="I18" s="73"/>
      <c r="J18" s="9"/>
      <c r="K18" s="27"/>
      <c r="L18" s="25"/>
      <c r="M18" s="25"/>
      <c r="N18" s="25"/>
      <c r="O18" s="25"/>
      <c r="P18" s="25"/>
      <c r="Q18" s="34"/>
      <c r="R18" s="50"/>
      <c r="S18" s="83"/>
      <c r="T18" s="25"/>
      <c r="U18" s="25"/>
      <c r="V18" s="25"/>
      <c r="W18" s="18"/>
      <c r="X18" s="18"/>
      <c r="Y18" s="34"/>
      <c r="Z18" s="50"/>
      <c r="AA18" s="65"/>
      <c r="AB18" s="25"/>
      <c r="AC18" s="35"/>
      <c r="AD18" s="5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</row>
    <row r="19" spans="1:47" x14ac:dyDescent="0.25">
      <c r="A19" s="49" t="s">
        <v>26</v>
      </c>
      <c r="B19" s="2" t="s">
        <v>67</v>
      </c>
      <c r="C19" s="8">
        <v>26682650.399999999</v>
      </c>
      <c r="D19" s="125"/>
      <c r="E19" s="8" t="s">
        <v>22</v>
      </c>
      <c r="F19" s="8">
        <v>474588</v>
      </c>
      <c r="G19" s="8">
        <v>7</v>
      </c>
      <c r="H19" s="61">
        <f t="shared" si="4"/>
        <v>8.0299999999999994</v>
      </c>
      <c r="I19" s="73"/>
      <c r="J19" s="9"/>
      <c r="K19" s="27"/>
      <c r="L19" s="25"/>
      <c r="M19" s="25"/>
      <c r="N19" s="25"/>
      <c r="O19" s="25"/>
      <c r="P19" s="25"/>
      <c r="Q19" s="34"/>
      <c r="R19" s="50"/>
      <c r="S19" s="83"/>
      <c r="T19" s="25"/>
      <c r="U19" s="25"/>
      <c r="V19" s="25"/>
      <c r="W19" s="18"/>
      <c r="X19" s="18"/>
      <c r="Y19" s="34"/>
      <c r="Z19" s="50"/>
      <c r="AA19" s="65"/>
      <c r="AB19" s="25"/>
      <c r="AC19" s="35"/>
      <c r="AD19" s="5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</row>
    <row r="20" spans="1:47" x14ac:dyDescent="0.25">
      <c r="A20" s="49" t="s">
        <v>27</v>
      </c>
      <c r="B20" s="2" t="s">
        <v>66</v>
      </c>
      <c r="C20" s="8">
        <v>101035869.59999999</v>
      </c>
      <c r="D20" s="125"/>
      <c r="E20" s="8" t="s">
        <v>22</v>
      </c>
      <c r="F20" s="8">
        <v>1352717</v>
      </c>
      <c r="G20" s="8">
        <v>7</v>
      </c>
      <c r="H20" s="61">
        <f t="shared" si="4"/>
        <v>10.67</v>
      </c>
      <c r="I20" s="73"/>
      <c r="J20" s="9"/>
      <c r="K20" s="27"/>
      <c r="L20" s="25"/>
      <c r="M20" s="25"/>
      <c r="N20" s="25"/>
      <c r="O20" s="25"/>
      <c r="P20" s="25"/>
      <c r="Q20" s="34"/>
      <c r="R20" s="50"/>
      <c r="S20" s="83"/>
      <c r="T20" s="25"/>
      <c r="U20" s="25"/>
      <c r="V20" s="25"/>
      <c r="W20" s="18"/>
      <c r="X20" s="18"/>
      <c r="Y20" s="34"/>
      <c r="Z20" s="50"/>
      <c r="AA20" s="65"/>
      <c r="AB20" s="25"/>
      <c r="AC20" s="35"/>
      <c r="AD20" s="5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</row>
    <row r="21" spans="1:47" x14ac:dyDescent="0.25">
      <c r="A21" s="49" t="s">
        <v>28</v>
      </c>
      <c r="B21" s="2" t="s">
        <v>3</v>
      </c>
      <c r="C21" s="8">
        <v>49061299.200000003</v>
      </c>
      <c r="D21" s="125"/>
      <c r="E21" s="8" t="s">
        <v>22</v>
      </c>
      <c r="F21" s="8">
        <v>728379</v>
      </c>
      <c r="G21" s="8">
        <v>7</v>
      </c>
      <c r="H21" s="61">
        <f t="shared" si="4"/>
        <v>9.6199999999999992</v>
      </c>
      <c r="I21" s="73"/>
      <c r="J21" s="9"/>
      <c r="K21" s="27"/>
      <c r="L21" s="25"/>
      <c r="M21" s="25"/>
      <c r="N21" s="25"/>
      <c r="O21" s="25"/>
      <c r="P21" s="25"/>
      <c r="Q21" s="34"/>
      <c r="R21" s="50"/>
      <c r="S21" s="83"/>
      <c r="T21" s="25"/>
      <c r="U21" s="25"/>
      <c r="V21" s="25"/>
      <c r="W21" s="18"/>
      <c r="X21" s="18"/>
      <c r="Y21" s="34"/>
      <c r="Z21" s="50"/>
      <c r="AA21" s="65"/>
      <c r="AB21" s="25"/>
      <c r="AC21" s="35"/>
      <c r="AD21" s="5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</row>
    <row r="22" spans="1:47" x14ac:dyDescent="0.25">
      <c r="A22" s="49" t="s">
        <v>29</v>
      </c>
      <c r="B22" s="2" t="s">
        <v>4</v>
      </c>
      <c r="C22" s="8">
        <v>56094692.399999999</v>
      </c>
      <c r="D22" s="125"/>
      <c r="E22" s="8" t="s">
        <v>22</v>
      </c>
      <c r="F22" s="8">
        <v>628273</v>
      </c>
      <c r="G22" s="8">
        <v>7</v>
      </c>
      <c r="H22" s="61">
        <f t="shared" si="4"/>
        <v>12.75</v>
      </c>
      <c r="I22" s="73"/>
      <c r="J22" s="9"/>
      <c r="K22" s="27"/>
      <c r="L22" s="25"/>
      <c r="M22" s="25"/>
      <c r="N22" s="25"/>
      <c r="O22" s="25"/>
      <c r="P22" s="25"/>
      <c r="Q22" s="34"/>
      <c r="R22" s="50"/>
      <c r="S22" s="83"/>
      <c r="T22" s="25"/>
      <c r="U22" s="25"/>
      <c r="V22" s="25"/>
      <c r="W22" s="18"/>
      <c r="X22" s="18"/>
      <c r="Y22" s="34"/>
      <c r="Z22" s="50"/>
      <c r="AA22" s="65"/>
      <c r="AB22" s="25"/>
      <c r="AC22" s="35"/>
      <c r="AD22" s="5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</row>
    <row r="23" spans="1:47" ht="63.75" x14ac:dyDescent="0.25">
      <c r="A23" s="49" t="s">
        <v>30</v>
      </c>
      <c r="B23" s="3" t="s">
        <v>96</v>
      </c>
      <c r="C23" s="9">
        <f>C24+C25</f>
        <v>127355971.2</v>
      </c>
      <c r="D23" s="125"/>
      <c r="E23" s="8"/>
      <c r="F23" s="8"/>
      <c r="G23" s="8"/>
      <c r="H23" s="62"/>
      <c r="I23" s="73"/>
      <c r="J23" s="9"/>
      <c r="K23" s="27"/>
      <c r="L23" s="25"/>
      <c r="M23" s="25"/>
      <c r="N23" s="25"/>
      <c r="O23" s="25"/>
      <c r="P23" s="25"/>
      <c r="Q23" s="34"/>
      <c r="R23" s="50"/>
      <c r="S23" s="83"/>
      <c r="T23" s="25"/>
      <c r="U23" s="25"/>
      <c r="V23" s="25"/>
      <c r="W23" s="18"/>
      <c r="X23" s="18"/>
      <c r="Y23" s="34"/>
      <c r="Z23" s="50"/>
      <c r="AA23" s="65"/>
      <c r="AB23" s="25"/>
      <c r="AC23" s="35"/>
      <c r="AD23" s="5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</row>
    <row r="24" spans="1:47" x14ac:dyDescent="0.25">
      <c r="A24" s="49" t="s">
        <v>7</v>
      </c>
      <c r="B24" s="2" t="s">
        <v>15</v>
      </c>
      <c r="C24" s="8">
        <v>114773385.59999999</v>
      </c>
      <c r="D24" s="125">
        <f t="shared" si="1"/>
        <v>6.25E-2</v>
      </c>
      <c r="E24" s="8" t="s">
        <v>22</v>
      </c>
      <c r="F24" s="8">
        <v>146426</v>
      </c>
      <c r="G24" s="8">
        <v>5</v>
      </c>
      <c r="H24" s="60">
        <f>C24/F24/G24</f>
        <v>156.77000000000001</v>
      </c>
      <c r="I24" s="75">
        <v>136.59</v>
      </c>
      <c r="J24" s="25">
        <v>7826607</v>
      </c>
      <c r="K24" s="26">
        <v>138.16499999999999</v>
      </c>
      <c r="L24" s="8">
        <v>5070655.5</v>
      </c>
      <c r="M24" s="27">
        <v>11.816000000000001</v>
      </c>
      <c r="N24" s="25">
        <v>1061667.6000000001</v>
      </c>
      <c r="O24" s="25">
        <f>((I24+K24)/2+M24)*1000</f>
        <v>149193.5</v>
      </c>
      <c r="P24" s="25">
        <f>J24+L24+N24</f>
        <v>13958930.1</v>
      </c>
      <c r="Q24" s="34">
        <f>P24/O24/5</f>
        <v>18.71</v>
      </c>
      <c r="R24" s="50">
        <f>Q24/H24</f>
        <v>0.1193</v>
      </c>
      <c r="S24" s="83">
        <f>(138.17+146.426)/2</f>
        <v>142.30000000000001</v>
      </c>
      <c r="T24" s="25">
        <v>15250401.32</v>
      </c>
      <c r="U24" s="27">
        <v>11.816000000000001</v>
      </c>
      <c r="V24" s="25">
        <v>692653.92</v>
      </c>
      <c r="W24" s="18">
        <f t="shared" si="2"/>
        <v>154116</v>
      </c>
      <c r="X24" s="18">
        <f>T24+V24</f>
        <v>15943055.24</v>
      </c>
      <c r="Y24" s="34">
        <f>X24/W24/5</f>
        <v>20.69</v>
      </c>
      <c r="Z24" s="50">
        <f t="shared" si="3"/>
        <v>0.13200000000000001</v>
      </c>
      <c r="AA24" s="65">
        <f>146.43*1000</f>
        <v>146430</v>
      </c>
      <c r="AB24" s="25">
        <v>15228304</v>
      </c>
      <c r="AC24" s="35">
        <f>AB24/AA24/5</f>
        <v>20.8</v>
      </c>
      <c r="AD24" s="50">
        <f>AC24/H24</f>
        <v>0.13270000000000001</v>
      </c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</row>
    <row r="25" spans="1:47" x14ac:dyDescent="0.25">
      <c r="A25" s="49" t="s">
        <v>8</v>
      </c>
      <c r="B25" s="2" t="s">
        <v>23</v>
      </c>
      <c r="C25" s="8">
        <v>12582585.6</v>
      </c>
      <c r="D25" s="125">
        <f t="shared" si="1"/>
        <v>6.8999999999999999E-3</v>
      </c>
      <c r="E25" s="8" t="s">
        <v>22</v>
      </c>
      <c r="F25" s="8">
        <v>146426</v>
      </c>
      <c r="G25" s="8">
        <v>7</v>
      </c>
      <c r="H25" s="60">
        <f>C25/F25/G25</f>
        <v>12.28</v>
      </c>
      <c r="I25" s="75">
        <v>136.59</v>
      </c>
      <c r="J25" s="25">
        <v>6376021.2000000002</v>
      </c>
      <c r="K25" s="26">
        <f>K24</f>
        <v>138.16499999999999</v>
      </c>
      <c r="L25" s="8">
        <v>1032092.55</v>
      </c>
      <c r="M25" s="25">
        <v>11.82</v>
      </c>
      <c r="N25" s="25">
        <v>462360.08</v>
      </c>
      <c r="O25" s="25">
        <f>((I25+K25)/2+M25)*1000</f>
        <v>149197.5</v>
      </c>
      <c r="P25" s="25">
        <f>J25+L25+N25</f>
        <v>7870473.8300000001</v>
      </c>
      <c r="Q25" s="34">
        <f>P25/O25/7</f>
        <v>7.54</v>
      </c>
      <c r="R25" s="50">
        <f>Q25/H25</f>
        <v>0.61399999999999999</v>
      </c>
      <c r="S25" s="83">
        <f>S24</f>
        <v>142.30000000000001</v>
      </c>
      <c r="T25" s="25">
        <v>8564152.4800000004</v>
      </c>
      <c r="U25" s="27">
        <f>U24</f>
        <v>11.816000000000001</v>
      </c>
      <c r="V25" s="25">
        <v>431047.67999999999</v>
      </c>
      <c r="W25" s="18">
        <f>(S25+U25)*1000</f>
        <v>154116</v>
      </c>
      <c r="X25" s="18">
        <f>T25+V25</f>
        <v>8995200.1600000001</v>
      </c>
      <c r="Y25" s="34">
        <f>X25/W25/7</f>
        <v>8.34</v>
      </c>
      <c r="Z25" s="50">
        <f t="shared" si="3"/>
        <v>0.67920000000000003</v>
      </c>
      <c r="AA25" s="65">
        <f>AA24</f>
        <v>146430</v>
      </c>
      <c r="AB25" s="25">
        <v>8681597.5399999991</v>
      </c>
      <c r="AC25" s="35">
        <f>AB25/AA25/G25</f>
        <v>8.4700000000000006</v>
      </c>
      <c r="AD25" s="50">
        <f>AC25/H25</f>
        <v>0.68969999999999998</v>
      </c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</row>
    <row r="26" spans="1:47" ht="45.6" customHeight="1" x14ac:dyDescent="0.25">
      <c r="A26" s="49" t="s">
        <v>31</v>
      </c>
      <c r="B26" s="3" t="s">
        <v>97</v>
      </c>
      <c r="C26" s="9">
        <f>C27+C28</f>
        <v>155293870.80000001</v>
      </c>
      <c r="D26" s="125"/>
      <c r="E26" s="8"/>
      <c r="F26" s="8"/>
      <c r="G26" s="8"/>
      <c r="H26" s="60"/>
      <c r="I26" s="73"/>
      <c r="J26" s="9"/>
      <c r="K26" s="27"/>
      <c r="L26" s="25"/>
      <c r="M26" s="25"/>
      <c r="N26" s="25"/>
      <c r="O26" s="25"/>
      <c r="P26" s="25"/>
      <c r="Q26" s="34"/>
      <c r="R26" s="50"/>
      <c r="S26" s="83"/>
      <c r="T26" s="25"/>
      <c r="U26" s="25"/>
      <c r="V26" s="25"/>
      <c r="W26" s="18"/>
      <c r="X26" s="25"/>
      <c r="Y26" s="34"/>
      <c r="Z26" s="50"/>
      <c r="AA26" s="65"/>
      <c r="AB26" s="25"/>
      <c r="AC26" s="35"/>
      <c r="AD26" s="5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</row>
    <row r="27" spans="1:47" x14ac:dyDescent="0.25">
      <c r="A27" s="49" t="s">
        <v>9</v>
      </c>
      <c r="B27" s="2" t="s">
        <v>15</v>
      </c>
      <c r="C27" s="8">
        <v>141170373.59999999</v>
      </c>
      <c r="D27" s="125">
        <f t="shared" si="1"/>
        <v>7.6899999999999996E-2</v>
      </c>
      <c r="E27" s="8" t="s">
        <v>22</v>
      </c>
      <c r="F27" s="8">
        <v>236424</v>
      </c>
      <c r="G27" s="8">
        <v>5</v>
      </c>
      <c r="H27" s="60">
        <f>C27/F27/G27</f>
        <v>119.42</v>
      </c>
      <c r="I27" s="74">
        <v>204.39</v>
      </c>
      <c r="J27" s="8">
        <v>10889899.199999999</v>
      </c>
      <c r="K27" s="27">
        <v>236.42699999999999</v>
      </c>
      <c r="L27" s="25">
        <v>8066889.2400000002</v>
      </c>
      <c r="M27" s="25"/>
      <c r="N27" s="25"/>
      <c r="O27" s="25">
        <f>(I27+K27)/2*1000</f>
        <v>220408.5</v>
      </c>
      <c r="P27" s="25">
        <f>J27+L27+N27</f>
        <v>18956788.440000001</v>
      </c>
      <c r="Q27" s="34">
        <f>P27/O27/5</f>
        <v>17.2</v>
      </c>
      <c r="R27" s="50">
        <f>Q27/H27</f>
        <v>0.14399999999999999</v>
      </c>
      <c r="S27" s="72">
        <v>236.42699999999999</v>
      </c>
      <c r="T27" s="25">
        <v>23701806.75</v>
      </c>
      <c r="U27" s="25"/>
      <c r="V27" s="25"/>
      <c r="W27" s="25">
        <f>S27*1000</f>
        <v>236427</v>
      </c>
      <c r="X27" s="25">
        <f>T27</f>
        <v>23701806.75</v>
      </c>
      <c r="Y27" s="34">
        <f>X27/W27/5</f>
        <v>20.05</v>
      </c>
      <c r="Z27" s="50">
        <f t="shared" si="3"/>
        <v>0.16789999999999999</v>
      </c>
      <c r="AA27" s="65">
        <f>236.427*1000</f>
        <v>236427</v>
      </c>
      <c r="AB27" s="25">
        <v>22874312.25</v>
      </c>
      <c r="AC27" s="35">
        <f>AB27/AA27/5</f>
        <v>19.350000000000001</v>
      </c>
      <c r="AD27" s="50">
        <f>AC27/H27</f>
        <v>0.16200000000000001</v>
      </c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</row>
    <row r="28" spans="1:47" x14ac:dyDescent="0.25">
      <c r="A28" s="49" t="s">
        <v>10</v>
      </c>
      <c r="B28" s="2" t="s">
        <v>23</v>
      </c>
      <c r="C28" s="8">
        <v>14123497.199999999</v>
      </c>
      <c r="D28" s="125">
        <f t="shared" si="1"/>
        <v>7.7000000000000002E-3</v>
      </c>
      <c r="E28" s="8" t="s">
        <v>22</v>
      </c>
      <c r="F28" s="8">
        <v>236424</v>
      </c>
      <c r="G28" s="8">
        <v>7</v>
      </c>
      <c r="H28" s="60">
        <f>C28/F28/G28</f>
        <v>8.5299999999999994</v>
      </c>
      <c r="I28" s="74">
        <v>204.39</v>
      </c>
      <c r="J28" s="8">
        <v>3151693.8</v>
      </c>
      <c r="K28" s="27">
        <v>236.42699999999999</v>
      </c>
      <c r="L28" s="25">
        <v>583974.68999999994</v>
      </c>
      <c r="M28" s="25"/>
      <c r="N28" s="25"/>
      <c r="O28" s="25">
        <f>(I28+K28)/2*1000</f>
        <v>220408.5</v>
      </c>
      <c r="P28" s="25">
        <f>J28+L28+N28</f>
        <v>3735668.49</v>
      </c>
      <c r="Q28" s="34">
        <f>P28/O28/7</f>
        <v>2.42</v>
      </c>
      <c r="R28" s="50">
        <f>Q28/H28</f>
        <v>0.28370000000000001</v>
      </c>
      <c r="S28" s="72">
        <f>S27</f>
        <v>236.42699999999999</v>
      </c>
      <c r="T28" s="25">
        <v>4816017.99</v>
      </c>
      <c r="U28" s="25"/>
      <c r="V28" s="25"/>
      <c r="W28" s="25">
        <f>S28*1000</f>
        <v>236427</v>
      </c>
      <c r="X28" s="25">
        <f>T28</f>
        <v>4816017.99</v>
      </c>
      <c r="Y28" s="34">
        <f>X28/W28/7</f>
        <v>2.91</v>
      </c>
      <c r="Z28" s="50">
        <f t="shared" si="3"/>
        <v>0.34110000000000001</v>
      </c>
      <c r="AA28" s="65">
        <f>AA27</f>
        <v>236427</v>
      </c>
      <c r="AB28" s="25">
        <v>4633969.2</v>
      </c>
      <c r="AC28" s="35">
        <f>AB28/AA28/7</f>
        <v>2.8</v>
      </c>
      <c r="AD28" s="50">
        <f>AC28/H28</f>
        <v>0.32829999999999998</v>
      </c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</row>
    <row r="29" spans="1:47" ht="51" x14ac:dyDescent="0.25">
      <c r="A29" s="49" t="s">
        <v>32</v>
      </c>
      <c r="B29" s="3" t="s">
        <v>98</v>
      </c>
      <c r="C29" s="9">
        <v>205001136</v>
      </c>
      <c r="D29" s="125"/>
      <c r="E29" s="8" t="s">
        <v>22</v>
      </c>
      <c r="F29" s="8">
        <f>3449.698*1000</f>
        <v>3449698</v>
      </c>
      <c r="G29" s="8">
        <v>8</v>
      </c>
      <c r="H29" s="60">
        <f>C29/F29/G29</f>
        <v>7.43</v>
      </c>
      <c r="I29" s="73"/>
      <c r="J29" s="9"/>
      <c r="K29" s="27"/>
      <c r="L29" s="25"/>
      <c r="M29" s="25"/>
      <c r="N29" s="25"/>
      <c r="O29" s="25"/>
      <c r="P29" s="25"/>
      <c r="Q29" s="34"/>
      <c r="R29" s="50"/>
      <c r="S29" s="83"/>
      <c r="T29" s="25"/>
      <c r="U29" s="25"/>
      <c r="V29" s="25"/>
      <c r="W29" s="25"/>
      <c r="X29" s="25"/>
      <c r="Y29" s="34"/>
      <c r="Z29" s="50"/>
      <c r="AA29" s="65"/>
      <c r="AB29" s="25"/>
      <c r="AC29" s="35"/>
      <c r="AD29" s="5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</row>
    <row r="30" spans="1:47" ht="89.25" x14ac:dyDescent="0.25">
      <c r="A30" s="49" t="s">
        <v>11</v>
      </c>
      <c r="B30" s="2" t="s">
        <v>95</v>
      </c>
      <c r="C30" s="8">
        <f>(47706795+3967312+609228)*1.2</f>
        <v>62740002</v>
      </c>
      <c r="D30" s="125">
        <f t="shared" si="1"/>
        <v>3.4200000000000001E-2</v>
      </c>
      <c r="E30" s="8" t="s">
        <v>22</v>
      </c>
      <c r="F30" s="8">
        <f>3449.698*1000</f>
        <v>3449698</v>
      </c>
      <c r="G30" s="8">
        <v>8</v>
      </c>
      <c r="H30" s="60">
        <f>C30/F30/G30</f>
        <v>2.27</v>
      </c>
      <c r="I30" s="74">
        <v>3271.44</v>
      </c>
      <c r="J30" s="8">
        <v>42986721.600000001</v>
      </c>
      <c r="K30" s="27">
        <v>3449.6979999999999</v>
      </c>
      <c r="L30" s="25">
        <v>14488731.6</v>
      </c>
      <c r="M30" s="25"/>
      <c r="N30" s="25"/>
      <c r="O30" s="25">
        <f>(I30+K30)/2*1000</f>
        <v>3360569</v>
      </c>
      <c r="P30" s="25">
        <f>J30+L30+N30</f>
        <v>57475453.200000003</v>
      </c>
      <c r="Q30" s="34">
        <f>P30/O30/8</f>
        <v>2.14</v>
      </c>
      <c r="R30" s="50">
        <f>Q30/H30</f>
        <v>0.94269999999999998</v>
      </c>
      <c r="S30" s="72">
        <v>3449.6979999999999</v>
      </c>
      <c r="T30" s="25">
        <v>68166032.480000004</v>
      </c>
      <c r="U30" s="25"/>
      <c r="V30" s="25"/>
      <c r="W30" s="25">
        <f>S30*1000</f>
        <v>3449698</v>
      </c>
      <c r="X30" s="25">
        <f>T30</f>
        <v>68166032.480000004</v>
      </c>
      <c r="Y30" s="34">
        <f>X30/W30/8</f>
        <v>2.4700000000000002</v>
      </c>
      <c r="Z30" s="50">
        <f>Y30/H30</f>
        <v>1.0881000000000001</v>
      </c>
      <c r="AA30" s="65">
        <f>3449.698*1000</f>
        <v>3449698</v>
      </c>
      <c r="AB30" s="25">
        <v>65682249.920000002</v>
      </c>
      <c r="AC30" s="35">
        <f>AB30/AA30/8</f>
        <v>2.38</v>
      </c>
      <c r="AD30" s="50">
        <f>AC30/H30</f>
        <v>1.0485</v>
      </c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</row>
    <row r="31" spans="1:47" ht="76.5" x14ac:dyDescent="0.25">
      <c r="A31" s="49" t="s">
        <v>12</v>
      </c>
      <c r="B31" s="2" t="s">
        <v>94</v>
      </c>
      <c r="C31" s="8">
        <f>118550945*1.2</f>
        <v>142261134</v>
      </c>
      <c r="D31" s="125">
        <f t="shared" si="1"/>
        <v>7.7499999999999999E-2</v>
      </c>
      <c r="E31" s="8" t="s">
        <v>22</v>
      </c>
      <c r="F31" s="8">
        <f>3449.698*1000</f>
        <v>3449698</v>
      </c>
      <c r="G31" s="8">
        <v>8</v>
      </c>
      <c r="H31" s="60">
        <f>C31/F31/G31</f>
        <v>5.15</v>
      </c>
      <c r="I31" s="74">
        <v>3271.44</v>
      </c>
      <c r="J31" s="8">
        <v>30097248</v>
      </c>
      <c r="K31" s="27">
        <v>3449.6979999999999</v>
      </c>
      <c r="L31" s="25"/>
      <c r="M31" s="25"/>
      <c r="N31" s="25"/>
      <c r="O31" s="25">
        <f>(I31+K31)/2*1000</f>
        <v>3360569</v>
      </c>
      <c r="P31" s="25">
        <f>J31+L31+N31</f>
        <v>30097248</v>
      </c>
      <c r="Q31" s="34">
        <f>P31/O31/8</f>
        <v>1.1200000000000001</v>
      </c>
      <c r="R31" s="50">
        <f>Q31/H31</f>
        <v>0.2175</v>
      </c>
      <c r="S31" s="72">
        <f>S30</f>
        <v>3449.6979999999999</v>
      </c>
      <c r="T31" s="25">
        <v>35876859.200000003</v>
      </c>
      <c r="U31" s="25"/>
      <c r="V31" s="25"/>
      <c r="W31" s="25">
        <f>S31*1000</f>
        <v>3449698</v>
      </c>
      <c r="X31" s="25">
        <f>T31</f>
        <v>35876859.200000003</v>
      </c>
      <c r="Y31" s="34">
        <f>X31/W31/8</f>
        <v>1.3</v>
      </c>
      <c r="Z31" s="50">
        <f>Y31/H31</f>
        <v>0.25240000000000001</v>
      </c>
      <c r="AA31" s="65">
        <f>AA30</f>
        <v>3449698</v>
      </c>
      <c r="AB31" s="25">
        <v>34772955.840000004</v>
      </c>
      <c r="AC31" s="35">
        <f>AB31/AA31/8</f>
        <v>1.26</v>
      </c>
      <c r="AD31" s="50">
        <f>AC31/H31</f>
        <v>0.2447</v>
      </c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</row>
    <row r="32" spans="1:47" ht="25.5" x14ac:dyDescent="0.25">
      <c r="A32" s="49" t="s">
        <v>33</v>
      </c>
      <c r="B32" s="3" t="s">
        <v>99</v>
      </c>
      <c r="C32" s="9">
        <f>C37+C42</f>
        <v>25385510.399999999</v>
      </c>
      <c r="D32" s="125">
        <f t="shared" si="1"/>
        <v>1.38E-2</v>
      </c>
      <c r="E32" s="8"/>
      <c r="F32" s="8"/>
      <c r="G32" s="8"/>
      <c r="H32" s="60">
        <f>AVERAGE(H38:H41,H43:H46)</f>
        <v>766.07</v>
      </c>
      <c r="I32" s="73"/>
      <c r="J32" s="9"/>
      <c r="K32" s="27"/>
      <c r="L32" s="25"/>
      <c r="M32" s="25"/>
      <c r="N32" s="25"/>
      <c r="O32" s="25"/>
      <c r="P32" s="25"/>
      <c r="Q32" s="34">
        <f>AVERAGE(Q34:Q36)</f>
        <v>98</v>
      </c>
      <c r="R32" s="50">
        <f>Q32/H32</f>
        <v>0.12790000000000001</v>
      </c>
      <c r="S32" s="83"/>
      <c r="T32" s="25"/>
      <c r="U32" s="25"/>
      <c r="V32" s="25"/>
      <c r="W32" s="25"/>
      <c r="X32" s="25"/>
      <c r="Y32" s="34">
        <f>AVERAGE(Y34,Y36,Y35)</f>
        <v>106.14</v>
      </c>
      <c r="Z32" s="50">
        <f>Y32/H32</f>
        <v>0.1386</v>
      </c>
      <c r="AA32" s="65"/>
      <c r="AB32" s="25"/>
      <c r="AC32" s="35">
        <f>AVERAGE(AC34:AC36)</f>
        <v>99.68</v>
      </c>
      <c r="AD32" s="50">
        <f>AC32/H32</f>
        <v>0.13009999999999999</v>
      </c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</row>
    <row r="33" spans="1:47" x14ac:dyDescent="0.25">
      <c r="A33" s="49" t="s">
        <v>76</v>
      </c>
      <c r="B33" s="3" t="s">
        <v>74</v>
      </c>
      <c r="C33" s="8"/>
      <c r="D33" s="125"/>
      <c r="E33" s="8"/>
      <c r="F33" s="8"/>
      <c r="G33" s="8"/>
      <c r="H33" s="60"/>
      <c r="I33" s="73"/>
      <c r="J33" s="9"/>
      <c r="K33" s="27"/>
      <c r="L33" s="25"/>
      <c r="M33" s="25"/>
      <c r="N33" s="25"/>
      <c r="O33" s="25"/>
      <c r="P33" s="25"/>
      <c r="Q33" s="34"/>
      <c r="R33" s="76"/>
      <c r="S33" s="83"/>
      <c r="T33" s="25"/>
      <c r="U33" s="25"/>
      <c r="V33" s="25"/>
      <c r="W33" s="25"/>
      <c r="X33" s="25"/>
      <c r="Y33" s="34"/>
      <c r="Z33" s="50"/>
      <c r="AA33" s="65"/>
      <c r="AB33" s="25"/>
      <c r="AC33" s="35"/>
      <c r="AD33" s="5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</row>
    <row r="34" spans="1:47" ht="25.5" x14ac:dyDescent="0.25">
      <c r="A34" s="51" t="s">
        <v>77</v>
      </c>
      <c r="B34" s="4" t="s">
        <v>75</v>
      </c>
      <c r="C34" s="32"/>
      <c r="D34" s="125"/>
      <c r="E34" s="32" t="s">
        <v>83</v>
      </c>
      <c r="F34" s="32"/>
      <c r="G34" s="32"/>
      <c r="H34" s="89"/>
      <c r="I34" s="77">
        <v>2.4900000000000002</v>
      </c>
      <c r="J34" s="32">
        <v>1682617.5</v>
      </c>
      <c r="K34" s="31">
        <v>2.62</v>
      </c>
      <c r="L34" s="31">
        <v>566272.43999999994</v>
      </c>
      <c r="M34" s="27">
        <v>0.17199999999999999</v>
      </c>
      <c r="N34" s="25">
        <v>159158.48000000001</v>
      </c>
      <c r="O34" s="25">
        <f>((I34+K34)/2+M34)*1000</f>
        <v>2727</v>
      </c>
      <c r="P34" s="25">
        <f>J34+L34+N34</f>
        <v>2408048.42</v>
      </c>
      <c r="Q34" s="34">
        <f>P34/O34/12</f>
        <v>73.59</v>
      </c>
      <c r="R34" s="76"/>
      <c r="S34" s="83">
        <f>(2.623+2.795)/2</f>
        <v>2.71</v>
      </c>
      <c r="T34" s="25">
        <v>2713005.75</v>
      </c>
      <c r="U34" s="25">
        <v>0.13</v>
      </c>
      <c r="V34" s="25">
        <v>119808</v>
      </c>
      <c r="W34" s="25">
        <f>(S34+U34)*1000</f>
        <v>2840</v>
      </c>
      <c r="X34" s="25">
        <f>T34+V34</f>
        <v>2832813.75</v>
      </c>
      <c r="Y34" s="34">
        <f>X34/W34/12</f>
        <v>83.12</v>
      </c>
      <c r="Z34" s="50"/>
      <c r="AA34" s="65">
        <f>233*12</f>
        <v>2796</v>
      </c>
      <c r="AB34" s="25">
        <v>2742702.16</v>
      </c>
      <c r="AC34" s="35">
        <f>AB34/AA34/12</f>
        <v>81.739999999999995</v>
      </c>
      <c r="AD34" s="5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</row>
    <row r="35" spans="1:47" ht="25.5" x14ac:dyDescent="0.25">
      <c r="A35" s="51" t="s">
        <v>78</v>
      </c>
      <c r="B35" s="4" t="s">
        <v>80</v>
      </c>
      <c r="C35" s="32"/>
      <c r="D35" s="125"/>
      <c r="E35" s="32" t="s">
        <v>83</v>
      </c>
      <c r="F35" s="32"/>
      <c r="G35" s="32"/>
      <c r="H35" s="89"/>
      <c r="I35" s="77">
        <v>0.28000000000000003</v>
      </c>
      <c r="J35" s="32">
        <v>435453.93</v>
      </c>
      <c r="K35" s="31">
        <v>0.26</v>
      </c>
      <c r="L35" s="31">
        <v>125541.99</v>
      </c>
      <c r="M35" s="27">
        <v>6.0000000000000001E-3</v>
      </c>
      <c r="N35" s="25">
        <v>81561.36</v>
      </c>
      <c r="O35" s="25">
        <f t="shared" ref="O35" si="5">((I35+K35)/2+M35)*1000</f>
        <v>276</v>
      </c>
      <c r="P35" s="25">
        <f>J35+L35+N35</f>
        <v>642557.28</v>
      </c>
      <c r="Q35" s="34">
        <f>P35/O35/12</f>
        <v>194.01</v>
      </c>
      <c r="R35" s="76"/>
      <c r="S35" s="72">
        <v>0.255</v>
      </c>
      <c r="T35" s="25">
        <v>582943.86</v>
      </c>
      <c r="U35" s="25">
        <v>0.01</v>
      </c>
      <c r="V35" s="25">
        <v>70686.5</v>
      </c>
      <c r="W35" s="25">
        <f>(S35+U35)*1000</f>
        <v>265</v>
      </c>
      <c r="X35" s="25">
        <f>T35+V35</f>
        <v>653630.36</v>
      </c>
      <c r="Y35" s="34">
        <f t="shared" ref="Y35:Y36" si="6">X35/W35/12</f>
        <v>205.54</v>
      </c>
      <c r="Z35" s="50"/>
      <c r="AA35" s="65">
        <f>22*12</f>
        <v>264</v>
      </c>
      <c r="AB35" s="25">
        <v>596423.52</v>
      </c>
      <c r="AC35" s="35">
        <f t="shared" ref="AC35:AC36" si="7">AB35/AA35/12</f>
        <v>188.27</v>
      </c>
      <c r="AD35" s="5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</row>
    <row r="36" spans="1:47" ht="25.5" x14ac:dyDescent="0.25">
      <c r="A36" s="51" t="s">
        <v>79</v>
      </c>
      <c r="B36" s="4" t="s">
        <v>81</v>
      </c>
      <c r="C36" s="32"/>
      <c r="D36" s="125"/>
      <c r="E36" s="32" t="s">
        <v>82</v>
      </c>
      <c r="F36" s="32"/>
      <c r="G36" s="32"/>
      <c r="H36" s="89"/>
      <c r="I36" s="77">
        <v>130</v>
      </c>
      <c r="J36" s="32">
        <v>31187.34</v>
      </c>
      <c r="K36" s="31">
        <v>130</v>
      </c>
      <c r="L36" s="31">
        <v>9987.42</v>
      </c>
      <c r="M36" s="25"/>
      <c r="N36" s="25"/>
      <c r="O36" s="25">
        <f>(I36+K36)/2</f>
        <v>130</v>
      </c>
      <c r="P36" s="25">
        <f>J36+L36+N36</f>
        <v>41174.76</v>
      </c>
      <c r="Q36" s="34">
        <f>P36/O36/12</f>
        <v>26.39</v>
      </c>
      <c r="R36" s="76"/>
      <c r="S36" s="83">
        <v>130</v>
      </c>
      <c r="T36" s="25">
        <v>46405.41</v>
      </c>
      <c r="U36" s="25"/>
      <c r="V36" s="25"/>
      <c r="W36" s="25">
        <f>S36</f>
        <v>130</v>
      </c>
      <c r="X36" s="25">
        <f>T36</f>
        <v>46405.41</v>
      </c>
      <c r="Y36" s="34">
        <f t="shared" si="6"/>
        <v>29.75</v>
      </c>
      <c r="Z36" s="50"/>
      <c r="AA36" s="65">
        <f>11*12</f>
        <v>132</v>
      </c>
      <c r="AB36" s="25">
        <v>46002</v>
      </c>
      <c r="AC36" s="35">
        <f t="shared" si="7"/>
        <v>29.04</v>
      </c>
      <c r="AD36" s="5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</row>
    <row r="37" spans="1:47" x14ac:dyDescent="0.25">
      <c r="A37" s="49" t="s">
        <v>34</v>
      </c>
      <c r="B37" s="3" t="s">
        <v>15</v>
      </c>
      <c r="C37" s="9">
        <v>12180010.800000001</v>
      </c>
      <c r="D37" s="125"/>
      <c r="E37" s="8"/>
      <c r="F37" s="8"/>
      <c r="G37" s="8"/>
      <c r="H37" s="60"/>
      <c r="I37" s="73"/>
      <c r="J37" s="9"/>
      <c r="K37" s="27"/>
      <c r="L37" s="25"/>
      <c r="M37" s="25"/>
      <c r="N37" s="25"/>
      <c r="O37" s="25"/>
      <c r="P37" s="25"/>
      <c r="Q37" s="34"/>
      <c r="R37" s="76"/>
      <c r="S37" s="83"/>
      <c r="T37" s="25"/>
      <c r="U37" s="25"/>
      <c r="V37" s="25"/>
      <c r="W37" s="25"/>
      <c r="X37" s="25"/>
      <c r="Y37" s="34"/>
      <c r="Z37" s="50"/>
      <c r="AA37" s="65"/>
      <c r="AB37" s="25"/>
      <c r="AC37" s="35"/>
      <c r="AD37" s="5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</row>
    <row r="38" spans="1:47" ht="38.25" x14ac:dyDescent="0.25">
      <c r="A38" s="49" t="s">
        <v>35</v>
      </c>
      <c r="B38" s="4" t="s">
        <v>52</v>
      </c>
      <c r="C38" s="8">
        <f>108291*1.2</f>
        <v>129949.2</v>
      </c>
      <c r="D38" s="125"/>
      <c r="E38" s="8" t="s">
        <v>42</v>
      </c>
      <c r="F38" s="8">
        <v>700</v>
      </c>
      <c r="G38" s="8">
        <v>5</v>
      </c>
      <c r="H38" s="60">
        <f>C38/F38/G38</f>
        <v>37.130000000000003</v>
      </c>
      <c r="I38" s="73"/>
      <c r="J38" s="9"/>
      <c r="K38" s="30"/>
      <c r="L38" s="25"/>
      <c r="M38" s="25"/>
      <c r="N38" s="25"/>
      <c r="O38" s="25"/>
      <c r="P38" s="25"/>
      <c r="Q38" s="34"/>
      <c r="R38" s="76"/>
      <c r="S38" s="83"/>
      <c r="T38" s="25"/>
      <c r="U38" s="25"/>
      <c r="V38" s="25"/>
      <c r="W38" s="25"/>
      <c r="X38" s="25"/>
      <c r="Y38" s="34"/>
      <c r="Z38" s="50"/>
      <c r="AA38" s="65"/>
      <c r="AB38" s="25"/>
      <c r="AC38" s="35"/>
      <c r="AD38" s="5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</row>
    <row r="39" spans="1:47" ht="25.5" x14ac:dyDescent="0.25">
      <c r="A39" s="49" t="s">
        <v>36</v>
      </c>
      <c r="B39" s="2" t="s">
        <v>53</v>
      </c>
      <c r="C39" s="8">
        <f>9465530*1.2</f>
        <v>11358636</v>
      </c>
      <c r="D39" s="125"/>
      <c r="E39" s="8" t="s">
        <v>37</v>
      </c>
      <c r="F39" s="8">
        <v>2795</v>
      </c>
      <c r="G39" s="8">
        <v>5</v>
      </c>
      <c r="H39" s="60">
        <f>C39/F39/G39</f>
        <v>812.78</v>
      </c>
      <c r="I39" s="73"/>
      <c r="J39" s="9"/>
      <c r="K39" s="30"/>
      <c r="L39" s="30"/>
      <c r="M39" s="25"/>
      <c r="N39" s="25"/>
      <c r="O39" s="25"/>
      <c r="P39" s="25"/>
      <c r="Q39" s="34"/>
      <c r="R39" s="76"/>
      <c r="S39" s="83"/>
      <c r="T39" s="25"/>
      <c r="U39" s="25"/>
      <c r="V39" s="25"/>
      <c r="W39" s="25"/>
      <c r="X39" s="25"/>
      <c r="Y39" s="34"/>
      <c r="Z39" s="50"/>
      <c r="AA39" s="65"/>
      <c r="AB39" s="25"/>
      <c r="AC39" s="35"/>
      <c r="AD39" s="5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</row>
    <row r="40" spans="1:47" ht="51" x14ac:dyDescent="0.25">
      <c r="A40" s="49" t="s">
        <v>38</v>
      </c>
      <c r="B40" s="2" t="s">
        <v>54</v>
      </c>
      <c r="C40" s="8">
        <v>353638.8</v>
      </c>
      <c r="D40" s="125"/>
      <c r="E40" s="8" t="s">
        <v>37</v>
      </c>
      <c r="F40" s="8">
        <v>28</v>
      </c>
      <c r="G40" s="8">
        <v>5</v>
      </c>
      <c r="H40" s="60">
        <f>C40/F40/G40</f>
        <v>2525.9899999999998</v>
      </c>
      <c r="I40" s="73"/>
      <c r="J40" s="9"/>
      <c r="K40" s="30"/>
      <c r="L40" s="30"/>
      <c r="M40" s="25"/>
      <c r="N40" s="25"/>
      <c r="O40" s="25"/>
      <c r="P40" s="25"/>
      <c r="Q40" s="34"/>
      <c r="R40" s="76"/>
      <c r="S40" s="83"/>
      <c r="T40" s="25"/>
      <c r="U40" s="25"/>
      <c r="V40" s="25"/>
      <c r="W40" s="25"/>
      <c r="X40" s="25"/>
      <c r="Y40" s="34"/>
      <c r="Z40" s="50"/>
      <c r="AA40" s="65"/>
      <c r="AB40" s="25"/>
      <c r="AC40" s="35"/>
      <c r="AD40" s="5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</row>
    <row r="41" spans="1:47" ht="25.5" x14ac:dyDescent="0.25">
      <c r="A41" s="49" t="s">
        <v>39</v>
      </c>
      <c r="B41" s="2" t="s">
        <v>40</v>
      </c>
      <c r="C41" s="8">
        <v>337786.8</v>
      </c>
      <c r="D41" s="125"/>
      <c r="E41" s="8" t="s">
        <v>22</v>
      </c>
      <c r="F41" s="8">
        <v>335.4</v>
      </c>
      <c r="G41" s="8">
        <v>5</v>
      </c>
      <c r="H41" s="60">
        <f>C41/F41/G41</f>
        <v>201.42</v>
      </c>
      <c r="I41" s="73"/>
      <c r="J41" s="9"/>
      <c r="K41" s="30"/>
      <c r="L41" s="30"/>
      <c r="M41" s="25"/>
      <c r="N41" s="25"/>
      <c r="O41" s="25"/>
      <c r="P41" s="25"/>
      <c r="Q41" s="34"/>
      <c r="R41" s="76"/>
      <c r="S41" s="83"/>
      <c r="T41" s="25"/>
      <c r="U41" s="25"/>
      <c r="V41" s="25"/>
      <c r="W41" s="25"/>
      <c r="X41" s="25"/>
      <c r="Y41" s="34"/>
      <c r="Z41" s="50"/>
      <c r="AA41" s="65"/>
      <c r="AB41" s="25"/>
      <c r="AC41" s="35"/>
      <c r="AD41" s="5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</row>
    <row r="42" spans="1:47" x14ac:dyDescent="0.25">
      <c r="A42" s="49" t="s">
        <v>41</v>
      </c>
      <c r="B42" s="3" t="s">
        <v>23</v>
      </c>
      <c r="C42" s="9">
        <v>13205499.6</v>
      </c>
      <c r="D42" s="125"/>
      <c r="E42" s="8"/>
      <c r="F42" s="8"/>
      <c r="G42" s="8"/>
      <c r="H42" s="60"/>
      <c r="I42" s="73"/>
      <c r="J42" s="9"/>
      <c r="K42" s="27"/>
      <c r="L42" s="25"/>
      <c r="M42" s="25"/>
      <c r="N42" s="25"/>
      <c r="O42" s="25"/>
      <c r="P42" s="25"/>
      <c r="Q42" s="34"/>
      <c r="R42" s="76"/>
      <c r="S42" s="83"/>
      <c r="T42" s="25"/>
      <c r="U42" s="25"/>
      <c r="V42" s="25"/>
      <c r="W42" s="25"/>
      <c r="X42" s="25"/>
      <c r="Y42" s="34"/>
      <c r="Z42" s="50"/>
      <c r="AA42" s="65"/>
      <c r="AB42" s="25"/>
      <c r="AC42" s="35"/>
      <c r="AD42" s="5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</row>
    <row r="43" spans="1:47" ht="51" x14ac:dyDescent="0.25">
      <c r="A43" s="49" t="s">
        <v>35</v>
      </c>
      <c r="B43" s="2" t="s">
        <v>55</v>
      </c>
      <c r="C43" s="8">
        <f>91967*1.2</f>
        <v>110360.4</v>
      </c>
      <c r="D43" s="125"/>
      <c r="E43" s="8" t="s">
        <v>42</v>
      </c>
      <c r="F43" s="8">
        <v>700</v>
      </c>
      <c r="G43" s="8">
        <v>7</v>
      </c>
      <c r="H43" s="60">
        <f>C43/F43/G43</f>
        <v>22.52</v>
      </c>
      <c r="I43" s="73"/>
      <c r="J43" s="9"/>
      <c r="K43" s="27"/>
      <c r="L43" s="25"/>
      <c r="M43" s="25"/>
      <c r="N43" s="25"/>
      <c r="O43" s="25"/>
      <c r="P43" s="25"/>
      <c r="Q43" s="34"/>
      <c r="R43" s="76"/>
      <c r="S43" s="83"/>
      <c r="T43" s="25"/>
      <c r="U43" s="25"/>
      <c r="V43" s="25"/>
      <c r="W43" s="25"/>
      <c r="X43" s="25"/>
      <c r="Y43" s="34"/>
      <c r="Z43" s="50"/>
      <c r="AA43" s="65"/>
      <c r="AB43" s="25"/>
      <c r="AC43" s="35"/>
      <c r="AD43" s="5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</row>
    <row r="44" spans="1:47" ht="25.5" x14ac:dyDescent="0.25">
      <c r="A44" s="49" t="s">
        <v>36</v>
      </c>
      <c r="B44" s="2" t="s">
        <v>53</v>
      </c>
      <c r="C44" s="8">
        <f>9465530*1.2</f>
        <v>11358636</v>
      </c>
      <c r="D44" s="125"/>
      <c r="E44" s="8" t="s">
        <v>37</v>
      </c>
      <c r="F44" s="8">
        <v>2795</v>
      </c>
      <c r="G44" s="8">
        <v>7</v>
      </c>
      <c r="H44" s="60">
        <f>C44/F44/G44</f>
        <v>580.55999999999995</v>
      </c>
      <c r="I44" s="73"/>
      <c r="J44" s="9"/>
      <c r="K44" s="27"/>
      <c r="L44" s="25"/>
      <c r="M44" s="25"/>
      <c r="N44" s="25"/>
      <c r="O44" s="25"/>
      <c r="P44" s="25"/>
      <c r="Q44" s="34"/>
      <c r="R44" s="76"/>
      <c r="S44" s="83"/>
      <c r="T44" s="25"/>
      <c r="U44" s="25"/>
      <c r="V44" s="25"/>
      <c r="W44" s="25"/>
      <c r="X44" s="25"/>
      <c r="Y44" s="34"/>
      <c r="Z44" s="50"/>
      <c r="AA44" s="65"/>
      <c r="AB44" s="25"/>
      <c r="AC44" s="35"/>
      <c r="AD44" s="5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</row>
    <row r="45" spans="1:47" ht="51" x14ac:dyDescent="0.25">
      <c r="A45" s="49" t="s">
        <v>38</v>
      </c>
      <c r="B45" s="2" t="s">
        <v>54</v>
      </c>
      <c r="C45" s="8">
        <f>884106*1.2</f>
        <v>1060927.2</v>
      </c>
      <c r="D45" s="125"/>
      <c r="E45" s="8" t="s">
        <v>37</v>
      </c>
      <c r="F45" s="8">
        <v>84</v>
      </c>
      <c r="G45" s="8">
        <v>7</v>
      </c>
      <c r="H45" s="60">
        <f>C45/F45/G45</f>
        <v>1804.3</v>
      </c>
      <c r="I45" s="73"/>
      <c r="J45" s="9"/>
      <c r="K45" s="27"/>
      <c r="L45" s="25"/>
      <c r="M45" s="25"/>
      <c r="N45" s="25"/>
      <c r="O45" s="25"/>
      <c r="P45" s="25"/>
      <c r="Q45" s="34"/>
      <c r="R45" s="76"/>
      <c r="S45" s="83"/>
      <c r="T45" s="25"/>
      <c r="U45" s="25"/>
      <c r="V45" s="25"/>
      <c r="W45" s="25"/>
      <c r="X45" s="25"/>
      <c r="Y45" s="34"/>
      <c r="Z45" s="50"/>
      <c r="AA45" s="65"/>
      <c r="AB45" s="25"/>
      <c r="AC45" s="35"/>
      <c r="AD45" s="5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</row>
    <row r="46" spans="1:47" ht="25.5" x14ac:dyDescent="0.25">
      <c r="A46" s="49" t="s">
        <v>39</v>
      </c>
      <c r="B46" s="2" t="s">
        <v>40</v>
      </c>
      <c r="C46" s="8">
        <f>562980*1.2</f>
        <v>675576</v>
      </c>
      <c r="D46" s="125"/>
      <c r="E46" s="8" t="s">
        <v>22</v>
      </c>
      <c r="F46" s="8">
        <v>670.8</v>
      </c>
      <c r="G46" s="8">
        <v>7</v>
      </c>
      <c r="H46" s="60">
        <f>C46/F46/G46</f>
        <v>143.87</v>
      </c>
      <c r="I46" s="73"/>
      <c r="J46" s="9"/>
      <c r="K46" s="27"/>
      <c r="L46" s="25"/>
      <c r="M46" s="25"/>
      <c r="N46" s="25"/>
      <c r="O46" s="25"/>
      <c r="P46" s="25"/>
      <c r="Q46" s="34"/>
      <c r="R46" s="76"/>
      <c r="S46" s="83"/>
      <c r="T46" s="25"/>
      <c r="U46" s="25"/>
      <c r="V46" s="25"/>
      <c r="W46" s="25"/>
      <c r="X46" s="25"/>
      <c r="Y46" s="34"/>
      <c r="Z46" s="50"/>
      <c r="AA46" s="65"/>
      <c r="AB46" s="25"/>
      <c r="AC46" s="35"/>
      <c r="AD46" s="5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</row>
    <row r="47" spans="1:47" x14ac:dyDescent="0.25">
      <c r="A47" s="49" t="s">
        <v>43</v>
      </c>
      <c r="B47" s="3" t="s">
        <v>100</v>
      </c>
      <c r="C47" s="9">
        <f>C48</f>
        <v>1446267.6</v>
      </c>
      <c r="D47" s="125"/>
      <c r="E47" s="8"/>
      <c r="F47" s="8"/>
      <c r="G47" s="8"/>
      <c r="H47" s="60"/>
      <c r="I47" s="73"/>
      <c r="J47" s="9"/>
      <c r="K47" s="27"/>
      <c r="L47" s="25"/>
      <c r="M47" s="25"/>
      <c r="N47" s="25"/>
      <c r="O47" s="25"/>
      <c r="P47" s="25"/>
      <c r="Q47" s="34"/>
      <c r="R47" s="76"/>
      <c r="S47" s="83"/>
      <c r="T47" s="25"/>
      <c r="U47" s="25"/>
      <c r="V47" s="25"/>
      <c r="W47" s="25"/>
      <c r="X47" s="25"/>
      <c r="Y47" s="34"/>
      <c r="Z47" s="50"/>
      <c r="AA47" s="65"/>
      <c r="AB47" s="25"/>
      <c r="AC47" s="35"/>
      <c r="AD47" s="5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</row>
    <row r="48" spans="1:47" x14ac:dyDescent="0.25">
      <c r="A48" s="49" t="s">
        <v>45</v>
      </c>
      <c r="B48" s="2" t="s">
        <v>44</v>
      </c>
      <c r="C48" s="8">
        <v>1446267.6</v>
      </c>
      <c r="D48" s="125">
        <f t="shared" si="1"/>
        <v>8.0000000000000004E-4</v>
      </c>
      <c r="E48" s="8" t="s">
        <v>22</v>
      </c>
      <c r="F48" s="11">
        <v>7080</v>
      </c>
      <c r="G48" s="8">
        <v>7</v>
      </c>
      <c r="H48" s="60">
        <f>C48/F48/G48</f>
        <v>29.18</v>
      </c>
      <c r="I48" s="74">
        <v>5.89</v>
      </c>
      <c r="J48" s="8">
        <v>412064.4</v>
      </c>
      <c r="K48" s="27">
        <v>5.8879999999999999</v>
      </c>
      <c r="L48" s="25">
        <v>66004.479999999996</v>
      </c>
      <c r="M48" s="25"/>
      <c r="N48" s="25"/>
      <c r="O48" s="25">
        <f>((I48+K48)/2)*1000</f>
        <v>5889</v>
      </c>
      <c r="P48" s="25">
        <f>J48+L48+N48</f>
        <v>478068.88</v>
      </c>
      <c r="Q48" s="34">
        <f>P48/O48/7</f>
        <v>11.6</v>
      </c>
      <c r="R48" s="50">
        <f>Q48/H48</f>
        <v>0.39750000000000002</v>
      </c>
      <c r="S48" s="72">
        <v>5.8879999999999999</v>
      </c>
      <c r="T48" s="25">
        <v>542814.71999999997</v>
      </c>
      <c r="U48" s="25"/>
      <c r="V48" s="25"/>
      <c r="W48" s="25">
        <f>S48*1000</f>
        <v>5888</v>
      </c>
      <c r="X48" s="25">
        <f>T48</f>
        <v>542814.71999999997</v>
      </c>
      <c r="Y48" s="34">
        <f>X48/W48/7</f>
        <v>13.17</v>
      </c>
      <c r="Z48" s="50">
        <f>Y48/H48</f>
        <v>0.45129999999999998</v>
      </c>
      <c r="AA48" s="65">
        <f>5.888*1000</f>
        <v>5888</v>
      </c>
      <c r="AB48" s="25">
        <v>523855.35999999999</v>
      </c>
      <c r="AC48" s="35">
        <f>AB48/AA48/7</f>
        <v>12.71</v>
      </c>
      <c r="AD48" s="50">
        <f>AC48/H48</f>
        <v>0.43559999999999999</v>
      </c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</row>
    <row r="49" spans="1:47" ht="25.5" x14ac:dyDescent="0.25">
      <c r="A49" s="49" t="s">
        <v>46</v>
      </c>
      <c r="B49" s="3" t="s">
        <v>101</v>
      </c>
      <c r="C49" s="9">
        <f>C50+C51</f>
        <v>12458498.4</v>
      </c>
      <c r="D49" s="125"/>
      <c r="E49" s="8"/>
      <c r="F49" s="8"/>
      <c r="G49" s="8"/>
      <c r="H49" s="60"/>
      <c r="I49" s="73"/>
      <c r="J49" s="9"/>
      <c r="K49" s="27"/>
      <c r="L49" s="25"/>
      <c r="M49" s="25"/>
      <c r="N49" s="25"/>
      <c r="O49" s="25"/>
      <c r="P49" s="25"/>
      <c r="Q49" s="34"/>
      <c r="R49" s="50"/>
      <c r="S49" s="83"/>
      <c r="T49" s="25"/>
      <c r="U49" s="25"/>
      <c r="V49" s="25"/>
      <c r="W49" s="25"/>
      <c r="X49" s="25"/>
      <c r="Y49" s="34"/>
      <c r="Z49" s="50"/>
      <c r="AA49" s="65"/>
      <c r="AB49" s="25"/>
      <c r="AC49" s="35"/>
      <c r="AD49" s="5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</row>
    <row r="50" spans="1:47" ht="25.5" x14ac:dyDescent="0.25">
      <c r="A50" s="49" t="s">
        <v>47</v>
      </c>
      <c r="B50" s="2" t="s">
        <v>15</v>
      </c>
      <c r="C50" s="8">
        <v>8978228.4000000004</v>
      </c>
      <c r="D50" s="125">
        <f t="shared" si="1"/>
        <v>4.8999999999999998E-3</v>
      </c>
      <c r="E50" s="8" t="s">
        <v>42</v>
      </c>
      <c r="F50" s="8">
        <v>14328</v>
      </c>
      <c r="G50" s="8">
        <v>5</v>
      </c>
      <c r="H50" s="60">
        <f>C50/F50/G50</f>
        <v>125.32</v>
      </c>
      <c r="I50" s="74">
        <v>14.33</v>
      </c>
      <c r="J50" s="8">
        <v>15906.3</v>
      </c>
      <c r="K50" s="27">
        <v>6.01</v>
      </c>
      <c r="L50" s="25">
        <v>46709.279999999999</v>
      </c>
      <c r="M50" s="25"/>
      <c r="N50" s="25"/>
      <c r="O50" s="25">
        <f>((I50+K50)/2)*1000</f>
        <v>10170</v>
      </c>
      <c r="P50" s="25">
        <f>J50+L50+N50</f>
        <v>62615.58</v>
      </c>
      <c r="Q50" s="34">
        <f>P50/O50/5</f>
        <v>1.23</v>
      </c>
      <c r="R50" s="50">
        <f>Q50/H50</f>
        <v>9.7999999999999997E-3</v>
      </c>
      <c r="S50" s="72">
        <v>14.327999999999999</v>
      </c>
      <c r="T50" s="25">
        <v>137548.79999999999</v>
      </c>
      <c r="U50" s="25"/>
      <c r="V50" s="25"/>
      <c r="W50" s="25">
        <f>S50*1000</f>
        <v>14328</v>
      </c>
      <c r="X50" s="25">
        <f>T50</f>
        <v>137548.79999999999</v>
      </c>
      <c r="Y50" s="34">
        <f>X50/W50/5</f>
        <v>1.92</v>
      </c>
      <c r="Z50" s="50">
        <f t="shared" ref="Z50:Z54" si="8">Y50/H50</f>
        <v>1.5299999999999999E-2</v>
      </c>
      <c r="AA50" s="65">
        <f>14.328*1000</f>
        <v>14328</v>
      </c>
      <c r="AB50" s="25">
        <v>132534</v>
      </c>
      <c r="AC50" s="35">
        <f>AB50/AA50/5</f>
        <v>1.85</v>
      </c>
      <c r="AD50" s="50">
        <f t="shared" ref="AD50:AD54" si="9">AC50/H50</f>
        <v>1.4800000000000001E-2</v>
      </c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</row>
    <row r="51" spans="1:47" ht="25.5" x14ac:dyDescent="0.25">
      <c r="A51" s="49" t="s">
        <v>48</v>
      </c>
      <c r="B51" s="2" t="s">
        <v>23</v>
      </c>
      <c r="C51" s="8">
        <v>3480270</v>
      </c>
      <c r="D51" s="125">
        <f t="shared" si="1"/>
        <v>1.9E-3</v>
      </c>
      <c r="E51" s="8" t="s">
        <v>42</v>
      </c>
      <c r="F51" s="8">
        <v>14328</v>
      </c>
      <c r="G51" s="8">
        <v>7</v>
      </c>
      <c r="H51" s="60">
        <f>C51/F51/G51</f>
        <v>34.700000000000003</v>
      </c>
      <c r="I51" s="74">
        <v>14.33</v>
      </c>
      <c r="J51" s="8">
        <v>1664572.8</v>
      </c>
      <c r="K51" s="27">
        <v>69.19</v>
      </c>
      <c r="L51" s="25">
        <v>269796.24</v>
      </c>
      <c r="M51" s="25"/>
      <c r="N51" s="25"/>
      <c r="O51" s="25">
        <f>((I51+K51)/2)*1000</f>
        <v>41760</v>
      </c>
      <c r="P51" s="25">
        <f>J51+L51+N51</f>
        <v>1934369.04</v>
      </c>
      <c r="Q51" s="34">
        <f>P51/O51/7</f>
        <v>6.62</v>
      </c>
      <c r="R51" s="50">
        <f>Q51/H51</f>
        <v>0.1908</v>
      </c>
      <c r="S51" s="72">
        <f>S50</f>
        <v>14.327999999999999</v>
      </c>
      <c r="T51" s="25">
        <v>2218547.42</v>
      </c>
      <c r="U51" s="25"/>
      <c r="V51" s="25"/>
      <c r="W51" s="25">
        <f>S51*1000</f>
        <v>14328</v>
      </c>
      <c r="X51" s="25">
        <f>T51</f>
        <v>2218547.42</v>
      </c>
      <c r="Y51" s="34">
        <f t="shared" ref="Y51:Y54" si="10">X51/W51/7</f>
        <v>22.12</v>
      </c>
      <c r="Z51" s="50">
        <f t="shared" si="8"/>
        <v>0.63749999999999996</v>
      </c>
      <c r="AA51" s="65">
        <f>AA50</f>
        <v>14328</v>
      </c>
      <c r="AB51" s="25">
        <v>2140316.64</v>
      </c>
      <c r="AC51" s="35">
        <f t="shared" ref="AC51:AC54" si="11">AB51/AA51/7</f>
        <v>21.34</v>
      </c>
      <c r="AD51" s="50">
        <f t="shared" si="9"/>
        <v>0.61499999999999999</v>
      </c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</row>
    <row r="52" spans="1:47" s="16" customFormat="1" ht="25.5" x14ac:dyDescent="0.25">
      <c r="A52" s="52" t="s">
        <v>49</v>
      </c>
      <c r="B52" s="12" t="s">
        <v>102</v>
      </c>
      <c r="C52" s="14">
        <f>C53+C54</f>
        <v>20795612.399999999</v>
      </c>
      <c r="D52" s="125"/>
      <c r="E52" s="13"/>
      <c r="F52" s="13"/>
      <c r="G52" s="13"/>
      <c r="H52" s="90"/>
      <c r="I52" s="78"/>
      <c r="J52" s="14"/>
      <c r="K52" s="28"/>
      <c r="L52" s="29"/>
      <c r="M52" s="29"/>
      <c r="N52" s="29"/>
      <c r="O52" s="25"/>
      <c r="P52" s="25"/>
      <c r="Q52" s="34"/>
      <c r="R52" s="50"/>
      <c r="S52" s="84"/>
      <c r="T52" s="29"/>
      <c r="U52" s="29"/>
      <c r="V52" s="29"/>
      <c r="W52" s="25"/>
      <c r="X52" s="25"/>
      <c r="Y52" s="34"/>
      <c r="Z52" s="50"/>
      <c r="AA52" s="66"/>
      <c r="AB52" s="29"/>
      <c r="AC52" s="35"/>
      <c r="AD52" s="50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16" customFormat="1" x14ac:dyDescent="0.25">
      <c r="A53" s="52" t="s">
        <v>50</v>
      </c>
      <c r="B53" s="17" t="s">
        <v>15</v>
      </c>
      <c r="C53" s="13">
        <v>9793761.5999999996</v>
      </c>
      <c r="D53" s="125">
        <f t="shared" si="1"/>
        <v>5.3E-3</v>
      </c>
      <c r="E53" s="13" t="s">
        <v>22</v>
      </c>
      <c r="F53" s="13">
        <f>1378+770</f>
        <v>2148</v>
      </c>
      <c r="G53" s="13">
        <v>5</v>
      </c>
      <c r="H53" s="90">
        <f>C53/F53/G53</f>
        <v>911.9</v>
      </c>
      <c r="I53" s="79">
        <v>1.95</v>
      </c>
      <c r="J53" s="13">
        <v>400725</v>
      </c>
      <c r="K53" s="28">
        <v>2.1480000000000001</v>
      </c>
      <c r="L53" s="29">
        <v>360477.36</v>
      </c>
      <c r="M53" s="29"/>
      <c r="N53" s="29"/>
      <c r="O53" s="25">
        <f>((I53+K53)/2)*1000</f>
        <v>2049</v>
      </c>
      <c r="P53" s="25">
        <f>J53+L53+N53</f>
        <v>761202.36</v>
      </c>
      <c r="Q53" s="34">
        <f>P53/O53/5</f>
        <v>74.3</v>
      </c>
      <c r="R53" s="50">
        <f>Q53/H53</f>
        <v>8.1500000000000003E-2</v>
      </c>
      <c r="S53" s="85">
        <v>2.1480000000000001</v>
      </c>
      <c r="T53" s="29">
        <v>462679.2</v>
      </c>
      <c r="U53" s="29"/>
      <c r="V53" s="29"/>
      <c r="W53" s="25">
        <f>S53*1000</f>
        <v>2148</v>
      </c>
      <c r="X53" s="25">
        <f>T53</f>
        <v>462679.2</v>
      </c>
      <c r="Y53" s="34">
        <f>X53/W53/5</f>
        <v>43.08</v>
      </c>
      <c r="Z53" s="50">
        <f t="shared" si="8"/>
        <v>4.7199999999999999E-2</v>
      </c>
      <c r="AA53" s="66">
        <f>2.148*1000</f>
        <v>2148</v>
      </c>
      <c r="AB53" s="29">
        <v>523682.4</v>
      </c>
      <c r="AC53" s="35">
        <f>AB53/AA53/5</f>
        <v>48.76</v>
      </c>
      <c r="AD53" s="50">
        <f t="shared" si="9"/>
        <v>5.3499999999999999E-2</v>
      </c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16" customFormat="1" x14ac:dyDescent="0.25">
      <c r="A54" s="52" t="s">
        <v>51</v>
      </c>
      <c r="B54" s="17" t="s">
        <v>23</v>
      </c>
      <c r="C54" s="13">
        <v>11001850.800000001</v>
      </c>
      <c r="D54" s="125">
        <f t="shared" si="1"/>
        <v>6.0000000000000001E-3</v>
      </c>
      <c r="E54" s="13" t="s">
        <v>22</v>
      </c>
      <c r="F54" s="13">
        <f>1378+770</f>
        <v>2148</v>
      </c>
      <c r="G54" s="13">
        <v>7</v>
      </c>
      <c r="H54" s="90">
        <f>C54/F54/G54</f>
        <v>731.7</v>
      </c>
      <c r="I54" s="79">
        <v>1.95</v>
      </c>
      <c r="J54" s="13">
        <v>69381</v>
      </c>
      <c r="K54" s="28">
        <v>2.1480000000000001</v>
      </c>
      <c r="L54" s="29">
        <v>82268.399999999994</v>
      </c>
      <c r="M54" s="29"/>
      <c r="N54" s="29"/>
      <c r="O54" s="25">
        <f>((I54+K54)/2)*1000</f>
        <v>2049</v>
      </c>
      <c r="P54" s="25">
        <f>J54+L54+N54</f>
        <v>151649.4</v>
      </c>
      <c r="Q54" s="34">
        <f>P54/O54/7</f>
        <v>10.57</v>
      </c>
      <c r="R54" s="50">
        <f>Q54/H54</f>
        <v>1.44E-2</v>
      </c>
      <c r="S54" s="85">
        <f>S53</f>
        <v>2.1480000000000001</v>
      </c>
      <c r="T54" s="29">
        <v>295607.76</v>
      </c>
      <c r="U54" s="29"/>
      <c r="V54" s="29"/>
      <c r="W54" s="25">
        <f>S54*1000</f>
        <v>2148</v>
      </c>
      <c r="X54" s="25">
        <f>T54</f>
        <v>295607.76</v>
      </c>
      <c r="Y54" s="34">
        <f t="shared" si="10"/>
        <v>19.66</v>
      </c>
      <c r="Z54" s="50">
        <f t="shared" si="8"/>
        <v>2.69E-2</v>
      </c>
      <c r="AA54" s="66">
        <f>AA53</f>
        <v>2148</v>
      </c>
      <c r="AB54" s="29">
        <v>334551</v>
      </c>
      <c r="AC54" s="35">
        <f t="shared" si="11"/>
        <v>22.25</v>
      </c>
      <c r="AD54" s="50">
        <f t="shared" si="9"/>
        <v>3.04E-2</v>
      </c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ht="16.5" thickBot="1" x14ac:dyDescent="0.3">
      <c r="A55" s="53"/>
      <c r="B55" s="54" t="s">
        <v>118</v>
      </c>
      <c r="C55" s="119">
        <f>C9+C16+C23+C26+C29+C32+C47+C49+C52</f>
        <v>1835891397.5999999</v>
      </c>
      <c r="D55" s="125">
        <f t="shared" si="1"/>
        <v>1</v>
      </c>
      <c r="E55" s="55"/>
      <c r="F55" s="55"/>
      <c r="G55" s="55"/>
      <c r="H55" s="87">
        <v>1</v>
      </c>
      <c r="I55" s="80"/>
      <c r="J55" s="118">
        <f>SUM(J9:J54)</f>
        <v>274396893.26999998</v>
      </c>
      <c r="K55" s="118"/>
      <c r="L55" s="118">
        <f>SUM(L9:L54)</f>
        <v>91911398.939999998</v>
      </c>
      <c r="M55" s="118"/>
      <c r="N55" s="118">
        <f>SUM(N9:N54)</f>
        <v>9423561.3900000006</v>
      </c>
      <c r="O55" s="118"/>
      <c r="P55" s="119">
        <f>SUM(P9:P54)</f>
        <v>375731853.60000002</v>
      </c>
      <c r="Q55" s="56"/>
      <c r="R55" s="129">
        <f>((R9*$D$9)+(R16*$D$16)+(R24*$D$24)+(R25*$D$25)+(R27*$D$27)+(R28*$D$28)+(R30*$D$30)+(R31*$D$31)+(R32*$D$32)+(R48*$D$48)+(R50*$D$50)+(R51*$D$51)+(R53*$D$53)+(R54*$S$41))/($D$9+$D$16+$D$24+$D$25+$D$27+$D$28+$D$30+$D$31+$D$32+$D$48+$D$50+$D$51+$D$54)</f>
        <v>0.21110000000000001</v>
      </c>
      <c r="S55" s="86"/>
      <c r="T55" s="120">
        <f>SUM(T9:T54)</f>
        <v>432234662.58999997</v>
      </c>
      <c r="U55" s="121"/>
      <c r="V55" s="120">
        <f>SUM(V9:V54)</f>
        <v>7170934.6399999997</v>
      </c>
      <c r="W55" s="121"/>
      <c r="X55" s="122">
        <f>SUM(X9:X54)</f>
        <v>439405597.23000002</v>
      </c>
      <c r="Y55" s="56"/>
      <c r="Z55" s="129">
        <f>((Z9*$D$9)+(Z16*$D$16)+(Z24*$D$24)+(Z25*$D$25)+(Z27*$D$27)+(Z28*$D$28)+(Z30*$D$30)+(Z31*$D$31)+(Z32*$D$32)+(Z48*$D$48)+(Z50*$D$50)+(Z51*$D$51)+(Z53*$D$53)+(Z54*$S$41))/($D$9+$D$16+$D$24+$D$25+$D$27+$D$28+$D$30+$D$31+$D$32+$D$48+$D$50+$D$51+$D$54)</f>
        <v>0.24010000000000001</v>
      </c>
      <c r="AA55" s="67"/>
      <c r="AB55" s="123">
        <f>SUM(AB9:AB54)</f>
        <v>426032449.38</v>
      </c>
      <c r="AC55" s="56"/>
      <c r="AD55" s="129">
        <f>((AD9*$D$9)+(AD16*$D$16)+(AD24*$D$24)+(AD25*$D$25)+(AD27*$D$27)+(AD28*$D$28)+(AD30*$D$30)+(AD31*$D$31)+(AD32*$D$32)+(AD48*$D$48)+(AD50*$D$50)+(AD51*$D$51)+(AD53*$D$53)+(AD54*$S$41))/($D$9+$D$16+$D$24+$D$25+$D$27+$D$28+$D$30+$D$31+$D$32+$D$48+$D$50+$D$51+$D$54)</f>
        <v>0.2356</v>
      </c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</row>
    <row r="56" spans="1:47" s="117" customFormat="1" x14ac:dyDescent="0.25">
      <c r="A56" s="111"/>
      <c r="B56" s="112"/>
      <c r="C56" s="113"/>
      <c r="D56" s="113"/>
      <c r="E56" s="113"/>
      <c r="F56" s="113"/>
      <c r="G56" s="113"/>
      <c r="H56" s="113"/>
      <c r="I56" s="113"/>
      <c r="J56" s="113"/>
      <c r="K56" s="114"/>
      <c r="L56" s="114"/>
      <c r="M56" s="114"/>
      <c r="N56" s="114"/>
      <c r="O56" s="114"/>
      <c r="P56" s="115">
        <f>J55+L55+N55</f>
        <v>375731853.60000002</v>
      </c>
      <c r="Q56" s="114"/>
      <c r="R56" s="116">
        <f>P55/C55</f>
        <v>0.20469999999999999</v>
      </c>
      <c r="S56" s="114"/>
      <c r="T56" s="114"/>
      <c r="U56" s="114"/>
      <c r="V56" s="114"/>
      <c r="W56" s="114"/>
      <c r="X56" s="114"/>
      <c r="Y56" s="114"/>
      <c r="Z56" s="116">
        <f>Z55/H55</f>
        <v>0.24010000000000001</v>
      </c>
      <c r="AA56" s="114"/>
      <c r="AB56" s="114"/>
      <c r="AC56" s="114"/>
      <c r="AD56" s="116">
        <f>AB55/C55</f>
        <v>0.2321</v>
      </c>
      <c r="AE56" s="114"/>
      <c r="AF56" s="114"/>
      <c r="AG56" s="114"/>
      <c r="AH56" s="114"/>
      <c r="AI56" s="114"/>
      <c r="AJ56" s="114"/>
      <c r="AK56" s="114"/>
      <c r="AL56" s="114"/>
      <c r="AM56" s="114"/>
      <c r="AN56" s="114"/>
      <c r="AO56" s="114"/>
      <c r="AP56" s="114"/>
      <c r="AQ56" s="114"/>
      <c r="AR56" s="114"/>
      <c r="AS56" s="114"/>
      <c r="AT56" s="114"/>
      <c r="AU56" s="114"/>
    </row>
    <row r="57" spans="1:47" x14ac:dyDescent="0.25">
      <c r="A57" s="19"/>
      <c r="B57" s="20"/>
      <c r="C57" s="21"/>
      <c r="D57" s="21"/>
      <c r="E57" s="21"/>
      <c r="F57" s="21"/>
      <c r="G57" s="21"/>
      <c r="H57" s="21"/>
      <c r="I57" s="21"/>
      <c r="J57" s="21"/>
      <c r="K57" s="10"/>
      <c r="L57" s="10"/>
      <c r="M57" s="10"/>
      <c r="N57" s="10"/>
      <c r="O57" s="10"/>
      <c r="P57" s="10"/>
      <c r="Q57" s="10"/>
      <c r="R57" s="126"/>
      <c r="S57" s="10"/>
      <c r="T57" s="10"/>
      <c r="U57" s="10"/>
      <c r="V57" s="10"/>
      <c r="W57" s="10"/>
      <c r="X57" s="10"/>
      <c r="Y57" s="10"/>
      <c r="Z57" s="126"/>
      <c r="AA57" s="10"/>
      <c r="AB57" s="10"/>
      <c r="AC57" s="10"/>
      <c r="AD57" s="127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</row>
    <row r="58" spans="1:47" ht="18.75" x14ac:dyDescent="0.3">
      <c r="A58" s="19"/>
      <c r="B58" s="92" t="s">
        <v>89</v>
      </c>
      <c r="C58" s="21"/>
      <c r="D58" s="21"/>
      <c r="E58" s="21"/>
      <c r="F58" s="21"/>
      <c r="G58" s="21"/>
      <c r="H58" s="21"/>
      <c r="I58" s="21"/>
      <c r="J58" s="21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</row>
    <row r="59" spans="1:47" x14ac:dyDescent="0.25">
      <c r="A59" s="19"/>
      <c r="B59" s="20"/>
      <c r="C59" s="21"/>
      <c r="D59" s="21"/>
      <c r="E59" s="21"/>
      <c r="F59" s="21"/>
      <c r="G59" s="21"/>
      <c r="H59" s="21"/>
      <c r="I59" s="21"/>
      <c r="J59" s="21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</row>
    <row r="60" spans="1:47" ht="34.15" customHeight="1" x14ac:dyDescent="0.3">
      <c r="A60" s="93" t="s">
        <v>90</v>
      </c>
      <c r="B60" s="141" t="s">
        <v>103</v>
      </c>
      <c r="C60" s="141"/>
      <c r="D60" s="141"/>
      <c r="E60" s="141"/>
      <c r="F60" s="141"/>
      <c r="G60" s="141"/>
      <c r="H60" s="141"/>
      <c r="I60" s="106"/>
      <c r="J60" s="106"/>
      <c r="K60" s="106"/>
      <c r="L60" s="106"/>
      <c r="M60" s="148" t="s">
        <v>58</v>
      </c>
      <c r="N60" s="148"/>
      <c r="O60" s="148"/>
      <c r="P60" s="148"/>
      <c r="Q60" s="148"/>
      <c r="R60" s="148"/>
      <c r="S60" s="107"/>
      <c r="T60" s="107"/>
      <c r="U60" s="149" t="s">
        <v>59</v>
      </c>
      <c r="V60" s="149"/>
      <c r="W60" s="149"/>
      <c r="X60" s="149"/>
      <c r="Y60" s="149"/>
      <c r="Z60" s="149"/>
      <c r="AA60" s="149" t="s">
        <v>68</v>
      </c>
      <c r="AB60" s="149"/>
      <c r="AC60" s="149"/>
      <c r="AD60" s="149"/>
      <c r="AE60" s="98"/>
      <c r="AF60" s="98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</row>
    <row r="61" spans="1:47" ht="94.5" x14ac:dyDescent="0.25">
      <c r="A61" s="19"/>
      <c r="B61" s="130"/>
      <c r="C61" s="183" t="s">
        <v>115</v>
      </c>
      <c r="D61" s="183"/>
      <c r="E61" s="131"/>
      <c r="F61" s="131"/>
      <c r="G61" s="131"/>
      <c r="H61" s="132" t="s">
        <v>116</v>
      </c>
      <c r="I61" s="21"/>
      <c r="J61" s="21"/>
      <c r="K61" s="10"/>
      <c r="L61" s="10"/>
      <c r="M61" s="144" t="s">
        <v>113</v>
      </c>
      <c r="N61" s="144"/>
      <c r="O61" s="128"/>
      <c r="P61" s="128" t="s">
        <v>117</v>
      </c>
      <c r="Q61" s="128"/>
      <c r="R61" s="128"/>
      <c r="S61" s="128"/>
      <c r="T61" s="128"/>
      <c r="U61" s="144" t="s">
        <v>112</v>
      </c>
      <c r="V61" s="144"/>
      <c r="W61" s="128"/>
      <c r="X61" s="128" t="s">
        <v>117</v>
      </c>
      <c r="Y61" s="128"/>
      <c r="Z61" s="128"/>
      <c r="AA61" s="144" t="s">
        <v>112</v>
      </c>
      <c r="AB61" s="144"/>
      <c r="AC61" s="128" t="s">
        <v>117</v>
      </c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</row>
    <row r="62" spans="1:47" ht="18.75" x14ac:dyDescent="0.3">
      <c r="A62" s="19"/>
      <c r="B62" s="133" t="s">
        <v>91</v>
      </c>
      <c r="C62" s="147">
        <f>F8</f>
        <v>6443743</v>
      </c>
      <c r="D62" s="147"/>
      <c r="E62" s="147"/>
      <c r="F62" s="147"/>
      <c r="G62" s="147"/>
      <c r="H62" s="134">
        <f>C55/C62/12</f>
        <v>23.74</v>
      </c>
      <c r="I62" s="95"/>
      <c r="J62" s="95"/>
      <c r="K62" s="96"/>
      <c r="L62" s="100"/>
      <c r="M62" s="143">
        <f>O9</f>
        <v>6220016</v>
      </c>
      <c r="N62" s="143"/>
      <c r="O62" s="10"/>
      <c r="P62" s="102">
        <f>P55/M62/12</f>
        <v>5.03</v>
      </c>
      <c r="Q62" s="96"/>
      <c r="R62" s="104">
        <f>P62/H62</f>
        <v>0.21190000000000001</v>
      </c>
      <c r="S62" s="10"/>
      <c r="T62" s="10"/>
      <c r="U62" s="143">
        <f>W9</f>
        <v>6397098</v>
      </c>
      <c r="V62" s="143"/>
      <c r="W62" s="96"/>
      <c r="X62" s="109">
        <f>X55/U62/12</f>
        <v>5.72</v>
      </c>
      <c r="Y62" s="96"/>
      <c r="Z62" s="104">
        <f>X62/H62</f>
        <v>0.2409</v>
      </c>
      <c r="AA62" s="143">
        <f>AA9</f>
        <v>6296923</v>
      </c>
      <c r="AB62" s="143"/>
      <c r="AC62" s="109">
        <f>AB55/AA62/12</f>
        <v>5.64</v>
      </c>
      <c r="AD62" s="104">
        <f>AC62/H62</f>
        <v>0.23760000000000001</v>
      </c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</row>
    <row r="63" spans="1:47" ht="18.75" x14ac:dyDescent="0.3">
      <c r="A63" s="19"/>
      <c r="B63" s="91"/>
      <c r="C63" s="95"/>
      <c r="D63" s="95"/>
      <c r="E63" s="95"/>
      <c r="F63" s="95"/>
      <c r="G63" s="95"/>
      <c r="H63" s="95"/>
      <c r="I63" s="95"/>
      <c r="J63" s="95"/>
      <c r="K63" s="96"/>
      <c r="L63" s="100"/>
      <c r="M63" s="96"/>
      <c r="N63" s="10"/>
      <c r="O63" s="10"/>
      <c r="P63" s="102"/>
      <c r="Q63" s="96"/>
      <c r="R63" s="96"/>
      <c r="S63" s="10"/>
      <c r="T63" s="10"/>
      <c r="U63" s="96"/>
      <c r="V63" s="96"/>
      <c r="W63" s="96"/>
      <c r="X63" s="109"/>
      <c r="Y63" s="96"/>
      <c r="Z63" s="96"/>
      <c r="AA63" s="10"/>
      <c r="AB63" s="10"/>
      <c r="AC63" s="109"/>
      <c r="AD63" s="99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</row>
    <row r="64" spans="1:47" ht="38.450000000000003" customHeight="1" x14ac:dyDescent="0.3">
      <c r="A64" s="93" t="s">
        <v>92</v>
      </c>
      <c r="B64" s="141" t="s">
        <v>104</v>
      </c>
      <c r="C64" s="141"/>
      <c r="D64" s="141"/>
      <c r="E64" s="141"/>
      <c r="F64" s="141"/>
      <c r="G64" s="141"/>
      <c r="H64" s="141"/>
      <c r="I64" s="98"/>
      <c r="J64" s="98"/>
      <c r="K64" s="98"/>
      <c r="L64" s="98"/>
      <c r="M64" s="98"/>
      <c r="N64" s="98"/>
      <c r="O64" s="98"/>
      <c r="P64" s="103"/>
      <c r="Q64" s="96"/>
      <c r="R64" s="96"/>
      <c r="S64" s="10"/>
      <c r="T64" s="10"/>
      <c r="U64" s="96"/>
      <c r="V64" s="96"/>
      <c r="W64" s="96"/>
      <c r="X64" s="109"/>
      <c r="Y64" s="96"/>
      <c r="Z64" s="96"/>
      <c r="AA64" s="10"/>
      <c r="AB64" s="10"/>
      <c r="AC64" s="109"/>
      <c r="AD64" s="99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</row>
    <row r="65" spans="1:47" ht="96.6" customHeight="1" x14ac:dyDescent="0.25">
      <c r="A65" s="19"/>
      <c r="B65" s="135"/>
      <c r="C65" s="145" t="s">
        <v>114</v>
      </c>
      <c r="D65" s="145"/>
      <c r="E65" s="136"/>
      <c r="F65" s="136"/>
      <c r="G65" s="136"/>
      <c r="H65" s="137" t="s">
        <v>116</v>
      </c>
      <c r="I65" s="21"/>
      <c r="J65" s="21"/>
      <c r="K65" s="10"/>
      <c r="L65" s="101"/>
      <c r="M65" s="144" t="s">
        <v>114</v>
      </c>
      <c r="N65" s="144"/>
      <c r="O65" s="10"/>
      <c r="P65" s="128" t="s">
        <v>117</v>
      </c>
      <c r="Q65" s="96"/>
      <c r="R65" s="96"/>
      <c r="S65" s="10"/>
      <c r="T65" s="10"/>
      <c r="U65" s="144" t="s">
        <v>114</v>
      </c>
      <c r="V65" s="144"/>
      <c r="W65" s="96"/>
      <c r="X65" s="128" t="s">
        <v>117</v>
      </c>
      <c r="Y65" s="96"/>
      <c r="Z65" s="96"/>
      <c r="AA65" s="144" t="s">
        <v>114</v>
      </c>
      <c r="AB65" s="144"/>
      <c r="AC65" s="128" t="s">
        <v>117</v>
      </c>
      <c r="AD65" s="99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</row>
    <row r="66" spans="1:47" ht="18" customHeight="1" x14ac:dyDescent="0.3">
      <c r="A66" s="19"/>
      <c r="B66" s="138" t="s">
        <v>91</v>
      </c>
      <c r="C66" s="146">
        <f>F8+F24+F27+F29+F48+F53</f>
        <v>10285519</v>
      </c>
      <c r="D66" s="146"/>
      <c r="E66" s="146"/>
      <c r="F66" s="146"/>
      <c r="G66" s="146"/>
      <c r="H66" s="139">
        <f>C55/C66/12</f>
        <v>14.87</v>
      </c>
      <c r="I66" s="95"/>
      <c r="J66" s="95"/>
      <c r="K66" s="96"/>
      <c r="L66" s="100"/>
      <c r="M66" s="143">
        <f>O9+O24+O27+O30+O48+O53</f>
        <v>9958125</v>
      </c>
      <c r="N66" s="143"/>
      <c r="O66" s="10"/>
      <c r="P66" s="102">
        <f>P56/M66/12</f>
        <v>3.14</v>
      </c>
      <c r="Q66" s="96"/>
      <c r="R66" s="104">
        <f>P66/H66</f>
        <v>0.2112</v>
      </c>
      <c r="S66" s="10"/>
      <c r="T66" s="10"/>
      <c r="U66" s="143">
        <f>W9+W24+W27+W30+W48+W51</f>
        <v>10257555</v>
      </c>
      <c r="V66" s="143"/>
      <c r="W66" s="96"/>
      <c r="X66" s="109">
        <f>X55/U66/12</f>
        <v>3.57</v>
      </c>
      <c r="Y66" s="96"/>
      <c r="Z66" s="108">
        <f>X66/H66</f>
        <v>0.24010000000000001</v>
      </c>
      <c r="AA66" s="143">
        <f>AA9+AA24+AA27+AA30+AA48+AA53</f>
        <v>10137514</v>
      </c>
      <c r="AB66" s="143"/>
      <c r="AC66" s="109">
        <f>AB55/AA66/12</f>
        <v>3.5</v>
      </c>
      <c r="AD66" s="104">
        <f>AC66/H66</f>
        <v>0.2354</v>
      </c>
      <c r="AE66" s="105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</row>
    <row r="67" spans="1:47" ht="18.75" x14ac:dyDescent="0.3">
      <c r="A67" s="19"/>
      <c r="B67" s="91"/>
      <c r="C67" s="95"/>
      <c r="D67" s="95"/>
      <c r="E67" s="95"/>
      <c r="F67" s="95"/>
      <c r="G67" s="95"/>
      <c r="H67" s="95"/>
      <c r="I67" s="95"/>
      <c r="J67" s="95"/>
      <c r="K67" s="96"/>
      <c r="L67" s="96"/>
      <c r="M67" s="96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</row>
    <row r="68" spans="1:47" ht="18.75" x14ac:dyDescent="0.3">
      <c r="A68" s="19"/>
      <c r="B68" s="91"/>
      <c r="C68" s="95"/>
      <c r="D68" s="95"/>
      <c r="E68" s="95"/>
      <c r="F68" s="95"/>
      <c r="G68" s="95"/>
      <c r="H68" s="95"/>
      <c r="I68" s="95"/>
      <c r="J68" s="95"/>
      <c r="K68" s="96"/>
      <c r="L68" s="96"/>
      <c r="M68" s="96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</row>
    <row r="69" spans="1:47" ht="18.75" x14ac:dyDescent="0.3">
      <c r="A69" s="19"/>
      <c r="B69" s="91"/>
      <c r="C69" s="95"/>
      <c r="D69" s="95"/>
      <c r="E69" s="95"/>
      <c r="F69" s="95"/>
      <c r="G69" s="95"/>
      <c r="H69" s="95"/>
      <c r="I69" s="95"/>
      <c r="J69" s="95"/>
      <c r="K69" s="96"/>
      <c r="L69" s="96"/>
      <c r="M69" s="96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</row>
    <row r="70" spans="1:47" ht="18.75" x14ac:dyDescent="0.3">
      <c r="A70" s="19"/>
      <c r="B70" s="141" t="s">
        <v>105</v>
      </c>
      <c r="C70" s="141"/>
      <c r="D70" s="141"/>
      <c r="E70" s="141"/>
      <c r="F70" s="141"/>
      <c r="G70" s="141"/>
      <c r="H70" s="141"/>
      <c r="I70" s="95"/>
      <c r="J70" s="95"/>
      <c r="K70" s="142" t="s">
        <v>106</v>
      </c>
      <c r="L70" s="142"/>
      <c r="M70" s="142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</row>
    <row r="71" spans="1:47" ht="18.75" x14ac:dyDescent="0.3">
      <c r="A71" s="19"/>
      <c r="B71" s="91"/>
      <c r="C71" s="95"/>
      <c r="D71" s="95"/>
      <c r="E71" s="95"/>
      <c r="F71" s="95"/>
      <c r="G71" s="95"/>
      <c r="H71" s="95"/>
      <c r="I71" s="95"/>
      <c r="J71" s="95"/>
      <c r="K71" s="110"/>
      <c r="L71" s="110"/>
      <c r="M71" s="1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</row>
    <row r="72" spans="1:47" ht="18.75" x14ac:dyDescent="0.3">
      <c r="A72" s="20"/>
      <c r="B72" s="141" t="s">
        <v>107</v>
      </c>
      <c r="C72" s="141"/>
      <c r="D72" s="141"/>
      <c r="E72" s="141"/>
      <c r="F72" s="141"/>
      <c r="G72" s="141"/>
      <c r="H72" s="141"/>
      <c r="I72" s="95"/>
      <c r="J72" s="95"/>
      <c r="K72" s="142" t="s">
        <v>108</v>
      </c>
      <c r="L72" s="142"/>
      <c r="M72" s="142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</row>
    <row r="73" spans="1:47" ht="18.75" x14ac:dyDescent="0.3">
      <c r="A73" s="20"/>
      <c r="B73" s="91"/>
      <c r="C73" s="95"/>
      <c r="D73" s="95"/>
      <c r="E73" s="95"/>
      <c r="F73" s="95"/>
      <c r="G73" s="95"/>
      <c r="H73" s="95"/>
      <c r="I73" s="95"/>
      <c r="J73" s="95"/>
      <c r="K73" s="96"/>
      <c r="L73" s="96"/>
      <c r="M73" s="96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</row>
    <row r="74" spans="1:47" ht="18.75" x14ac:dyDescent="0.3">
      <c r="A74" s="20"/>
      <c r="B74" s="91"/>
      <c r="C74" s="95"/>
      <c r="D74" s="95"/>
      <c r="E74" s="95"/>
      <c r="F74" s="95"/>
      <c r="G74" s="95"/>
      <c r="H74" s="95"/>
      <c r="I74" s="95"/>
      <c r="J74" s="95"/>
      <c r="K74" s="96"/>
      <c r="L74" s="96"/>
      <c r="M74" s="96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</row>
    <row r="75" spans="1:47" ht="18.75" x14ac:dyDescent="0.3">
      <c r="A75" s="20"/>
      <c r="B75" s="91"/>
      <c r="C75" s="95"/>
      <c r="D75" s="95"/>
      <c r="E75" s="95"/>
      <c r="F75" s="95"/>
      <c r="G75" s="95"/>
      <c r="H75" s="95"/>
      <c r="I75" s="95"/>
      <c r="J75" s="95"/>
      <c r="K75" s="96"/>
      <c r="L75" s="96"/>
      <c r="M75" s="96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</row>
    <row r="76" spans="1:47" ht="18.75" x14ac:dyDescent="0.3">
      <c r="A76" s="20"/>
      <c r="B76" s="91"/>
      <c r="C76" s="95"/>
      <c r="D76" s="95"/>
      <c r="E76" s="95"/>
      <c r="F76" s="95"/>
      <c r="G76" s="95"/>
      <c r="H76" s="95"/>
      <c r="I76" s="95"/>
      <c r="J76" s="95"/>
      <c r="K76" s="96"/>
      <c r="L76" s="96"/>
      <c r="M76" s="96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</row>
    <row r="77" spans="1:47" ht="18.75" x14ac:dyDescent="0.3">
      <c r="A77" s="20"/>
      <c r="B77" s="91"/>
      <c r="C77" s="95"/>
      <c r="D77" s="95"/>
      <c r="E77" s="95"/>
      <c r="F77" s="95"/>
      <c r="G77" s="95"/>
      <c r="H77" s="95"/>
      <c r="I77" s="95"/>
      <c r="J77" s="95"/>
      <c r="K77" s="96"/>
      <c r="L77" s="96"/>
      <c r="M77" s="96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</row>
    <row r="78" spans="1:47" ht="18.75" x14ac:dyDescent="0.3">
      <c r="A78" s="20"/>
      <c r="B78" s="91"/>
      <c r="C78" s="95"/>
      <c r="D78" s="95"/>
      <c r="E78" s="95"/>
      <c r="F78" s="95"/>
      <c r="G78" s="95"/>
      <c r="H78" s="95"/>
      <c r="I78" s="95"/>
      <c r="J78" s="95"/>
      <c r="K78" s="96"/>
      <c r="L78" s="96"/>
      <c r="M78" s="96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</row>
    <row r="79" spans="1:47" ht="18.75" x14ac:dyDescent="0.3">
      <c r="A79" s="20"/>
      <c r="B79" s="91"/>
      <c r="C79" s="95"/>
      <c r="D79" s="95"/>
      <c r="E79" s="95"/>
      <c r="F79" s="95"/>
      <c r="G79" s="95"/>
      <c r="H79" s="95"/>
      <c r="I79" s="95"/>
      <c r="J79" s="95"/>
      <c r="K79" s="96"/>
      <c r="L79" s="96"/>
      <c r="M79" s="96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</row>
    <row r="80" spans="1:47" ht="18.75" x14ac:dyDescent="0.3">
      <c r="A80" s="20"/>
      <c r="B80" s="91"/>
      <c r="C80" s="95"/>
      <c r="D80" s="95"/>
      <c r="E80" s="95"/>
      <c r="F80" s="95"/>
      <c r="G80" s="95"/>
      <c r="H80" s="95"/>
      <c r="I80" s="95"/>
      <c r="J80" s="95"/>
      <c r="K80" s="96"/>
      <c r="L80" s="96"/>
      <c r="M80" s="96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</row>
    <row r="81" spans="1:47" x14ac:dyDescent="0.25">
      <c r="A81" s="20"/>
      <c r="B81" s="20"/>
      <c r="C81" s="21"/>
      <c r="D81" s="21"/>
      <c r="E81" s="21"/>
      <c r="F81" s="21"/>
      <c r="G81" s="21"/>
      <c r="H81" s="21"/>
      <c r="I81" s="21"/>
      <c r="J81" s="21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</row>
    <row r="82" spans="1:47" x14ac:dyDescent="0.25">
      <c r="A82" s="20"/>
      <c r="B82" s="20"/>
      <c r="C82" s="21"/>
      <c r="D82" s="21"/>
      <c r="E82" s="21"/>
      <c r="F82" s="21"/>
      <c r="G82" s="21"/>
      <c r="H82" s="21"/>
      <c r="I82" s="21"/>
      <c r="J82" s="21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</row>
    <row r="83" spans="1:47" x14ac:dyDescent="0.25">
      <c r="A83" s="20"/>
      <c r="B83" s="20"/>
      <c r="C83" s="21"/>
      <c r="D83" s="21"/>
      <c r="E83" s="21"/>
      <c r="F83" s="21"/>
      <c r="G83" s="21"/>
      <c r="H83" s="21"/>
      <c r="I83" s="21"/>
      <c r="J83" s="21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</row>
    <row r="84" spans="1:47" x14ac:dyDescent="0.25">
      <c r="A84" s="20"/>
      <c r="B84" s="20"/>
      <c r="C84" s="21"/>
      <c r="D84" s="21"/>
      <c r="E84" s="21"/>
      <c r="F84" s="21"/>
      <c r="G84" s="21"/>
      <c r="H84" s="21"/>
      <c r="I84" s="21"/>
      <c r="J84" s="21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</row>
    <row r="85" spans="1:47" x14ac:dyDescent="0.25">
      <c r="A85" s="20"/>
      <c r="B85" s="20"/>
      <c r="C85" s="21"/>
      <c r="D85" s="21"/>
      <c r="E85" s="21"/>
      <c r="F85" s="21"/>
      <c r="G85" s="21"/>
      <c r="H85" s="21"/>
      <c r="I85" s="21"/>
      <c r="J85" s="21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</row>
    <row r="86" spans="1:47" x14ac:dyDescent="0.25">
      <c r="A86" s="20"/>
      <c r="B86" s="20"/>
      <c r="C86" s="21"/>
      <c r="D86" s="21"/>
      <c r="E86" s="21"/>
      <c r="F86" s="21"/>
      <c r="G86" s="21"/>
      <c r="H86" s="21"/>
      <c r="I86" s="21"/>
      <c r="J86" s="21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</row>
    <row r="87" spans="1:47" x14ac:dyDescent="0.25">
      <c r="A87" s="20"/>
      <c r="B87" s="20"/>
      <c r="C87" s="21"/>
      <c r="D87" s="21"/>
      <c r="E87" s="21"/>
      <c r="F87" s="21"/>
      <c r="G87" s="21"/>
      <c r="H87" s="21"/>
      <c r="I87" s="21"/>
      <c r="J87" s="21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</row>
    <row r="88" spans="1:47" x14ac:dyDescent="0.25">
      <c r="A88" s="20"/>
      <c r="B88" s="20"/>
      <c r="C88" s="21"/>
      <c r="D88" s="21"/>
      <c r="E88" s="21"/>
      <c r="F88" s="21"/>
      <c r="G88" s="21"/>
      <c r="H88" s="21"/>
      <c r="I88" s="21"/>
      <c r="J88" s="21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</row>
    <row r="89" spans="1:47" x14ac:dyDescent="0.25">
      <c r="A89" s="20"/>
      <c r="B89" s="20"/>
      <c r="C89" s="21"/>
      <c r="D89" s="21"/>
      <c r="E89" s="21"/>
      <c r="F89" s="21"/>
      <c r="G89" s="21"/>
      <c r="H89" s="21"/>
      <c r="I89" s="21"/>
      <c r="J89" s="21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</row>
    <row r="90" spans="1:47" x14ac:dyDescent="0.25">
      <c r="A90" s="20"/>
      <c r="B90" s="20"/>
      <c r="C90" s="21"/>
      <c r="D90" s="21"/>
      <c r="E90" s="21"/>
      <c r="F90" s="21"/>
      <c r="G90" s="21"/>
      <c r="H90" s="21"/>
      <c r="I90" s="21"/>
      <c r="J90" s="21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</row>
    <row r="91" spans="1:47" x14ac:dyDescent="0.25">
      <c r="A91" s="20"/>
      <c r="B91" s="20"/>
      <c r="C91" s="21"/>
      <c r="D91" s="21"/>
      <c r="E91" s="21"/>
      <c r="F91" s="21"/>
      <c r="G91" s="21"/>
      <c r="H91" s="21"/>
      <c r="I91" s="21"/>
      <c r="J91" s="21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</row>
    <row r="92" spans="1:47" x14ac:dyDescent="0.25">
      <c r="A92" s="20"/>
      <c r="B92" s="20"/>
      <c r="C92" s="21"/>
      <c r="D92" s="21"/>
      <c r="E92" s="21"/>
      <c r="F92" s="21"/>
      <c r="G92" s="21"/>
      <c r="H92" s="21"/>
      <c r="I92" s="21"/>
      <c r="J92" s="21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</row>
    <row r="93" spans="1:47" x14ac:dyDescent="0.25">
      <c r="A93" s="20"/>
      <c r="B93" s="20"/>
      <c r="C93" s="21"/>
      <c r="D93" s="21"/>
      <c r="E93" s="21"/>
      <c r="F93" s="21"/>
      <c r="G93" s="21"/>
      <c r="H93" s="21"/>
      <c r="I93" s="21"/>
      <c r="J93" s="21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</row>
    <row r="94" spans="1:47" x14ac:dyDescent="0.25">
      <c r="A94" s="20"/>
      <c r="B94" s="20"/>
      <c r="C94" s="21"/>
      <c r="D94" s="21"/>
      <c r="E94" s="21"/>
      <c r="F94" s="21"/>
      <c r="G94" s="21"/>
      <c r="H94" s="21"/>
      <c r="I94" s="21"/>
      <c r="J94" s="21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</row>
    <row r="95" spans="1:47" x14ac:dyDescent="0.25">
      <c r="A95" s="20"/>
      <c r="B95" s="20"/>
      <c r="C95" s="21"/>
      <c r="D95" s="21"/>
      <c r="E95" s="21"/>
      <c r="F95" s="21"/>
      <c r="G95" s="21"/>
      <c r="H95" s="21"/>
      <c r="I95" s="21"/>
      <c r="J95" s="21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</row>
    <row r="96" spans="1:47" x14ac:dyDescent="0.25">
      <c r="A96" s="20"/>
      <c r="B96" s="20"/>
      <c r="C96" s="21"/>
      <c r="D96" s="21"/>
      <c r="E96" s="21"/>
      <c r="F96" s="21"/>
      <c r="G96" s="21"/>
      <c r="H96" s="21"/>
      <c r="I96" s="21"/>
      <c r="J96" s="21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</row>
    <row r="97" spans="1:47" x14ac:dyDescent="0.25">
      <c r="A97" s="20"/>
      <c r="B97" s="20"/>
      <c r="C97" s="21"/>
      <c r="D97" s="21"/>
      <c r="E97" s="21"/>
      <c r="F97" s="21"/>
      <c r="G97" s="21"/>
      <c r="H97" s="21"/>
      <c r="I97" s="21"/>
      <c r="J97" s="21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</row>
    <row r="98" spans="1:47" x14ac:dyDescent="0.25">
      <c r="A98" s="20"/>
      <c r="B98" s="20"/>
      <c r="C98" s="21"/>
      <c r="D98" s="21"/>
      <c r="E98" s="21"/>
      <c r="F98" s="21"/>
      <c r="G98" s="21"/>
      <c r="H98" s="21"/>
      <c r="I98" s="21"/>
      <c r="J98" s="21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</row>
    <row r="99" spans="1:47" x14ac:dyDescent="0.25">
      <c r="A99" s="20"/>
      <c r="B99" s="20"/>
      <c r="C99" s="21"/>
      <c r="D99" s="21"/>
      <c r="E99" s="21"/>
      <c r="F99" s="21"/>
      <c r="G99" s="21"/>
      <c r="H99" s="21"/>
      <c r="I99" s="21"/>
      <c r="J99" s="21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</row>
    <row r="100" spans="1:47" x14ac:dyDescent="0.25">
      <c r="A100" s="20"/>
      <c r="B100" s="20"/>
      <c r="C100" s="21"/>
      <c r="D100" s="21"/>
      <c r="E100" s="21"/>
      <c r="F100" s="21"/>
      <c r="G100" s="21"/>
      <c r="H100" s="21"/>
      <c r="I100" s="21"/>
      <c r="J100" s="21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</row>
    <row r="101" spans="1:47" x14ac:dyDescent="0.25">
      <c r="A101" s="20"/>
      <c r="B101" s="20"/>
      <c r="C101" s="21"/>
      <c r="D101" s="21"/>
      <c r="E101" s="21"/>
      <c r="F101" s="21"/>
      <c r="G101" s="21"/>
      <c r="H101" s="21"/>
      <c r="I101" s="21"/>
      <c r="J101" s="21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</row>
    <row r="102" spans="1:47" x14ac:dyDescent="0.25">
      <c r="A102" s="20"/>
      <c r="B102" s="20"/>
      <c r="C102" s="21"/>
      <c r="D102" s="21"/>
      <c r="E102" s="21"/>
      <c r="F102" s="21"/>
      <c r="G102" s="21"/>
      <c r="H102" s="21"/>
      <c r="I102" s="21"/>
      <c r="J102" s="21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</row>
    <row r="103" spans="1:47" x14ac:dyDescent="0.25">
      <c r="A103" s="20"/>
      <c r="B103" s="20"/>
      <c r="C103" s="21"/>
      <c r="D103" s="21"/>
      <c r="E103" s="21"/>
      <c r="F103" s="21"/>
      <c r="G103" s="21"/>
      <c r="H103" s="21"/>
      <c r="I103" s="21"/>
      <c r="J103" s="21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</row>
    <row r="104" spans="1:47" x14ac:dyDescent="0.25">
      <c r="A104" s="20"/>
      <c r="B104" s="20"/>
      <c r="C104" s="21"/>
      <c r="D104" s="21"/>
      <c r="E104" s="21"/>
      <c r="F104" s="21"/>
      <c r="G104" s="21"/>
      <c r="H104" s="21"/>
      <c r="I104" s="21"/>
      <c r="J104" s="21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</row>
    <row r="105" spans="1:47" x14ac:dyDescent="0.25">
      <c r="A105" s="20"/>
      <c r="B105" s="20"/>
      <c r="C105" s="21"/>
      <c r="D105" s="21"/>
      <c r="E105" s="21"/>
      <c r="F105" s="21"/>
      <c r="G105" s="21"/>
      <c r="H105" s="21"/>
      <c r="I105" s="21"/>
      <c r="J105" s="21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</row>
    <row r="106" spans="1:47" x14ac:dyDescent="0.25">
      <c r="A106" s="20"/>
      <c r="B106" s="20"/>
      <c r="C106" s="21"/>
      <c r="D106" s="21"/>
      <c r="E106" s="21"/>
      <c r="F106" s="21"/>
      <c r="G106" s="21"/>
      <c r="H106" s="21"/>
      <c r="I106" s="21"/>
      <c r="J106" s="21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</row>
    <row r="107" spans="1:47" x14ac:dyDescent="0.25">
      <c r="A107" s="20"/>
      <c r="B107" s="20"/>
      <c r="C107" s="21"/>
      <c r="D107" s="21"/>
      <c r="E107" s="21"/>
      <c r="F107" s="21"/>
      <c r="G107" s="21"/>
      <c r="H107" s="21"/>
      <c r="I107" s="21"/>
      <c r="J107" s="21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</row>
    <row r="108" spans="1:47" x14ac:dyDescent="0.25">
      <c r="A108" s="5"/>
      <c r="B108" s="5"/>
      <c r="C108" s="22"/>
      <c r="D108" s="22"/>
      <c r="E108" s="22"/>
      <c r="F108" s="21"/>
      <c r="G108" s="22"/>
      <c r="H108" s="22"/>
      <c r="I108" s="22"/>
      <c r="J108" s="22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</row>
    <row r="109" spans="1:47" x14ac:dyDescent="0.25">
      <c r="A109" s="5"/>
      <c r="B109" s="5"/>
      <c r="C109" s="22"/>
      <c r="D109" s="22"/>
      <c r="E109" s="22"/>
      <c r="F109" s="21"/>
      <c r="G109" s="22"/>
      <c r="H109" s="22"/>
      <c r="I109" s="22"/>
      <c r="J109" s="22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</row>
    <row r="110" spans="1:47" x14ac:dyDescent="0.25">
      <c r="A110" s="5"/>
      <c r="B110" s="5"/>
      <c r="C110" s="22"/>
      <c r="D110" s="22"/>
      <c r="E110" s="22"/>
      <c r="F110" s="22"/>
      <c r="G110" s="22"/>
      <c r="H110" s="22"/>
      <c r="I110" s="22"/>
      <c r="J110" s="22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</row>
    <row r="111" spans="1:47" x14ac:dyDescent="0.25">
      <c r="A111" s="5"/>
      <c r="B111" s="5"/>
      <c r="C111" s="22"/>
      <c r="D111" s="22"/>
      <c r="E111" s="22"/>
      <c r="F111" s="22"/>
      <c r="G111" s="22"/>
      <c r="H111" s="22"/>
      <c r="I111" s="22"/>
      <c r="J111" s="22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</row>
    <row r="112" spans="1:47" x14ac:dyDescent="0.25">
      <c r="A112" s="5"/>
      <c r="B112" s="5"/>
      <c r="C112" s="22"/>
      <c r="D112" s="22"/>
      <c r="E112" s="22"/>
      <c r="F112" s="22"/>
      <c r="G112" s="22"/>
      <c r="H112" s="22"/>
      <c r="I112" s="22"/>
      <c r="J112" s="22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</row>
    <row r="113" spans="1:47" x14ac:dyDescent="0.25">
      <c r="A113" s="5"/>
      <c r="B113" s="5"/>
      <c r="C113" s="22"/>
      <c r="D113" s="22"/>
      <c r="E113" s="22"/>
      <c r="F113" s="22"/>
      <c r="G113" s="22"/>
      <c r="H113" s="22"/>
      <c r="I113" s="22"/>
      <c r="J113" s="22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</row>
    <row r="114" spans="1:47" x14ac:dyDescent="0.25">
      <c r="A114" s="5"/>
      <c r="B114" s="5"/>
      <c r="C114" s="22"/>
      <c r="D114" s="22"/>
      <c r="E114" s="22"/>
      <c r="F114" s="22"/>
      <c r="G114" s="22"/>
      <c r="H114" s="22"/>
      <c r="I114" s="22"/>
      <c r="J114" s="22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</row>
    <row r="115" spans="1:47" x14ac:dyDescent="0.25">
      <c r="A115" s="5"/>
      <c r="B115" s="5"/>
      <c r="C115" s="22"/>
      <c r="D115" s="22"/>
      <c r="E115" s="22"/>
      <c r="F115" s="22"/>
      <c r="G115" s="22"/>
      <c r="H115" s="22"/>
      <c r="I115" s="22"/>
      <c r="J115" s="22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</row>
    <row r="116" spans="1:47" x14ac:dyDescent="0.25">
      <c r="A116" s="5"/>
      <c r="B116" s="5"/>
      <c r="C116" s="22"/>
      <c r="D116" s="22"/>
      <c r="E116" s="22"/>
      <c r="F116" s="22"/>
      <c r="G116" s="22"/>
      <c r="H116" s="22"/>
      <c r="I116" s="22"/>
      <c r="J116" s="22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</row>
    <row r="117" spans="1:47" x14ac:dyDescent="0.25">
      <c r="A117" s="5"/>
      <c r="B117" s="5"/>
      <c r="C117" s="22"/>
      <c r="D117" s="22"/>
      <c r="E117" s="22"/>
      <c r="F117" s="22"/>
      <c r="G117" s="22"/>
      <c r="H117" s="22"/>
      <c r="I117" s="22"/>
      <c r="J117" s="22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</row>
    <row r="118" spans="1:47" x14ac:dyDescent="0.25">
      <c r="A118" s="5"/>
      <c r="B118" s="5"/>
      <c r="C118" s="22"/>
      <c r="D118" s="22"/>
      <c r="E118" s="22"/>
      <c r="F118" s="22"/>
      <c r="G118" s="22"/>
      <c r="H118" s="22"/>
      <c r="I118" s="22"/>
      <c r="J118" s="22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</row>
    <row r="119" spans="1:47" x14ac:dyDescent="0.25">
      <c r="A119" s="5"/>
      <c r="B119" s="5"/>
      <c r="C119" s="22"/>
      <c r="D119" s="22"/>
      <c r="E119" s="22"/>
      <c r="F119" s="22"/>
      <c r="G119" s="22"/>
      <c r="H119" s="22"/>
      <c r="I119" s="22"/>
      <c r="J119" s="22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</row>
    <row r="120" spans="1:47" x14ac:dyDescent="0.25">
      <c r="A120" s="5"/>
      <c r="B120" s="5"/>
      <c r="C120" s="22"/>
      <c r="D120" s="22"/>
      <c r="E120" s="22"/>
      <c r="F120" s="22"/>
      <c r="G120" s="22"/>
      <c r="H120" s="22"/>
      <c r="I120" s="22"/>
      <c r="J120" s="22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</row>
    <row r="121" spans="1:47" x14ac:dyDescent="0.25">
      <c r="A121" s="5"/>
      <c r="B121" s="5"/>
      <c r="C121" s="22"/>
      <c r="D121" s="22"/>
      <c r="E121" s="22"/>
      <c r="F121" s="22"/>
      <c r="G121" s="22"/>
      <c r="H121" s="22"/>
      <c r="I121" s="22"/>
      <c r="J121" s="22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</row>
    <row r="122" spans="1:47" x14ac:dyDescent="0.25">
      <c r="A122" s="5"/>
      <c r="B122" s="5"/>
      <c r="C122" s="22"/>
      <c r="D122" s="22"/>
      <c r="E122" s="22"/>
      <c r="F122" s="22"/>
      <c r="G122" s="22"/>
      <c r="H122" s="22"/>
      <c r="I122" s="22"/>
      <c r="J122" s="22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</row>
    <row r="123" spans="1:47" x14ac:dyDescent="0.25">
      <c r="A123" s="5"/>
      <c r="B123" s="5"/>
      <c r="C123" s="22"/>
      <c r="D123" s="22"/>
      <c r="E123" s="22"/>
      <c r="F123" s="22"/>
      <c r="G123" s="22"/>
      <c r="H123" s="22"/>
      <c r="I123" s="22"/>
      <c r="J123" s="22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</row>
    <row r="124" spans="1:47" x14ac:dyDescent="0.25">
      <c r="A124" s="5"/>
      <c r="B124" s="5"/>
      <c r="C124" s="22"/>
      <c r="D124" s="22"/>
      <c r="E124" s="22"/>
      <c r="F124" s="22"/>
      <c r="G124" s="22"/>
      <c r="H124" s="22"/>
      <c r="I124" s="22"/>
      <c r="J124" s="22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</row>
    <row r="125" spans="1:47" x14ac:dyDescent="0.25">
      <c r="A125" s="5"/>
      <c r="B125" s="5"/>
      <c r="C125" s="22"/>
      <c r="D125" s="22"/>
      <c r="E125" s="22"/>
      <c r="F125" s="22"/>
      <c r="G125" s="22"/>
      <c r="H125" s="22"/>
      <c r="I125" s="22"/>
      <c r="J125" s="22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</row>
    <row r="126" spans="1:47" x14ac:dyDescent="0.25">
      <c r="A126" s="5"/>
      <c r="B126" s="5"/>
      <c r="C126" s="22"/>
      <c r="D126" s="22"/>
      <c r="E126" s="22"/>
      <c r="F126" s="22"/>
      <c r="G126" s="22"/>
      <c r="H126" s="22"/>
      <c r="I126" s="22"/>
      <c r="J126" s="22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</row>
    <row r="127" spans="1:47" x14ac:dyDescent="0.25">
      <c r="A127" s="5"/>
      <c r="B127" s="5"/>
      <c r="C127" s="22"/>
      <c r="D127" s="22"/>
      <c r="E127" s="22"/>
      <c r="F127" s="22"/>
      <c r="G127" s="22"/>
      <c r="H127" s="22"/>
      <c r="I127" s="22"/>
      <c r="J127" s="22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</row>
    <row r="128" spans="1:47" x14ac:dyDescent="0.25">
      <c r="A128" s="5"/>
      <c r="B128" s="5"/>
      <c r="C128" s="22"/>
      <c r="D128" s="22"/>
      <c r="E128" s="22"/>
      <c r="F128" s="22"/>
      <c r="G128" s="22"/>
      <c r="H128" s="22"/>
      <c r="I128" s="22"/>
      <c r="J128" s="22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1:47" x14ac:dyDescent="0.25">
      <c r="A129" s="5"/>
      <c r="B129" s="5"/>
      <c r="C129" s="22"/>
      <c r="D129" s="22"/>
      <c r="E129" s="22"/>
      <c r="F129" s="22"/>
      <c r="G129" s="22"/>
      <c r="H129" s="22"/>
      <c r="I129" s="22"/>
      <c r="J129" s="22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1:47" x14ac:dyDescent="0.25">
      <c r="A130" s="5"/>
      <c r="B130" s="5"/>
      <c r="C130" s="22"/>
      <c r="D130" s="22"/>
      <c r="E130" s="22"/>
      <c r="F130" s="22"/>
      <c r="G130" s="22"/>
      <c r="H130" s="22"/>
      <c r="I130" s="22"/>
      <c r="J130" s="22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1:47" x14ac:dyDescent="0.25">
      <c r="A131" s="5"/>
      <c r="B131" s="5"/>
      <c r="C131" s="22"/>
      <c r="D131" s="22"/>
      <c r="E131" s="22"/>
      <c r="F131" s="22"/>
      <c r="G131" s="22"/>
      <c r="H131" s="22"/>
      <c r="I131" s="22"/>
      <c r="J131" s="22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1:47" x14ac:dyDescent="0.25">
      <c r="A132" s="5"/>
      <c r="B132" s="5"/>
      <c r="C132" s="22"/>
      <c r="D132" s="22"/>
      <c r="E132" s="22"/>
      <c r="F132" s="22"/>
      <c r="G132" s="22"/>
      <c r="H132" s="22"/>
      <c r="I132" s="22"/>
      <c r="J132" s="22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1:47" x14ac:dyDescent="0.25">
      <c r="A133" s="5"/>
      <c r="B133" s="5"/>
      <c r="C133" s="22"/>
      <c r="D133" s="22"/>
      <c r="E133" s="22"/>
      <c r="F133" s="22"/>
      <c r="G133" s="22"/>
      <c r="H133" s="22"/>
      <c r="I133" s="22"/>
      <c r="J133" s="22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1:47" x14ac:dyDescent="0.25">
      <c r="A134" s="5"/>
      <c r="B134" s="5"/>
      <c r="C134" s="22"/>
      <c r="D134" s="22"/>
      <c r="E134" s="22"/>
      <c r="F134" s="22"/>
      <c r="G134" s="22"/>
      <c r="H134" s="22"/>
      <c r="I134" s="22"/>
      <c r="J134" s="22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5" spans="1:47" x14ac:dyDescent="0.25">
      <c r="A135" s="5"/>
      <c r="B135" s="5"/>
      <c r="C135" s="22"/>
      <c r="D135" s="22"/>
      <c r="E135" s="22"/>
      <c r="F135" s="22"/>
      <c r="G135" s="22"/>
      <c r="H135" s="22"/>
      <c r="I135" s="22"/>
      <c r="J135" s="22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</row>
    <row r="136" spans="1:47" x14ac:dyDescent="0.25">
      <c r="A136" s="5"/>
      <c r="B136" s="5"/>
      <c r="C136" s="22"/>
      <c r="D136" s="22"/>
      <c r="E136" s="22"/>
      <c r="F136" s="22"/>
      <c r="G136" s="22"/>
      <c r="H136" s="22"/>
      <c r="I136" s="22"/>
      <c r="J136" s="22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</row>
    <row r="137" spans="1:47" x14ac:dyDescent="0.25">
      <c r="A137" s="5"/>
      <c r="B137" s="5"/>
      <c r="C137" s="22"/>
      <c r="D137" s="22"/>
      <c r="E137" s="22"/>
      <c r="F137" s="22"/>
      <c r="G137" s="22"/>
      <c r="H137" s="22"/>
      <c r="I137" s="22"/>
      <c r="J137" s="22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</row>
    <row r="138" spans="1:47" x14ac:dyDescent="0.25">
      <c r="A138" s="5"/>
      <c r="B138" s="5"/>
      <c r="C138" s="22"/>
      <c r="D138" s="22"/>
      <c r="E138" s="22"/>
      <c r="F138" s="22"/>
      <c r="G138" s="22"/>
      <c r="H138" s="22"/>
      <c r="I138" s="22"/>
      <c r="J138" s="22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</row>
    <row r="139" spans="1:47" x14ac:dyDescent="0.25">
      <c r="A139" s="5"/>
      <c r="B139" s="5"/>
      <c r="C139" s="22"/>
      <c r="D139" s="22"/>
      <c r="E139" s="22"/>
      <c r="F139" s="22"/>
      <c r="G139" s="22"/>
      <c r="H139" s="22"/>
      <c r="I139" s="22"/>
      <c r="J139" s="22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</row>
    <row r="140" spans="1:47" x14ac:dyDescent="0.25">
      <c r="A140" s="5"/>
      <c r="B140" s="5"/>
      <c r="C140" s="22"/>
      <c r="D140" s="22"/>
      <c r="E140" s="22"/>
      <c r="F140" s="22"/>
      <c r="G140" s="22"/>
      <c r="H140" s="22"/>
      <c r="I140" s="22"/>
      <c r="J140" s="22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</row>
    <row r="141" spans="1:47" x14ac:dyDescent="0.25">
      <c r="A141" s="5"/>
      <c r="B141" s="5"/>
      <c r="C141" s="22"/>
      <c r="D141" s="22"/>
      <c r="E141" s="22"/>
      <c r="F141" s="22"/>
      <c r="G141" s="22"/>
      <c r="H141" s="22"/>
      <c r="I141" s="22"/>
      <c r="J141" s="22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</row>
    <row r="142" spans="1:47" x14ac:dyDescent="0.25">
      <c r="A142" s="5"/>
      <c r="B142" s="5"/>
      <c r="C142" s="22"/>
      <c r="D142" s="22"/>
      <c r="E142" s="22"/>
      <c r="F142" s="22"/>
      <c r="G142" s="22"/>
      <c r="H142" s="22"/>
      <c r="I142" s="22"/>
      <c r="J142" s="22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</row>
    <row r="143" spans="1:47" x14ac:dyDescent="0.25">
      <c r="A143" s="5"/>
      <c r="B143" s="5"/>
      <c r="C143" s="22"/>
      <c r="D143" s="22"/>
      <c r="E143" s="22"/>
      <c r="F143" s="22"/>
      <c r="G143" s="22"/>
      <c r="H143" s="22"/>
      <c r="I143" s="22"/>
      <c r="J143" s="22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</row>
    <row r="144" spans="1:47" x14ac:dyDescent="0.25">
      <c r="A144" s="5"/>
      <c r="B144" s="5"/>
      <c r="C144" s="22"/>
      <c r="D144" s="22"/>
      <c r="E144" s="22"/>
      <c r="F144" s="22"/>
      <c r="G144" s="22"/>
      <c r="H144" s="22"/>
      <c r="I144" s="22"/>
      <c r="J144" s="22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</row>
    <row r="145" spans="1:47" x14ac:dyDescent="0.25">
      <c r="A145" s="5"/>
      <c r="B145" s="5"/>
      <c r="C145" s="22"/>
      <c r="D145" s="22"/>
      <c r="E145" s="22"/>
      <c r="F145" s="22"/>
      <c r="G145" s="22"/>
      <c r="H145" s="22"/>
      <c r="I145" s="22"/>
      <c r="J145" s="22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</row>
    <row r="146" spans="1:47" x14ac:dyDescent="0.25">
      <c r="A146" s="5"/>
      <c r="B146" s="5"/>
      <c r="C146" s="22"/>
      <c r="D146" s="22"/>
      <c r="E146" s="22"/>
      <c r="F146" s="22"/>
      <c r="G146" s="22"/>
      <c r="H146" s="22"/>
      <c r="I146" s="22"/>
      <c r="J146" s="22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</row>
    <row r="147" spans="1:47" x14ac:dyDescent="0.25">
      <c r="A147" s="5"/>
      <c r="B147" s="5"/>
      <c r="C147" s="22"/>
      <c r="D147" s="22"/>
      <c r="E147" s="22"/>
      <c r="F147" s="22"/>
      <c r="G147" s="22"/>
      <c r="H147" s="22"/>
      <c r="I147" s="22"/>
      <c r="J147" s="22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</row>
    <row r="148" spans="1:47" x14ac:dyDescent="0.25">
      <c r="A148" s="5"/>
      <c r="B148" s="5"/>
      <c r="C148" s="22"/>
      <c r="D148" s="22"/>
      <c r="E148" s="22"/>
      <c r="F148" s="22"/>
      <c r="G148" s="22"/>
      <c r="H148" s="22"/>
      <c r="I148" s="22"/>
      <c r="J148" s="22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</row>
    <row r="149" spans="1:47" x14ac:dyDescent="0.25">
      <c r="A149" s="5"/>
      <c r="B149" s="5"/>
      <c r="C149" s="22"/>
      <c r="D149" s="22"/>
      <c r="E149" s="22"/>
      <c r="F149" s="22"/>
      <c r="G149" s="22"/>
      <c r="H149" s="22"/>
      <c r="I149" s="22"/>
      <c r="J149" s="22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</row>
    <row r="150" spans="1:47" x14ac:dyDescent="0.25">
      <c r="A150" s="5"/>
      <c r="B150" s="5"/>
      <c r="C150" s="22"/>
      <c r="D150" s="22"/>
      <c r="E150" s="22"/>
      <c r="F150" s="22"/>
      <c r="G150" s="22"/>
      <c r="H150" s="22"/>
      <c r="I150" s="22"/>
      <c r="J150" s="22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</row>
    <row r="151" spans="1:47" x14ac:dyDescent="0.25">
      <c r="A151" s="5"/>
      <c r="B151" s="5"/>
      <c r="C151" s="22"/>
      <c r="D151" s="22"/>
      <c r="E151" s="22"/>
      <c r="F151" s="22"/>
      <c r="G151" s="22"/>
      <c r="H151" s="22"/>
      <c r="I151" s="22"/>
      <c r="J151" s="22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</row>
    <row r="152" spans="1:47" x14ac:dyDescent="0.25">
      <c r="A152" s="5"/>
      <c r="B152" s="5"/>
      <c r="C152" s="22"/>
      <c r="D152" s="22"/>
      <c r="E152" s="22"/>
      <c r="F152" s="22"/>
      <c r="G152" s="22"/>
      <c r="H152" s="22"/>
      <c r="I152" s="22"/>
      <c r="J152" s="22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</row>
    <row r="153" spans="1:47" x14ac:dyDescent="0.25">
      <c r="A153" s="5"/>
      <c r="B153" s="5"/>
      <c r="C153" s="22"/>
      <c r="D153" s="22"/>
      <c r="E153" s="22"/>
      <c r="F153" s="22"/>
      <c r="G153" s="22"/>
      <c r="H153" s="22"/>
      <c r="I153" s="22"/>
      <c r="J153" s="22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</row>
    <row r="154" spans="1:47" x14ac:dyDescent="0.25">
      <c r="A154" s="5"/>
      <c r="B154" s="5"/>
      <c r="C154" s="22"/>
      <c r="D154" s="22"/>
      <c r="E154" s="22"/>
      <c r="F154" s="22"/>
      <c r="G154" s="22"/>
      <c r="H154" s="22"/>
      <c r="I154" s="22"/>
      <c r="J154" s="22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</row>
    <row r="155" spans="1:47" x14ac:dyDescent="0.25">
      <c r="A155" s="5"/>
      <c r="B155" s="5"/>
      <c r="C155" s="22"/>
      <c r="D155" s="22"/>
      <c r="E155" s="22"/>
      <c r="F155" s="22"/>
      <c r="G155" s="22"/>
      <c r="H155" s="22"/>
      <c r="I155" s="22"/>
      <c r="J155" s="22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</row>
    <row r="156" spans="1:47" x14ac:dyDescent="0.25">
      <c r="A156" s="5"/>
      <c r="B156" s="5"/>
      <c r="C156" s="22"/>
      <c r="D156" s="22"/>
      <c r="E156" s="22"/>
      <c r="F156" s="22"/>
      <c r="G156" s="22"/>
      <c r="H156" s="22"/>
      <c r="I156" s="22"/>
      <c r="J156" s="22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</row>
    <row r="157" spans="1:47" x14ac:dyDescent="0.25">
      <c r="A157" s="5"/>
      <c r="B157" s="5"/>
      <c r="C157" s="22"/>
      <c r="D157" s="22"/>
      <c r="E157" s="22"/>
      <c r="F157" s="22"/>
      <c r="G157" s="22"/>
      <c r="H157" s="22"/>
      <c r="I157" s="22"/>
      <c r="J157" s="22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</row>
    <row r="158" spans="1:47" x14ac:dyDescent="0.25">
      <c r="C158" s="23"/>
      <c r="D158" s="23"/>
      <c r="E158" s="23"/>
      <c r="F158" s="22"/>
      <c r="G158" s="23"/>
      <c r="H158" s="23"/>
      <c r="I158" s="23"/>
      <c r="J158" s="23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</row>
    <row r="159" spans="1:47" x14ac:dyDescent="0.25">
      <c r="C159" s="23"/>
      <c r="D159" s="23"/>
      <c r="E159" s="23"/>
      <c r="F159" s="22"/>
      <c r="G159" s="23"/>
      <c r="H159" s="23"/>
      <c r="I159" s="23"/>
      <c r="J159" s="23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  <c r="AH159" s="10"/>
      <c r="AI159" s="10"/>
      <c r="AJ159" s="10"/>
      <c r="AK159" s="10"/>
      <c r="AL159" s="10"/>
      <c r="AM159" s="10"/>
      <c r="AN159" s="10"/>
      <c r="AO159" s="10"/>
      <c r="AP159" s="10"/>
      <c r="AQ159" s="10"/>
      <c r="AR159" s="10"/>
      <c r="AS159" s="10"/>
      <c r="AT159" s="10"/>
      <c r="AU159" s="10"/>
    </row>
    <row r="160" spans="1:47" x14ac:dyDescent="0.25">
      <c r="C160" s="23"/>
      <c r="D160" s="23"/>
      <c r="E160" s="23"/>
      <c r="F160" s="23"/>
      <c r="G160" s="23"/>
      <c r="H160" s="23"/>
      <c r="I160" s="23"/>
      <c r="J160" s="23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  <c r="AH160" s="10"/>
      <c r="AI160" s="10"/>
      <c r="AJ160" s="10"/>
      <c r="AK160" s="10"/>
      <c r="AL160" s="10"/>
      <c r="AM160" s="10"/>
      <c r="AN160" s="10"/>
      <c r="AO160" s="10"/>
      <c r="AP160" s="10"/>
      <c r="AQ160" s="10"/>
      <c r="AR160" s="10"/>
      <c r="AS160" s="10"/>
      <c r="AT160" s="10"/>
      <c r="AU160" s="10"/>
    </row>
    <row r="161" spans="3:47" x14ac:dyDescent="0.25">
      <c r="C161" s="23"/>
      <c r="D161" s="23"/>
      <c r="E161" s="23"/>
      <c r="F161" s="23"/>
      <c r="G161" s="23"/>
      <c r="H161" s="23"/>
      <c r="I161" s="23"/>
      <c r="J161" s="23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  <c r="AH161" s="10"/>
      <c r="AI161" s="10"/>
      <c r="AJ161" s="10"/>
      <c r="AK161" s="10"/>
      <c r="AL161" s="10"/>
      <c r="AM161" s="10"/>
      <c r="AN161" s="10"/>
      <c r="AO161" s="10"/>
      <c r="AP161" s="10"/>
      <c r="AQ161" s="10"/>
      <c r="AR161" s="10"/>
      <c r="AS161" s="10"/>
      <c r="AT161" s="10"/>
      <c r="AU161" s="10"/>
    </row>
    <row r="162" spans="3:47" x14ac:dyDescent="0.25">
      <c r="C162" s="23"/>
      <c r="D162" s="23"/>
      <c r="E162" s="23"/>
      <c r="F162" s="23"/>
      <c r="G162" s="23"/>
      <c r="H162" s="23"/>
      <c r="I162" s="23"/>
      <c r="J162" s="23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  <c r="AH162" s="10"/>
      <c r="AI162" s="10"/>
      <c r="AJ162" s="10"/>
      <c r="AK162" s="10"/>
      <c r="AL162" s="10"/>
      <c r="AM162" s="10"/>
      <c r="AN162" s="10"/>
      <c r="AO162" s="10"/>
      <c r="AP162" s="10"/>
      <c r="AQ162" s="10"/>
      <c r="AR162" s="10"/>
      <c r="AS162" s="10"/>
      <c r="AT162" s="10"/>
      <c r="AU162" s="10"/>
    </row>
    <row r="163" spans="3:47" x14ac:dyDescent="0.25">
      <c r="C163" s="23"/>
      <c r="D163" s="23"/>
      <c r="E163" s="23"/>
      <c r="F163" s="23"/>
      <c r="G163" s="23"/>
      <c r="H163" s="23"/>
      <c r="I163" s="23"/>
      <c r="J163" s="23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  <c r="AH163" s="10"/>
      <c r="AI163" s="10"/>
      <c r="AJ163" s="10"/>
      <c r="AK163" s="10"/>
      <c r="AL163" s="10"/>
      <c r="AM163" s="10"/>
      <c r="AN163" s="10"/>
      <c r="AO163" s="10"/>
      <c r="AP163" s="10"/>
      <c r="AQ163" s="10"/>
      <c r="AR163" s="10"/>
      <c r="AS163" s="10"/>
      <c r="AT163" s="10"/>
      <c r="AU163" s="10"/>
    </row>
    <row r="164" spans="3:47" x14ac:dyDescent="0.25">
      <c r="C164" s="23"/>
      <c r="D164" s="23"/>
      <c r="E164" s="23"/>
      <c r="F164" s="23"/>
      <c r="G164" s="23"/>
      <c r="H164" s="23"/>
      <c r="I164" s="23"/>
      <c r="J164" s="23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  <c r="AH164" s="10"/>
      <c r="AI164" s="10"/>
      <c r="AJ164" s="10"/>
      <c r="AK164" s="10"/>
      <c r="AL164" s="10"/>
      <c r="AM164" s="10"/>
      <c r="AN164" s="10"/>
      <c r="AO164" s="10"/>
      <c r="AP164" s="10"/>
      <c r="AQ164" s="10"/>
      <c r="AR164" s="10"/>
      <c r="AS164" s="10"/>
      <c r="AT164" s="10"/>
      <c r="AU164" s="10"/>
    </row>
    <row r="165" spans="3:47" x14ac:dyDescent="0.25">
      <c r="C165" s="23"/>
      <c r="D165" s="23"/>
      <c r="E165" s="23"/>
      <c r="F165" s="23"/>
      <c r="G165" s="23"/>
      <c r="H165" s="23"/>
      <c r="I165" s="23"/>
      <c r="J165" s="23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  <c r="AH165" s="10"/>
      <c r="AI165" s="10"/>
      <c r="AJ165" s="10"/>
      <c r="AK165" s="10"/>
      <c r="AL165" s="10"/>
      <c r="AM165" s="10"/>
      <c r="AN165" s="10"/>
      <c r="AO165" s="10"/>
      <c r="AP165" s="10"/>
      <c r="AQ165" s="10"/>
      <c r="AR165" s="10"/>
      <c r="AS165" s="10"/>
      <c r="AT165" s="10"/>
      <c r="AU165" s="10"/>
    </row>
    <row r="166" spans="3:47" x14ac:dyDescent="0.25">
      <c r="C166" s="23"/>
      <c r="D166" s="23"/>
      <c r="E166" s="23"/>
      <c r="F166" s="23"/>
      <c r="G166" s="23"/>
      <c r="H166" s="23"/>
      <c r="I166" s="23"/>
      <c r="J166" s="23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</row>
    <row r="167" spans="3:47" x14ac:dyDescent="0.25">
      <c r="C167" s="23"/>
      <c r="D167" s="23"/>
      <c r="E167" s="23"/>
      <c r="F167" s="23"/>
      <c r="G167" s="23"/>
      <c r="H167" s="23"/>
      <c r="I167" s="23"/>
      <c r="J167" s="23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</row>
    <row r="168" spans="3:47" x14ac:dyDescent="0.25">
      <c r="C168" s="23"/>
      <c r="D168" s="23"/>
      <c r="E168" s="23"/>
      <c r="F168" s="23"/>
      <c r="G168" s="23"/>
      <c r="H168" s="23"/>
      <c r="I168" s="23"/>
      <c r="J168" s="23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</row>
    <row r="169" spans="3:47" x14ac:dyDescent="0.25">
      <c r="C169" s="23"/>
      <c r="D169" s="23"/>
      <c r="E169" s="23"/>
      <c r="F169" s="23"/>
      <c r="G169" s="23"/>
      <c r="H169" s="23"/>
      <c r="I169" s="23"/>
      <c r="J169" s="23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</row>
    <row r="170" spans="3:47" x14ac:dyDescent="0.25">
      <c r="C170" s="23"/>
      <c r="D170" s="23"/>
      <c r="E170" s="23"/>
      <c r="F170" s="23"/>
      <c r="G170" s="23"/>
      <c r="H170" s="23"/>
      <c r="I170" s="23"/>
      <c r="J170" s="23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</row>
    <row r="171" spans="3:47" x14ac:dyDescent="0.25">
      <c r="C171" s="23"/>
      <c r="D171" s="23"/>
      <c r="E171" s="23"/>
      <c r="F171" s="23"/>
      <c r="G171" s="23"/>
      <c r="H171" s="23"/>
      <c r="I171" s="23"/>
      <c r="J171" s="23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</row>
    <row r="172" spans="3:47" x14ac:dyDescent="0.25">
      <c r="C172" s="23"/>
      <c r="D172" s="23"/>
      <c r="E172" s="23"/>
      <c r="F172" s="23"/>
      <c r="G172" s="23"/>
      <c r="H172" s="23"/>
      <c r="I172" s="23"/>
      <c r="J172" s="23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</row>
    <row r="173" spans="3:47" x14ac:dyDescent="0.25">
      <c r="C173" s="23"/>
      <c r="D173" s="23"/>
      <c r="E173" s="23"/>
      <c r="F173" s="23"/>
      <c r="G173" s="23"/>
      <c r="H173" s="23"/>
      <c r="I173" s="23"/>
      <c r="J173" s="23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</row>
    <row r="174" spans="3:47" x14ac:dyDescent="0.25">
      <c r="C174" s="23"/>
      <c r="D174" s="23"/>
      <c r="E174" s="23"/>
      <c r="F174" s="23"/>
      <c r="G174" s="23"/>
      <c r="H174" s="23"/>
      <c r="I174" s="23"/>
      <c r="J174" s="23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</row>
    <row r="175" spans="3:47" x14ac:dyDescent="0.25">
      <c r="C175" s="23"/>
      <c r="D175" s="23"/>
      <c r="E175" s="23"/>
      <c r="F175" s="23"/>
      <c r="G175" s="23"/>
      <c r="H175" s="23"/>
      <c r="I175" s="23"/>
      <c r="J175" s="23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</row>
    <row r="176" spans="3:47" x14ac:dyDescent="0.25">
      <c r="C176" s="23"/>
      <c r="D176" s="23"/>
      <c r="E176" s="23"/>
      <c r="F176" s="23"/>
      <c r="G176" s="23"/>
      <c r="H176" s="23"/>
      <c r="I176" s="23"/>
      <c r="J176" s="23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</row>
    <row r="177" spans="3:47" x14ac:dyDescent="0.25">
      <c r="C177" s="23"/>
      <c r="D177" s="23"/>
      <c r="E177" s="23"/>
      <c r="F177" s="23"/>
      <c r="G177" s="23"/>
      <c r="H177" s="23"/>
      <c r="I177" s="23"/>
      <c r="J177" s="23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</row>
    <row r="178" spans="3:47" x14ac:dyDescent="0.25">
      <c r="C178" s="23"/>
      <c r="D178" s="23"/>
      <c r="E178" s="23"/>
      <c r="F178" s="23"/>
      <c r="G178" s="23"/>
      <c r="H178" s="23"/>
      <c r="I178" s="23"/>
      <c r="J178" s="23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</row>
    <row r="179" spans="3:47" x14ac:dyDescent="0.25">
      <c r="C179" s="23"/>
      <c r="D179" s="23"/>
      <c r="E179" s="23"/>
      <c r="F179" s="23"/>
      <c r="G179" s="23"/>
      <c r="H179" s="23"/>
      <c r="I179" s="23"/>
      <c r="J179" s="23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</row>
    <row r="180" spans="3:47" x14ac:dyDescent="0.25">
      <c r="C180" s="23"/>
      <c r="D180" s="23"/>
      <c r="E180" s="23"/>
      <c r="F180" s="23"/>
      <c r="G180" s="23"/>
      <c r="H180" s="23"/>
      <c r="I180" s="23"/>
      <c r="J180" s="23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</row>
    <row r="181" spans="3:47" x14ac:dyDescent="0.25">
      <c r="C181" s="23"/>
      <c r="D181" s="23"/>
      <c r="E181" s="23"/>
      <c r="F181" s="23"/>
      <c r="G181" s="23"/>
      <c r="H181" s="23"/>
      <c r="I181" s="23"/>
      <c r="J181" s="23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</row>
    <row r="182" spans="3:47" x14ac:dyDescent="0.25">
      <c r="C182" s="23"/>
      <c r="D182" s="23"/>
      <c r="E182" s="23"/>
      <c r="F182" s="23"/>
      <c r="G182" s="23"/>
      <c r="H182" s="23"/>
      <c r="I182" s="23"/>
      <c r="J182" s="23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</row>
    <row r="183" spans="3:47" x14ac:dyDescent="0.25">
      <c r="C183" s="23"/>
      <c r="D183" s="23"/>
      <c r="E183" s="23"/>
      <c r="F183" s="23"/>
      <c r="G183" s="23"/>
      <c r="H183" s="23"/>
      <c r="I183" s="23"/>
      <c r="J183" s="23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</row>
    <row r="184" spans="3:47" x14ac:dyDescent="0.25">
      <c r="C184" s="23"/>
      <c r="D184" s="23"/>
      <c r="E184" s="23"/>
      <c r="F184" s="23"/>
      <c r="G184" s="23"/>
      <c r="H184" s="23"/>
      <c r="I184" s="23"/>
      <c r="J184" s="23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</row>
    <row r="185" spans="3:47" x14ac:dyDescent="0.25">
      <c r="C185" s="23"/>
      <c r="D185" s="23"/>
      <c r="E185" s="23"/>
      <c r="F185" s="23"/>
      <c r="G185" s="23"/>
      <c r="H185" s="23"/>
      <c r="I185" s="23"/>
      <c r="J185" s="23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</row>
    <row r="186" spans="3:47" x14ac:dyDescent="0.25">
      <c r="C186" s="23"/>
      <c r="D186" s="23"/>
      <c r="E186" s="23"/>
      <c r="F186" s="23"/>
      <c r="G186" s="23"/>
      <c r="H186" s="23"/>
      <c r="I186" s="23"/>
      <c r="J186" s="23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</row>
    <row r="187" spans="3:47" x14ac:dyDescent="0.25">
      <c r="C187" s="23"/>
      <c r="D187" s="23"/>
      <c r="E187" s="23"/>
      <c r="F187" s="23"/>
      <c r="G187" s="23"/>
      <c r="H187" s="23"/>
      <c r="I187" s="23"/>
      <c r="J187" s="23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</row>
    <row r="188" spans="3:47" x14ac:dyDescent="0.25">
      <c r="C188" s="23"/>
      <c r="D188" s="23"/>
      <c r="E188" s="23"/>
      <c r="F188" s="23"/>
      <c r="G188" s="23"/>
      <c r="H188" s="23"/>
      <c r="I188" s="23"/>
      <c r="J188" s="23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</row>
    <row r="189" spans="3:47" x14ac:dyDescent="0.25">
      <c r="C189" s="23"/>
      <c r="D189" s="23"/>
      <c r="E189" s="23"/>
      <c r="F189" s="23"/>
      <c r="G189" s="23"/>
      <c r="H189" s="23"/>
      <c r="I189" s="23"/>
      <c r="J189" s="23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</row>
    <row r="190" spans="3:47" x14ac:dyDescent="0.25">
      <c r="C190" s="23"/>
      <c r="D190" s="23"/>
      <c r="E190" s="23"/>
      <c r="F190" s="23"/>
      <c r="G190" s="23"/>
      <c r="H190" s="23"/>
      <c r="I190" s="23"/>
      <c r="J190" s="23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</row>
    <row r="191" spans="3:47" x14ac:dyDescent="0.25">
      <c r="C191" s="23"/>
      <c r="D191" s="23"/>
      <c r="E191" s="23"/>
      <c r="F191" s="23"/>
      <c r="G191" s="23"/>
      <c r="H191" s="23"/>
      <c r="I191" s="23"/>
      <c r="J191" s="23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</row>
    <row r="192" spans="3:47" x14ac:dyDescent="0.25">
      <c r="C192" s="23"/>
      <c r="D192" s="23"/>
      <c r="E192" s="23"/>
      <c r="F192" s="23"/>
      <c r="G192" s="23"/>
      <c r="H192" s="23"/>
      <c r="I192" s="23"/>
      <c r="J192" s="23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</row>
    <row r="193" spans="3:47" x14ac:dyDescent="0.25">
      <c r="C193" s="23"/>
      <c r="D193" s="23"/>
      <c r="E193" s="23"/>
      <c r="F193" s="23"/>
      <c r="G193" s="23"/>
      <c r="H193" s="23"/>
      <c r="I193" s="23"/>
      <c r="J193" s="23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</row>
    <row r="194" spans="3:47" x14ac:dyDescent="0.25">
      <c r="C194" s="23"/>
      <c r="D194" s="23"/>
      <c r="E194" s="23"/>
      <c r="F194" s="23"/>
      <c r="G194" s="23"/>
      <c r="H194" s="23"/>
      <c r="I194" s="23"/>
      <c r="J194" s="23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</row>
    <row r="195" spans="3:47" x14ac:dyDescent="0.25">
      <c r="C195" s="23"/>
      <c r="D195" s="23"/>
      <c r="E195" s="23"/>
      <c r="F195" s="23"/>
      <c r="G195" s="23"/>
      <c r="H195" s="23"/>
      <c r="I195" s="23"/>
      <c r="J195" s="23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</row>
    <row r="196" spans="3:47" x14ac:dyDescent="0.25">
      <c r="C196" s="23"/>
      <c r="D196" s="23"/>
      <c r="E196" s="23"/>
      <c r="F196" s="23"/>
      <c r="G196" s="23"/>
      <c r="H196" s="23"/>
      <c r="I196" s="23"/>
      <c r="J196" s="23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</row>
    <row r="197" spans="3:47" x14ac:dyDescent="0.25">
      <c r="C197" s="23"/>
      <c r="D197" s="23"/>
      <c r="E197" s="23"/>
      <c r="F197" s="23"/>
      <c r="G197" s="23"/>
      <c r="H197" s="23"/>
      <c r="I197" s="23"/>
      <c r="J197" s="23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</row>
    <row r="198" spans="3:47" x14ac:dyDescent="0.25">
      <c r="C198" s="23"/>
      <c r="D198" s="23"/>
      <c r="E198" s="23"/>
      <c r="F198" s="23"/>
      <c r="G198" s="23"/>
      <c r="H198" s="23"/>
      <c r="I198" s="23"/>
      <c r="J198" s="23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</row>
    <row r="199" spans="3:47" x14ac:dyDescent="0.25">
      <c r="C199" s="23"/>
      <c r="D199" s="23"/>
      <c r="E199" s="23"/>
      <c r="F199" s="23"/>
      <c r="G199" s="23"/>
      <c r="H199" s="23"/>
      <c r="I199" s="23"/>
      <c r="J199" s="23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</row>
    <row r="200" spans="3:47" x14ac:dyDescent="0.25">
      <c r="C200" s="23"/>
      <c r="D200" s="23"/>
      <c r="E200" s="23"/>
      <c r="F200" s="23"/>
      <c r="G200" s="23"/>
      <c r="H200" s="23"/>
      <c r="I200" s="23"/>
      <c r="J200" s="23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</row>
    <row r="201" spans="3:47" x14ac:dyDescent="0.25">
      <c r="C201" s="23"/>
      <c r="D201" s="23"/>
      <c r="E201" s="23"/>
      <c r="F201" s="23"/>
      <c r="G201" s="23"/>
      <c r="H201" s="23"/>
      <c r="I201" s="23"/>
      <c r="J201" s="23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</row>
    <row r="202" spans="3:47" x14ac:dyDescent="0.25">
      <c r="C202" s="23"/>
      <c r="D202" s="23"/>
      <c r="E202" s="23"/>
      <c r="F202" s="23"/>
      <c r="G202" s="23"/>
      <c r="H202" s="23"/>
      <c r="I202" s="23"/>
      <c r="J202" s="23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</row>
    <row r="203" spans="3:47" x14ac:dyDescent="0.25">
      <c r="C203" s="23"/>
      <c r="D203" s="23"/>
      <c r="E203" s="23"/>
      <c r="F203" s="23"/>
      <c r="G203" s="23"/>
      <c r="H203" s="23"/>
      <c r="I203" s="23"/>
      <c r="J203" s="23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</row>
    <row r="204" spans="3:47" x14ac:dyDescent="0.25">
      <c r="C204" s="23"/>
      <c r="D204" s="23"/>
      <c r="E204" s="23"/>
      <c r="F204" s="23"/>
      <c r="G204" s="23"/>
      <c r="H204" s="23"/>
      <c r="I204" s="23"/>
      <c r="J204" s="23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</row>
    <row r="205" spans="3:47" x14ac:dyDescent="0.25">
      <c r="C205" s="23"/>
      <c r="D205" s="23"/>
      <c r="E205" s="23"/>
      <c r="F205" s="23"/>
      <c r="G205" s="23"/>
      <c r="H205" s="23"/>
      <c r="I205" s="23"/>
      <c r="J205" s="23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</row>
    <row r="206" spans="3:47" x14ac:dyDescent="0.25">
      <c r="C206" s="23"/>
      <c r="D206" s="23"/>
      <c r="E206" s="23"/>
      <c r="F206" s="23"/>
      <c r="G206" s="23"/>
      <c r="H206" s="23"/>
      <c r="I206" s="23"/>
      <c r="J206" s="23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</row>
    <row r="207" spans="3:47" x14ac:dyDescent="0.25">
      <c r="C207" s="23"/>
      <c r="D207" s="23"/>
      <c r="E207" s="23"/>
      <c r="F207" s="23"/>
      <c r="G207" s="23"/>
      <c r="H207" s="23"/>
      <c r="I207" s="23"/>
      <c r="J207" s="23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</row>
    <row r="208" spans="3:47" x14ac:dyDescent="0.25">
      <c r="C208" s="23"/>
      <c r="D208" s="23"/>
      <c r="E208" s="23"/>
      <c r="F208" s="23"/>
      <c r="G208" s="23"/>
      <c r="H208" s="23"/>
      <c r="I208" s="23"/>
      <c r="J208" s="23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</row>
    <row r="209" spans="3:47" x14ac:dyDescent="0.25">
      <c r="C209" s="23"/>
      <c r="D209" s="23"/>
      <c r="E209" s="23"/>
      <c r="F209" s="23"/>
      <c r="G209" s="23"/>
      <c r="H209" s="23"/>
      <c r="I209" s="23"/>
      <c r="J209" s="23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</row>
    <row r="210" spans="3:47" x14ac:dyDescent="0.25">
      <c r="C210" s="23"/>
      <c r="D210" s="23"/>
      <c r="E210" s="23"/>
      <c r="F210" s="23"/>
      <c r="G210" s="23"/>
      <c r="H210" s="23"/>
      <c r="I210" s="23"/>
      <c r="J210" s="23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</row>
    <row r="211" spans="3:47" x14ac:dyDescent="0.25">
      <c r="C211" s="23"/>
      <c r="D211" s="23"/>
      <c r="E211" s="23"/>
      <c r="F211" s="23"/>
      <c r="G211" s="23"/>
      <c r="H211" s="23"/>
      <c r="I211" s="23"/>
      <c r="J211" s="23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</row>
    <row r="212" spans="3:47" x14ac:dyDescent="0.25">
      <c r="C212" s="23"/>
      <c r="D212" s="23"/>
      <c r="E212" s="23"/>
      <c r="F212" s="23"/>
      <c r="G212" s="23"/>
      <c r="H212" s="23"/>
      <c r="I212" s="23"/>
      <c r="J212" s="23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</row>
    <row r="213" spans="3:47" x14ac:dyDescent="0.25">
      <c r="C213" s="23"/>
      <c r="D213" s="23"/>
      <c r="E213" s="23"/>
      <c r="F213" s="23"/>
      <c r="G213" s="23"/>
      <c r="H213" s="23"/>
      <c r="I213" s="23"/>
      <c r="J213" s="23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</row>
    <row r="214" spans="3:47" x14ac:dyDescent="0.25">
      <c r="C214" s="23"/>
      <c r="D214" s="23"/>
      <c r="E214" s="23"/>
      <c r="F214" s="23"/>
      <c r="G214" s="23"/>
      <c r="H214" s="23"/>
      <c r="I214" s="23"/>
      <c r="J214" s="23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</row>
    <row r="215" spans="3:47" x14ac:dyDescent="0.25">
      <c r="C215" s="23"/>
      <c r="D215" s="23"/>
      <c r="E215" s="23"/>
      <c r="F215" s="23"/>
      <c r="G215" s="23"/>
      <c r="H215" s="23"/>
      <c r="I215" s="23"/>
      <c r="J215" s="23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</row>
    <row r="216" spans="3:47" x14ac:dyDescent="0.25">
      <c r="C216" s="23"/>
      <c r="D216" s="23"/>
      <c r="E216" s="23"/>
      <c r="F216" s="23"/>
      <c r="G216" s="23"/>
      <c r="H216" s="23"/>
      <c r="I216" s="23"/>
      <c r="J216" s="23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</row>
    <row r="217" spans="3:47" x14ac:dyDescent="0.25">
      <c r="C217" s="23"/>
      <c r="D217" s="23"/>
      <c r="E217" s="23"/>
      <c r="F217" s="23"/>
      <c r="G217" s="23"/>
      <c r="H217" s="23"/>
      <c r="I217" s="23"/>
      <c r="J217" s="23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</row>
    <row r="218" spans="3:47" x14ac:dyDescent="0.25">
      <c r="C218" s="23"/>
      <c r="D218" s="23"/>
      <c r="E218" s="23"/>
      <c r="F218" s="23"/>
      <c r="G218" s="23"/>
      <c r="H218" s="23"/>
      <c r="I218" s="23"/>
      <c r="J218" s="23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</row>
    <row r="219" spans="3:47" x14ac:dyDescent="0.25">
      <c r="C219" s="23"/>
      <c r="D219" s="23"/>
      <c r="E219" s="23"/>
      <c r="F219" s="23"/>
      <c r="G219" s="23"/>
      <c r="H219" s="23"/>
      <c r="I219" s="23"/>
      <c r="J219" s="23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</row>
    <row r="220" spans="3:47" x14ac:dyDescent="0.25">
      <c r="C220" s="23"/>
      <c r="D220" s="23"/>
      <c r="E220" s="23"/>
      <c r="F220" s="23"/>
      <c r="G220" s="23"/>
      <c r="H220" s="23"/>
      <c r="I220" s="23"/>
      <c r="J220" s="23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</row>
    <row r="221" spans="3:47" x14ac:dyDescent="0.25">
      <c r="C221" s="23"/>
      <c r="D221" s="23"/>
      <c r="E221" s="23"/>
      <c r="F221" s="23"/>
      <c r="G221" s="23"/>
      <c r="H221" s="23"/>
      <c r="I221" s="23"/>
      <c r="J221" s="23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</row>
    <row r="222" spans="3:47" x14ac:dyDescent="0.25">
      <c r="C222" s="23"/>
      <c r="D222" s="23"/>
      <c r="E222" s="23"/>
      <c r="F222" s="23"/>
      <c r="G222" s="23"/>
      <c r="H222" s="23"/>
      <c r="I222" s="23"/>
      <c r="J222" s="23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</row>
    <row r="223" spans="3:47" x14ac:dyDescent="0.25">
      <c r="C223" s="23"/>
      <c r="D223" s="23"/>
      <c r="E223" s="23"/>
      <c r="F223" s="23"/>
      <c r="G223" s="23"/>
      <c r="H223" s="23"/>
      <c r="I223" s="23"/>
      <c r="J223" s="23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</row>
    <row r="224" spans="3:47" x14ac:dyDescent="0.25">
      <c r="C224" s="23"/>
      <c r="D224" s="23"/>
      <c r="E224" s="23"/>
      <c r="F224" s="23"/>
      <c r="G224" s="23"/>
      <c r="H224" s="23"/>
      <c r="I224" s="23"/>
      <c r="J224" s="23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</row>
    <row r="225" spans="3:47" x14ac:dyDescent="0.25">
      <c r="C225" s="23"/>
      <c r="D225" s="23"/>
      <c r="E225" s="23"/>
      <c r="F225" s="23"/>
      <c r="G225" s="23"/>
      <c r="H225" s="23"/>
      <c r="I225" s="23"/>
      <c r="J225" s="23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</row>
    <row r="226" spans="3:47" x14ac:dyDescent="0.25">
      <c r="C226" s="23"/>
      <c r="D226" s="23"/>
      <c r="E226" s="23"/>
      <c r="F226" s="23"/>
      <c r="G226" s="23"/>
      <c r="H226" s="23"/>
      <c r="I226" s="23"/>
      <c r="J226" s="23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</row>
    <row r="227" spans="3:47" x14ac:dyDescent="0.25">
      <c r="F227" s="23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</row>
    <row r="228" spans="3:47" x14ac:dyDescent="0.25">
      <c r="F228" s="23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</row>
  </sheetData>
  <mergeCells count="54">
    <mergeCell ref="AC5:AC6"/>
    <mergeCell ref="AA60:AD60"/>
    <mergeCell ref="AA61:AB61"/>
    <mergeCell ref="A2:AD2"/>
    <mergeCell ref="S5:T5"/>
    <mergeCell ref="U5:V5"/>
    <mergeCell ref="W5:X5"/>
    <mergeCell ref="S4:Z4"/>
    <mergeCell ref="AA5:AB5"/>
    <mergeCell ref="Y5:Y6"/>
    <mergeCell ref="I5:J5"/>
    <mergeCell ref="Q5:Q6"/>
    <mergeCell ref="B60:H60"/>
    <mergeCell ref="M61:N61"/>
    <mergeCell ref="D4:D6"/>
    <mergeCell ref="C61:D61"/>
    <mergeCell ref="AA1:AD1"/>
    <mergeCell ref="Z5:Z6"/>
    <mergeCell ref="AD5:AD6"/>
    <mergeCell ref="AA4:AD4"/>
    <mergeCell ref="A4:A6"/>
    <mergeCell ref="B4:B6"/>
    <mergeCell ref="C4:C6"/>
    <mergeCell ref="E4:E6"/>
    <mergeCell ref="F4:F6"/>
    <mergeCell ref="G4:G6"/>
    <mergeCell ref="H4:H6"/>
    <mergeCell ref="K5:L5"/>
    <mergeCell ref="M5:N5"/>
    <mergeCell ref="O5:P5"/>
    <mergeCell ref="I4:R4"/>
    <mergeCell ref="R5:R6"/>
    <mergeCell ref="AA62:AB62"/>
    <mergeCell ref="AA66:AB66"/>
    <mergeCell ref="U62:V62"/>
    <mergeCell ref="U61:V61"/>
    <mergeCell ref="M60:R60"/>
    <mergeCell ref="U60:Z60"/>
    <mergeCell ref="U66:V66"/>
    <mergeCell ref="U65:V65"/>
    <mergeCell ref="AA65:AB65"/>
    <mergeCell ref="B70:H70"/>
    <mergeCell ref="K70:M70"/>
    <mergeCell ref="B72:H72"/>
    <mergeCell ref="K72:M72"/>
    <mergeCell ref="M62:N62"/>
    <mergeCell ref="M66:N66"/>
    <mergeCell ref="M65:N65"/>
    <mergeCell ref="C65:D65"/>
    <mergeCell ref="C66:E66"/>
    <mergeCell ref="F66:G66"/>
    <mergeCell ref="C62:E62"/>
    <mergeCell ref="F62:G62"/>
    <mergeCell ref="B64:H64"/>
  </mergeCells>
  <pageMargins left="0.31496062992125984" right="0.31496062992125984" top="0.55118110236220474" bottom="0.55118110236220474" header="0.31496062992125984" footer="0.31496062992125984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2022-06-14T11:27:16Z</dcterms:modified>
</cp:coreProperties>
</file>