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05" windowWidth="15180" windowHeight="6285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Лист1!$10:$11</definedName>
    <definedName name="_xlnm.Print_Area" localSheetId="0">Лист1!$A$1:$AC$87</definedName>
  </definedNames>
  <calcPr calcId="125725"/>
</workbook>
</file>

<file path=xl/calcChain.xml><?xml version="1.0" encoding="utf-8"?>
<calcChain xmlns="http://schemas.openxmlformats.org/spreadsheetml/2006/main">
  <c r="M86" i="1"/>
  <c r="N86"/>
  <c r="AC86" l="1"/>
  <c r="V86"/>
  <c r="V59"/>
  <c r="AC26"/>
  <c r="AC27"/>
  <c r="AC28"/>
  <c r="AC25"/>
  <c r="AB26"/>
  <c r="V26"/>
  <c r="V27"/>
  <c r="V28"/>
  <c r="V25"/>
  <c r="U26"/>
  <c r="V17"/>
  <c r="V14"/>
  <c r="V13"/>
  <c r="U14"/>
  <c r="N85" l="1"/>
  <c r="N81"/>
  <c r="M75"/>
  <c r="N75" l="1"/>
  <c r="N76"/>
  <c r="N77"/>
  <c r="N78"/>
  <c r="N59"/>
  <c r="N55"/>
  <c r="M59"/>
  <c r="I50"/>
  <c r="I52"/>
  <c r="M31"/>
  <c r="N52" l="1"/>
  <c r="N50" s="1"/>
  <c r="N51"/>
  <c r="N49"/>
  <c r="N46"/>
  <c r="N47"/>
  <c r="N45"/>
  <c r="N43"/>
  <c r="N44"/>
  <c r="N42"/>
  <c r="N40"/>
  <c r="N36"/>
  <c r="N37"/>
  <c r="N38"/>
  <c r="N39"/>
  <c r="N35"/>
  <c r="N33"/>
  <c r="N32"/>
  <c r="N31"/>
  <c r="N29"/>
  <c r="N26"/>
  <c r="N27"/>
  <c r="N28"/>
  <c r="N25"/>
  <c r="N21"/>
  <c r="N22"/>
  <c r="N23"/>
  <c r="N20"/>
  <c r="N18"/>
  <c r="N17"/>
  <c r="N16"/>
  <c r="N14"/>
  <c r="N13"/>
  <c r="N12" s="1"/>
  <c r="M14"/>
  <c r="M13"/>
  <c r="L46" l="1"/>
  <c r="L86"/>
  <c r="L85"/>
  <c r="AA25" l="1"/>
  <c r="L13" l="1"/>
  <c r="L44" l="1"/>
  <c r="L27"/>
  <c r="AA31" l="1"/>
  <c r="T31"/>
  <c r="L31"/>
  <c r="T25"/>
  <c r="L25"/>
  <c r="L80"/>
  <c r="K79"/>
  <c r="J79"/>
  <c r="I79"/>
  <c r="H79"/>
  <c r="G79"/>
  <c r="F79"/>
  <c r="E79"/>
  <c r="D79"/>
  <c r="L28" l="1"/>
  <c r="L26"/>
  <c r="L81"/>
  <c r="L79" s="1"/>
  <c r="AC85"/>
  <c r="AC84"/>
  <c r="AC83"/>
  <c r="AC82"/>
  <c r="AA81"/>
  <c r="AC81" s="1"/>
  <c r="AA80"/>
  <c r="AC80" s="1"/>
  <c r="AC78"/>
  <c r="AC77"/>
  <c r="AC76"/>
  <c r="AC75"/>
  <c r="AC74"/>
  <c r="AC73"/>
  <c r="AC72"/>
  <c r="AC70"/>
  <c r="AC69"/>
  <c r="AC68"/>
  <c r="AC67"/>
  <c r="AC66"/>
  <c r="AC65"/>
  <c r="AC64"/>
  <c r="AC62"/>
  <c r="AC61"/>
  <c r="AC60"/>
  <c r="AC59"/>
  <c r="AC57"/>
  <c r="AC56" s="1"/>
  <c r="W56"/>
  <c r="AC55"/>
  <c r="AC54"/>
  <c r="AC51"/>
  <c r="AC49"/>
  <c r="AC47"/>
  <c r="AC46"/>
  <c r="AC45"/>
  <c r="AC43"/>
  <c r="AC42"/>
  <c r="AC40"/>
  <c r="AC39"/>
  <c r="AC38"/>
  <c r="AC37"/>
  <c r="AC36"/>
  <c r="AC35"/>
  <c r="AC33"/>
  <c r="AC32"/>
  <c r="AC31"/>
  <c r="AC29"/>
  <c r="AC23"/>
  <c r="AC22"/>
  <c r="AC21"/>
  <c r="AC20"/>
  <c r="AC18"/>
  <c r="AC16"/>
  <c r="AC17"/>
  <c r="T81"/>
  <c r="V81" s="1"/>
  <c r="T80"/>
  <c r="V80" s="1"/>
  <c r="AA71"/>
  <c r="AA63"/>
  <c r="AA58"/>
  <c r="AA56"/>
  <c r="AA53"/>
  <c r="AA50"/>
  <c r="AA41"/>
  <c r="AA34"/>
  <c r="AA30"/>
  <c r="AA24"/>
  <c r="AA19"/>
  <c r="AA15"/>
  <c r="AA12"/>
  <c r="N80"/>
  <c r="V79" l="1"/>
  <c r="AC79"/>
  <c r="L24"/>
  <c r="AA48"/>
  <c r="AA87" s="1"/>
  <c r="N79"/>
  <c r="L70"/>
  <c r="L17" l="1"/>
  <c r="V85" l="1"/>
  <c r="V84"/>
  <c r="V83"/>
  <c r="V82"/>
  <c r="V78"/>
  <c r="V77"/>
  <c r="V76"/>
  <c r="V75"/>
  <c r="V74"/>
  <c r="V73"/>
  <c r="V72"/>
  <c r="V69"/>
  <c r="V68"/>
  <c r="V67"/>
  <c r="V66"/>
  <c r="V64"/>
  <c r="V62"/>
  <c r="V61"/>
  <c r="V60"/>
  <c r="V58"/>
  <c r="V57"/>
  <c r="V56" s="1"/>
  <c r="V54"/>
  <c r="V51"/>
  <c r="V49"/>
  <c r="V47"/>
  <c r="V46"/>
  <c r="V45"/>
  <c r="V43"/>
  <c r="V42"/>
  <c r="V40"/>
  <c r="V39"/>
  <c r="V38"/>
  <c r="V37"/>
  <c r="V36"/>
  <c r="V33"/>
  <c r="V32"/>
  <c r="V31"/>
  <c r="V29"/>
  <c r="V23"/>
  <c r="V22"/>
  <c r="V21"/>
  <c r="V20"/>
  <c r="V18"/>
  <c r="V16"/>
  <c r="T71"/>
  <c r="T63"/>
  <c r="T58"/>
  <c r="T56"/>
  <c r="T53"/>
  <c r="T50"/>
  <c r="T41"/>
  <c r="T34"/>
  <c r="T30"/>
  <c r="T24"/>
  <c r="T19"/>
  <c r="T15"/>
  <c r="T12"/>
  <c r="L63"/>
  <c r="N84"/>
  <c r="N83"/>
  <c r="N82"/>
  <c r="N74"/>
  <c r="N73"/>
  <c r="N72"/>
  <c r="L71"/>
  <c r="N69"/>
  <c r="N68"/>
  <c r="N67"/>
  <c r="N66"/>
  <c r="N64"/>
  <c r="N62"/>
  <c r="N61"/>
  <c r="N60"/>
  <c r="L58"/>
  <c r="N57"/>
  <c r="N56" s="1"/>
  <c r="L56"/>
  <c r="N54"/>
  <c r="N53" s="1"/>
  <c r="L53"/>
  <c r="L50"/>
  <c r="L41"/>
  <c r="L34"/>
  <c r="L30"/>
  <c r="L19"/>
  <c r="L15"/>
  <c r="L12"/>
  <c r="K31"/>
  <c r="K52"/>
  <c r="K46"/>
  <c r="K55"/>
  <c r="L48" l="1"/>
  <c r="L87" s="1"/>
  <c r="T48"/>
  <c r="T87" s="1"/>
  <c r="S55"/>
  <c r="V55" s="1"/>
  <c r="R53" l="1"/>
  <c r="S53"/>
  <c r="S50"/>
  <c r="S30"/>
  <c r="K17"/>
  <c r="S48" l="1"/>
  <c r="S87" s="1"/>
  <c r="K27"/>
  <c r="K86"/>
  <c r="K56" l="1"/>
  <c r="K70" l="1"/>
  <c r="K30" l="1"/>
  <c r="K71"/>
  <c r="K63"/>
  <c r="K58"/>
  <c r="K53"/>
  <c r="K50"/>
  <c r="K41"/>
  <c r="K34"/>
  <c r="K24"/>
  <c r="K19"/>
  <c r="K15"/>
  <c r="K12"/>
  <c r="K48" l="1"/>
  <c r="K87" s="1"/>
  <c r="J86"/>
  <c r="J31" l="1"/>
  <c r="J18"/>
  <c r="J13"/>
  <c r="J55"/>
  <c r="J71" l="1"/>
  <c r="J58"/>
  <c r="J53"/>
  <c r="J50"/>
  <c r="J34"/>
  <c r="J30"/>
  <c r="J24"/>
  <c r="E19"/>
  <c r="F19"/>
  <c r="G19"/>
  <c r="H19"/>
  <c r="I19"/>
  <c r="J19"/>
  <c r="J15"/>
  <c r="J12"/>
  <c r="I70"/>
  <c r="J48" l="1"/>
  <c r="J87" s="1"/>
  <c r="I44"/>
  <c r="I31"/>
  <c r="I53"/>
  <c r="I48" s="1"/>
  <c r="I17" l="1"/>
  <c r="I30"/>
  <c r="I27"/>
  <c r="I34"/>
  <c r="I12"/>
  <c r="I41"/>
  <c r="I24"/>
  <c r="Z50" l="1"/>
  <c r="Z48" s="1"/>
  <c r="Z87" s="1"/>
  <c r="Q58"/>
  <c r="I15"/>
  <c r="P50"/>
  <c r="Q50"/>
  <c r="R50"/>
  <c r="R48" s="1"/>
  <c r="P30"/>
  <c r="Q30"/>
  <c r="R30"/>
  <c r="Q48" l="1"/>
  <c r="Q87" s="1"/>
  <c r="R87"/>
  <c r="I87"/>
  <c r="H70"/>
  <c r="H13"/>
  <c r="H58" l="1"/>
  <c r="H53"/>
  <c r="H48" l="1"/>
  <c r="H44"/>
  <c r="H40" l="1"/>
  <c r="G34"/>
  <c r="H34"/>
  <c r="H32"/>
  <c r="H41"/>
  <c r="E12"/>
  <c r="G12"/>
  <c r="H12"/>
  <c r="H63"/>
  <c r="H31"/>
  <c r="H27" l="1"/>
  <c r="H24" s="1"/>
  <c r="H15"/>
  <c r="G15"/>
  <c r="G87" s="1"/>
  <c r="H30" l="1"/>
  <c r="H87" s="1"/>
  <c r="N15"/>
  <c r="P14"/>
  <c r="F14"/>
  <c r="P71" l="1"/>
  <c r="W71"/>
  <c r="X71"/>
  <c r="P63"/>
  <c r="W63"/>
  <c r="X63"/>
  <c r="X58"/>
  <c r="W58"/>
  <c r="P58"/>
  <c r="O58"/>
  <c r="X24"/>
  <c r="P12"/>
  <c r="E71"/>
  <c r="F71"/>
  <c r="E63"/>
  <c r="E58"/>
  <c r="F58"/>
  <c r="D58"/>
  <c r="F53"/>
  <c r="D53"/>
  <c r="E50"/>
  <c r="F50"/>
  <c r="D50"/>
  <c r="E41"/>
  <c r="F41"/>
  <c r="E34"/>
  <c r="F34"/>
  <c r="E30"/>
  <c r="F30"/>
  <c r="E24"/>
  <c r="F24"/>
  <c r="E15"/>
  <c r="F15"/>
  <c r="D15"/>
  <c r="AC14"/>
  <c r="AC13"/>
  <c r="X12"/>
  <c r="W12"/>
  <c r="O12"/>
  <c r="F12"/>
  <c r="V12" l="1"/>
  <c r="AC12"/>
  <c r="D12"/>
  <c r="F70" l="1"/>
  <c r="N70" s="1"/>
  <c r="F65"/>
  <c r="N65" s="1"/>
  <c r="N58"/>
  <c r="N48" s="1"/>
  <c r="F63" l="1"/>
  <c r="F87" s="1"/>
  <c r="N63"/>
  <c r="N41"/>
  <c r="N71"/>
  <c r="N34"/>
  <c r="N30"/>
  <c r="N19"/>
  <c r="E55"/>
  <c r="P41"/>
  <c r="X41"/>
  <c r="O71"/>
  <c r="P53"/>
  <c r="P48" s="1"/>
  <c r="W53"/>
  <c r="X53"/>
  <c r="X50"/>
  <c r="P34"/>
  <c r="W34"/>
  <c r="X34"/>
  <c r="W30"/>
  <c r="X30"/>
  <c r="P19"/>
  <c r="W19"/>
  <c r="X19"/>
  <c r="P15"/>
  <c r="W15"/>
  <c r="X15"/>
  <c r="W27"/>
  <c r="O27"/>
  <c r="V24" s="1"/>
  <c r="O19"/>
  <c r="O15"/>
  <c r="O35"/>
  <c r="V35" s="1"/>
  <c r="O30"/>
  <c r="W52"/>
  <c r="AC52" s="1"/>
  <c r="O52"/>
  <c r="V52" s="1"/>
  <c r="V50" s="1"/>
  <c r="O53"/>
  <c r="W44"/>
  <c r="O44"/>
  <c r="V44" s="1"/>
  <c r="O70"/>
  <c r="V70" s="1"/>
  <c r="O65"/>
  <c r="V65" s="1"/>
  <c r="D71"/>
  <c r="D63"/>
  <c r="D41"/>
  <c r="D34"/>
  <c r="D30"/>
  <c r="D27"/>
  <c r="N24" s="1"/>
  <c r="D19"/>
  <c r="W24" l="1"/>
  <c r="W41"/>
  <c r="AC44"/>
  <c r="W50"/>
  <c r="AC50"/>
  <c r="O24"/>
  <c r="O50"/>
  <c r="O34"/>
  <c r="V34"/>
  <c r="AC15"/>
  <c r="V15"/>
  <c r="E53"/>
  <c r="E48" s="1"/>
  <c r="E87" s="1"/>
  <c r="V71"/>
  <c r="V63"/>
  <c r="AC63"/>
  <c r="AC71"/>
  <c r="AC58"/>
  <c r="P87"/>
  <c r="O48"/>
  <c r="AC30"/>
  <c r="D24"/>
  <c r="V30"/>
  <c r="W48"/>
  <c r="X48"/>
  <c r="X87" s="1"/>
  <c r="O41"/>
  <c r="AC41"/>
  <c r="AC24"/>
  <c r="O63"/>
  <c r="V41"/>
  <c r="AC19"/>
  <c r="V19"/>
  <c r="AC34"/>
  <c r="V53"/>
  <c r="V48" s="1"/>
  <c r="AC53"/>
  <c r="D48"/>
  <c r="W87" l="1"/>
  <c r="X88" s="1"/>
  <c r="Y88" s="1"/>
  <c r="Z88" s="1"/>
  <c r="AC48"/>
  <c r="O87"/>
  <c r="P88" s="1"/>
  <c r="Q88" s="1"/>
  <c r="R88" s="1"/>
  <c r="S88" s="1"/>
  <c r="N87"/>
  <c r="V87"/>
  <c r="D87"/>
  <c r="E88" s="1"/>
  <c r="F88" s="1"/>
  <c r="G88" s="1"/>
  <c r="H88" s="1"/>
  <c r="I88" s="1"/>
  <c r="J88" s="1"/>
  <c r="K88" s="1"/>
  <c r="L88" s="1"/>
  <c r="M88" s="1"/>
  <c r="L89" l="1"/>
  <c r="S89"/>
  <c r="AC87"/>
  <c r="Z89" s="1"/>
</calcChain>
</file>

<file path=xl/sharedStrings.xml><?xml version="1.0" encoding="utf-8"?>
<sst xmlns="http://schemas.openxmlformats.org/spreadsheetml/2006/main" count="114" uniqueCount="112">
  <si>
    <t>№ п/п</t>
  </si>
  <si>
    <t>Наименование программы</t>
  </si>
  <si>
    <t>Сумма, тыс. руб.</t>
  </si>
  <si>
    <t>2017 год</t>
  </si>
  <si>
    <t>Муниципальная программа «Культура Тольятти (2014-2018гг.)»</t>
  </si>
  <si>
    <t>Муниципальная программа организации работы с детьми и молодежью в городском округе Тольятти «Молодежь Тольятти» на 2014-2020гг.</t>
  </si>
  <si>
    <t>Муниципальная программа «Формирование беспрепятственного доступа инвалидов и других маломобильных групп населения к объектам социальной инфраструктуры на территории городского округа Тольятти на 2014-2020 годы»</t>
  </si>
  <si>
    <t>Муниципальная программа «Защита населения и территорий от чрезвычайных ситуаций в мирное и военное время, обеспечение первичных мер пожарной безопасности и безопасности людей на водных объектах в городском округе Тольятти на 2015-2020 годы»</t>
  </si>
  <si>
    <t>Муниципальная программа городского округа Тольятти «Развитие малого и среднего предпринимательства городского округа Тольятти на 2014-2017 годы»</t>
  </si>
  <si>
    <t>Муниципальная программа «Тольятти -чистый город» на 2015-2019 годы</t>
  </si>
  <si>
    <t>Муниципальная программа «Капитальный ремонт многоквартирных домов городского округа Тольятти на 2014-2018 годы»</t>
  </si>
  <si>
    <t>Муниципальная программа «Охрана, защита и воспроизводство лесов, расположенных в границах городского округа Тольятти, на 2014-2018 годы»</t>
  </si>
  <si>
    <t>Муниципальная программа «Создание условий для развития туризма на территории городского округа Тольятти на 2014-2020гг.»</t>
  </si>
  <si>
    <t xml:space="preserve">Муниципальная программа «Поддержка социально ориентированных некоммерческих организаций в городском округе Тольятти на 2015-2020 годы» </t>
  </si>
  <si>
    <t>Муниципальная экологическая программа городского округа Тольятти на 2015-2017 годы</t>
  </si>
  <si>
    <t>Муниципальная программа «Семья и дети городского округа Тольятти» на 2015-2017 годы</t>
  </si>
  <si>
    <t>Муниципальная программа «Содержание и ремонт объектов и сетей инженерной инфраструктуры городского округа Тольятти на 2015-2017 годы»</t>
  </si>
  <si>
    <t>Муниципальная программа «Ремонт  помещений, находящихся в муниципальной собственности городского округа Тольятти, на 2015-2017 годы»</t>
  </si>
  <si>
    <t>Муниципальная программа «Благоустройство территории городского округа Тольятти на 2015-2024 годы»</t>
  </si>
  <si>
    <t>2018 год</t>
  </si>
  <si>
    <t>ИТОГО</t>
  </si>
  <si>
    <t>Муниципальная программа городского округа Тольятти «Молодой семье - доступное жилье» на 2014-2020гг.</t>
  </si>
  <si>
    <t>2019 год</t>
  </si>
  <si>
    <t>Муниципальная программа «Развитие физической культуры и спорта в городском округе Тольятти на 2017-2021 годы»</t>
  </si>
  <si>
    <t>Муниципальная программа по созданию условий для улучшения качества жизни жителей городского округа Тольятти и обеспечения социальной стабильности на 2017-2019 годы</t>
  </si>
  <si>
    <t>Муниципальная программа мер по профилактике наркомании населения городского округа Тольятти на 2016-2018 годы</t>
  </si>
  <si>
    <t xml:space="preserve">Муниципальная программа «Развитие инфраструктуры градостроительной деятельности городского округа Тольятти на 2017-2022 годы» </t>
  </si>
  <si>
    <t>Муниципальная программа «Развитие информационно-телекоммуникационной инфраструктуры городского округа Тольятти на 2017 – 2021 годы»</t>
  </si>
  <si>
    <t>Муниципальная программа «Профилактика терроризма, экстремизма и иных правонарушений на территории городского округа Тольятти на 2017-2019 годы»</t>
  </si>
  <si>
    <t>Муниципальная программа «Противодействие коррупции в городском округе Тольятти на 2017-2021 годы»</t>
  </si>
  <si>
    <t>Муниципальная программа «Охрана окружающей среды на территории городского округа Тольятти на 2017-2021 годы»</t>
  </si>
  <si>
    <t>Муниципальная программа «Развитие системы образования городского округа Тольятти на 2017-2020 гг.»</t>
  </si>
  <si>
    <t xml:space="preserve">Подпрограмма «Развитие городского пассажирского транспорта в городском округе Тольятти на период 2014-2020гг.» </t>
  </si>
  <si>
    <t>Подпрограмма «Развитие муниципальной службы в городском округе Тольятти на 2017-2022 годы»</t>
  </si>
  <si>
    <t>Муниципальная программа «Развитие транспортной системы и дорожного хозяйства городского округа Тольятти на 2014-2020гг.», в том числе:</t>
  </si>
  <si>
    <t>Муниципальная программа «Развитие органов местного самоуправления городского округа Тольятти на 2017-2022 годы», в том числе:</t>
  </si>
  <si>
    <r>
      <t xml:space="preserve">Подпрограмма </t>
    </r>
    <r>
      <rPr>
        <sz val="11"/>
        <rFont val="Calibri"/>
        <family val="2"/>
        <charset val="204"/>
      </rPr>
      <t>«</t>
    </r>
    <r>
      <rPr>
        <i/>
        <sz val="11"/>
        <rFont val="Times New Roman"/>
        <family val="1"/>
        <charset val="204"/>
      </rPr>
      <t>Повышение безопасности дорожного движения на период 2014-2020 гг.</t>
    </r>
    <r>
      <rPr>
        <sz val="11"/>
        <rFont val="Calibri"/>
        <family val="2"/>
        <charset val="204"/>
      </rPr>
      <t>»</t>
    </r>
    <r>
      <rPr>
        <i/>
        <sz val="11"/>
        <rFont val="Times New Roman"/>
        <family val="1"/>
        <charset val="204"/>
      </rPr>
      <t xml:space="preserve">                      </t>
    </r>
  </si>
  <si>
    <r>
      <t xml:space="preserve">Подпрограмма </t>
    </r>
    <r>
      <rPr>
        <sz val="11"/>
        <rFont val="Calibri"/>
        <family val="2"/>
        <charset val="204"/>
      </rPr>
      <t>«</t>
    </r>
    <r>
      <rPr>
        <i/>
        <sz val="11"/>
        <rFont val="Times New Roman"/>
        <family val="1"/>
        <charset val="204"/>
      </rPr>
      <t>Модернизация и развитие автомобильных дорог  общего пользования местного значения  городского округа  Тольятти на 2014 -2020 годы</t>
    </r>
    <r>
      <rPr>
        <sz val="11"/>
        <rFont val="Calibri"/>
        <family val="2"/>
        <charset val="204"/>
      </rPr>
      <t>»</t>
    </r>
  </si>
  <si>
    <t xml:space="preserve">Подпрограмма «Содержание улично-дорожной сети городского округа Тольятти на 2014-2020гг.» </t>
  </si>
  <si>
    <t>010</t>
  </si>
  <si>
    <t>020</t>
  </si>
  <si>
    <t>030</t>
  </si>
  <si>
    <t>040</t>
  </si>
  <si>
    <t>050</t>
  </si>
  <si>
    <t>060</t>
  </si>
  <si>
    <t>070</t>
  </si>
  <si>
    <t>080</t>
  </si>
  <si>
    <t>090</t>
  </si>
  <si>
    <t>100</t>
  </si>
  <si>
    <t>110</t>
  </si>
  <si>
    <t>120</t>
  </si>
  <si>
    <t>130</t>
  </si>
  <si>
    <t>140</t>
  </si>
  <si>
    <t>150</t>
  </si>
  <si>
    <t>151</t>
  </si>
  <si>
    <t>155</t>
  </si>
  <si>
    <t>152</t>
  </si>
  <si>
    <t>154</t>
  </si>
  <si>
    <t>160</t>
  </si>
  <si>
    <t>170</t>
  </si>
  <si>
    <t>220</t>
  </si>
  <si>
    <t>221</t>
  </si>
  <si>
    <t>230</t>
  </si>
  <si>
    <t>240</t>
  </si>
  <si>
    <t>260</t>
  </si>
  <si>
    <t>280</t>
  </si>
  <si>
    <t>290</t>
  </si>
  <si>
    <t>300</t>
  </si>
  <si>
    <t>310</t>
  </si>
  <si>
    <t>320</t>
  </si>
  <si>
    <t>330</t>
  </si>
  <si>
    <t>проект</t>
  </si>
  <si>
    <t>Приложение  12</t>
  </si>
  <si>
    <t>к решению Думы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</si>
  <si>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</si>
  <si>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</si>
  <si>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</si>
  <si>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</si>
  <si>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</si>
  <si>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</si>
  <si>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</si>
  <si>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</si>
  <si>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</si>
  <si>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</si>
  <si>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</si>
  <si>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</si>
  <si>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</si>
  <si>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</si>
  <si>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</si>
  <si>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</si>
  <si>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</si>
  <si>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</si>
  <si>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</si>
  <si>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</si>
  <si>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</si>
  <si>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</si>
  <si>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</si>
  <si>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</si>
  <si>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</si>
  <si>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</si>
  <si>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</si>
  <si>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229</t>
  </si>
  <si>
    <t>270</t>
  </si>
  <si>
    <t>28.</t>
  </si>
  <si>
    <t>Муниципальная программа «Развитие потребительского рынка в городском округе Тольятти на 2017-2021 годы»</t>
  </si>
  <si>
    <t>от 07.12.2016  № 1274</t>
  </si>
  <si>
    <t xml:space="preserve">к решению Думы </t>
  </si>
  <si>
    <t>от_______ № ______</t>
  </si>
  <si>
    <t>ПЕРЕЧЕНЬ МУНИЦИПАЛЬНЫХ ПРОГРАММ, ПОДЛЕЖАЩИХ ФИНАНСИРОВАНИЮ ИЗ БЮДЖЕТА ГОРОДСКОГО ОКРУГА ТОЛЬЯТТИ, НА 2017 ГОД И ПЛАНОВЫЙ ПЕРИОД 2018 И 2019 ГОДОВ</t>
  </si>
  <si>
    <t>153</t>
  </si>
  <si>
    <t>Подпрограмма «Развитие автомобильных дорог городского округа Тольятти, расположенных в зоне застройки индивидуальными жилыми домами на 2014-2020 годы»</t>
  </si>
  <si>
    <t>Приложение 10</t>
  </si>
</sst>
</file>

<file path=xl/styles.xml><?xml version="1.0" encoding="utf-8"?>
<styleSheet xmlns="http://schemas.openxmlformats.org/spreadsheetml/2006/main">
  <fonts count="13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color theme="1"/>
      <name val="Times New Roman"/>
      <family val="2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Calibri"/>
      <family val="2"/>
      <charset val="204"/>
      <scheme val="minor"/>
    </font>
    <font>
      <i/>
      <sz val="11"/>
      <name val="Times New Roman"/>
      <family val="1"/>
      <charset val="204"/>
    </font>
    <font>
      <sz val="11"/>
      <name val="Calibri"/>
      <family val="2"/>
      <charset val="204"/>
    </font>
    <font>
      <b/>
      <i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b/>
      <i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61">
    <xf numFmtId="0" fontId="0" fillId="0" borderId="0" xfId="0"/>
    <xf numFmtId="0" fontId="0" fillId="0" borderId="0" xfId="0" applyBorder="1"/>
    <xf numFmtId="0" fontId="6" fillId="0" borderId="0" xfId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wrapText="1"/>
    </xf>
    <xf numFmtId="3" fontId="4" fillId="0" borderId="1" xfId="0" applyNumberFormat="1" applyFont="1" applyFill="1" applyBorder="1"/>
    <xf numFmtId="3" fontId="4" fillId="0" borderId="0" xfId="0" applyNumberFormat="1" applyFont="1" applyFill="1" applyBorder="1"/>
    <xf numFmtId="0" fontId="5" fillId="0" borderId="1" xfId="0" applyFont="1" applyFill="1" applyBorder="1"/>
    <xf numFmtId="0" fontId="7" fillId="0" borderId="0" xfId="0" applyFont="1" applyFill="1" applyBorder="1"/>
    <xf numFmtId="0" fontId="7" fillId="0" borderId="0" xfId="0" applyFont="1" applyFill="1"/>
    <xf numFmtId="0" fontId="8" fillId="0" borderId="1" xfId="0" applyFont="1" applyFill="1" applyBorder="1" applyAlignment="1">
      <alignment wrapText="1"/>
    </xf>
    <xf numFmtId="3" fontId="8" fillId="0" borderId="1" xfId="0" applyNumberFormat="1" applyFont="1" applyFill="1" applyBorder="1"/>
    <xf numFmtId="0" fontId="4" fillId="0" borderId="1" xfId="0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0" fontId="3" fillId="0" borderId="4" xfId="1" applyFont="1" applyFill="1" applyBorder="1" applyAlignment="1">
      <alignment horizontal="center" vertical="center" wrapText="1"/>
    </xf>
    <xf numFmtId="16" fontId="3" fillId="0" borderId="4" xfId="1" applyNumberFormat="1" applyFont="1" applyFill="1" applyBorder="1" applyAlignment="1">
      <alignment horizontal="center" vertical="center" wrapText="1"/>
    </xf>
    <xf numFmtId="0" fontId="4" fillId="0" borderId="0" xfId="1" applyFont="1" applyFill="1" applyAlignment="1">
      <alignment horizontal="right" vertical="center"/>
    </xf>
    <xf numFmtId="3" fontId="11" fillId="0" borderId="1" xfId="0" applyNumberFormat="1" applyFont="1" applyFill="1" applyBorder="1"/>
    <xf numFmtId="0" fontId="7" fillId="0" borderId="1" xfId="0" applyFont="1" applyFill="1" applyBorder="1"/>
    <xf numFmtId="3" fontId="5" fillId="0" borderId="1" xfId="0" applyNumberFormat="1" applyFont="1" applyFill="1" applyBorder="1"/>
    <xf numFmtId="3" fontId="7" fillId="0" borderId="0" xfId="0" applyNumberFormat="1" applyFont="1" applyFill="1" applyBorder="1"/>
    <xf numFmtId="3" fontId="3" fillId="0" borderId="0" xfId="1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/>
    </xf>
    <xf numFmtId="0" fontId="6" fillId="0" borderId="0" xfId="0" applyFont="1" applyFill="1" applyBorder="1" applyAlignment="1">
      <alignment vertical="center"/>
    </xf>
    <xf numFmtId="0" fontId="6" fillId="0" borderId="0" xfId="0" applyFont="1" applyFill="1" applyAlignment="1">
      <alignment vertical="center"/>
    </xf>
    <xf numFmtId="0" fontId="4" fillId="0" borderId="0" xfId="1" applyFont="1" applyFill="1" applyAlignment="1"/>
    <xf numFmtId="3" fontId="7" fillId="0" borderId="0" xfId="0" applyNumberFormat="1" applyFont="1" applyFill="1"/>
    <xf numFmtId="0" fontId="4" fillId="0" borderId="0" xfId="1" applyFont="1" applyFill="1" applyAlignment="1">
      <alignment horizontal="right"/>
    </xf>
    <xf numFmtId="0" fontId="3" fillId="0" borderId="0" xfId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wrapText="1"/>
    </xf>
    <xf numFmtId="0" fontId="4" fillId="0" borderId="1" xfId="0" applyFont="1" applyFill="1" applyBorder="1" applyAlignment="1">
      <alignment vertical="center"/>
    </xf>
    <xf numFmtId="0" fontId="7" fillId="0" borderId="0" xfId="0" applyFont="1" applyFill="1" applyBorder="1" applyAlignment="1">
      <alignment vertical="center"/>
    </xf>
    <xf numFmtId="0" fontId="7" fillId="0" borderId="0" xfId="0" applyFont="1" applyFill="1" applyAlignment="1">
      <alignment vertical="center"/>
    </xf>
    <xf numFmtId="0" fontId="4" fillId="0" borderId="0" xfId="1" applyFont="1" applyFill="1" applyAlignment="1">
      <alignment horizontal="right"/>
    </xf>
    <xf numFmtId="0" fontId="3" fillId="0" borderId="0" xfId="1" applyFont="1" applyFill="1" applyBorder="1" applyAlignment="1">
      <alignment horizontal="center" vertical="center" wrapText="1"/>
    </xf>
    <xf numFmtId="0" fontId="4" fillId="0" borderId="0" xfId="1" applyFont="1" applyFill="1" applyAlignment="1">
      <alignment horizontal="right"/>
    </xf>
    <xf numFmtId="0" fontId="3" fillId="0" borderId="0" xfId="1" applyFont="1" applyFill="1" applyBorder="1" applyAlignment="1">
      <alignment horizontal="center" vertical="center" wrapText="1"/>
    </xf>
    <xf numFmtId="0" fontId="4" fillId="0" borderId="0" xfId="1" applyFont="1" applyFill="1" applyAlignment="1">
      <alignment horizontal="right"/>
    </xf>
    <xf numFmtId="3" fontId="4" fillId="0" borderId="0" xfId="1" applyNumberFormat="1" applyFont="1" applyFill="1" applyAlignment="1"/>
    <xf numFmtId="49" fontId="6" fillId="2" borderId="1" xfId="0" applyNumberFormat="1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wrapText="1"/>
    </xf>
    <xf numFmtId="49" fontId="6" fillId="3" borderId="1" xfId="0" applyNumberFormat="1" applyFont="1" applyFill="1" applyBorder="1" applyAlignment="1">
      <alignment horizontal="center" vertical="center"/>
    </xf>
    <xf numFmtId="3" fontId="8" fillId="2" borderId="1" xfId="0" applyNumberFormat="1" applyFont="1" applyFill="1" applyBorder="1"/>
    <xf numFmtId="0" fontId="4" fillId="0" borderId="0" xfId="1" applyFont="1" applyFill="1" applyAlignment="1">
      <alignment horizontal="right"/>
    </xf>
    <xf numFmtId="0" fontId="3" fillId="0" borderId="0" xfId="1" applyFont="1" applyFill="1" applyBorder="1" applyAlignment="1">
      <alignment horizontal="center" vertical="center" wrapText="1"/>
    </xf>
    <xf numFmtId="0" fontId="3" fillId="0" borderId="0" xfId="1" applyFont="1" applyFill="1" applyBorder="1" applyAlignment="1">
      <alignment horizontal="center" vertical="center" wrapText="1"/>
    </xf>
    <xf numFmtId="0" fontId="4" fillId="0" borderId="0" xfId="1" applyFont="1" applyFill="1" applyAlignment="1">
      <alignment horizontal="right"/>
    </xf>
    <xf numFmtId="0" fontId="4" fillId="0" borderId="0" xfId="1" applyFont="1" applyFill="1" applyAlignment="1">
      <alignment horizontal="right"/>
    </xf>
    <xf numFmtId="0" fontId="4" fillId="0" borderId="0" xfId="1" applyFont="1" applyFill="1" applyBorder="1" applyAlignment="1">
      <alignment horizontal="right"/>
    </xf>
    <xf numFmtId="0" fontId="3" fillId="0" borderId="0" xfId="1" applyFont="1" applyFill="1" applyBorder="1" applyAlignment="1">
      <alignment horizontal="center" vertical="center" wrapText="1"/>
    </xf>
    <xf numFmtId="49" fontId="6" fillId="2" borderId="2" xfId="0" applyNumberFormat="1" applyFont="1" applyFill="1" applyBorder="1" applyAlignment="1">
      <alignment horizontal="center" vertical="center"/>
    </xf>
    <xf numFmtId="49" fontId="6" fillId="2" borderId="3" xfId="0" applyNumberFormat="1" applyFont="1" applyFill="1" applyBorder="1" applyAlignment="1">
      <alignment horizontal="center" vertical="center"/>
    </xf>
    <xf numFmtId="49" fontId="6" fillId="2" borderId="4" xfId="0" applyNumberFormat="1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3" fillId="0" borderId="1" xfId="1" applyFont="1" applyFill="1" applyBorder="1" applyAlignment="1">
      <alignment horizontal="center" vertical="center" wrapText="1"/>
    </xf>
    <xf numFmtId="0" fontId="3" fillId="0" borderId="5" xfId="1" applyFont="1" applyFill="1" applyBorder="1" applyAlignment="1">
      <alignment horizontal="center" vertical="center"/>
    </xf>
    <xf numFmtId="0" fontId="3" fillId="0" borderId="6" xfId="1" applyFont="1" applyFill="1" applyBorder="1" applyAlignment="1">
      <alignment horizontal="center" vertical="center"/>
    </xf>
    <xf numFmtId="0" fontId="3" fillId="0" borderId="7" xfId="1" applyFont="1" applyFill="1" applyBorder="1" applyAlignment="1">
      <alignment horizontal="center" vertical="center"/>
    </xf>
  </cellXfs>
  <cellStyles count="3">
    <cellStyle name="Обычный" xfId="0" builtinId="0"/>
    <cellStyle name="Обычный 2" xfId="1"/>
    <cellStyle name="Обычный 4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C95"/>
  <sheetViews>
    <sheetView showZeros="0" tabSelected="1" view="pageBreakPreview" topLeftCell="B78" zoomScale="90" zoomScaleNormal="100" zoomScaleSheetLayoutView="90" workbookViewId="0">
      <selection activeCell="M78" sqref="M1:M1048576"/>
    </sheetView>
  </sheetViews>
  <sheetFormatPr defaultRowHeight="15"/>
  <cols>
    <col min="1" max="1" width="9.85546875" style="23" hidden="1" customWidth="1"/>
    <col min="2" max="2" width="5.42578125" style="32" customWidth="1"/>
    <col min="3" max="3" width="54.140625" style="8" customWidth="1"/>
    <col min="4" max="5" width="10.7109375" style="8" hidden="1" customWidth="1"/>
    <col min="6" max="7" width="10.140625" style="8" hidden="1" customWidth="1"/>
    <col min="8" max="13" width="11.28515625" style="8" hidden="1" customWidth="1"/>
    <col min="14" max="14" width="14.5703125" style="8" customWidth="1"/>
    <col min="15" max="15" width="14.42578125" style="8" hidden="1" customWidth="1"/>
    <col min="16" max="16" width="16.85546875" style="8" hidden="1" customWidth="1"/>
    <col min="17" max="19" width="9.85546875" style="8" hidden="1" customWidth="1"/>
    <col min="20" max="21" width="10.140625" style="8" hidden="1" customWidth="1"/>
    <col min="22" max="22" width="16.7109375" style="8" customWidth="1"/>
    <col min="23" max="23" width="10.7109375" style="8" hidden="1" customWidth="1"/>
    <col min="24" max="26" width="9.85546875" style="8" hidden="1" customWidth="1"/>
    <col min="27" max="28" width="10.140625" style="8" hidden="1" customWidth="1"/>
    <col min="29" max="29" width="16.85546875" style="8" customWidth="1"/>
    <col min="30" max="30" width="9.85546875" style="8" bestFit="1" customWidth="1"/>
    <col min="31" max="16384" width="9.140625" style="8"/>
  </cols>
  <sheetData>
    <row r="1" spans="1:55" ht="15.75">
      <c r="A1" s="47" t="s">
        <v>111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  <c r="O1" s="47"/>
      <c r="P1" s="47"/>
      <c r="Q1" s="47"/>
      <c r="R1" s="47"/>
      <c r="S1" s="47"/>
      <c r="T1" s="47"/>
      <c r="U1" s="47"/>
      <c r="V1" s="47"/>
      <c r="W1" s="47"/>
      <c r="X1" s="47"/>
      <c r="Y1" s="47"/>
      <c r="Z1" s="47"/>
      <c r="AA1" s="47"/>
      <c r="AB1" s="47"/>
      <c r="AC1" s="47"/>
    </row>
    <row r="2" spans="1:55" ht="15.75">
      <c r="A2" s="48" t="s">
        <v>106</v>
      </c>
      <c r="B2" s="48"/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</row>
    <row r="3" spans="1:55" ht="15.75">
      <c r="A3" s="47" t="s">
        <v>107</v>
      </c>
      <c r="B3" s="47"/>
      <c r="C3" s="47"/>
      <c r="D3" s="47"/>
      <c r="E3" s="47"/>
      <c r="F3" s="47"/>
      <c r="G3" s="47"/>
      <c r="H3" s="47"/>
      <c r="I3" s="47"/>
      <c r="J3" s="47"/>
      <c r="K3" s="47"/>
      <c r="L3" s="47"/>
      <c r="M3" s="47"/>
      <c r="N3" s="47"/>
      <c r="O3" s="47"/>
      <c r="P3" s="47"/>
      <c r="Q3" s="47"/>
      <c r="R3" s="47"/>
      <c r="S3" s="47"/>
      <c r="T3" s="47"/>
      <c r="U3" s="47"/>
      <c r="V3" s="47"/>
      <c r="W3" s="47"/>
      <c r="X3" s="47"/>
      <c r="Y3" s="47"/>
      <c r="Z3" s="47"/>
      <c r="AA3" s="47"/>
      <c r="AB3" s="47"/>
      <c r="AC3" s="47"/>
    </row>
    <row r="4" spans="1:55" ht="15.75">
      <c r="A4" s="15"/>
      <c r="B4" s="26"/>
      <c r="C4" s="26"/>
      <c r="D4" s="26"/>
      <c r="E4" s="26"/>
      <c r="F4" s="26"/>
      <c r="G4" s="26"/>
      <c r="H4" s="26"/>
      <c r="I4" s="26"/>
      <c r="J4" s="26"/>
      <c r="K4" s="26"/>
      <c r="L4" s="33"/>
      <c r="M4" s="43"/>
      <c r="N4" s="26"/>
      <c r="O4" s="26"/>
      <c r="P4" s="26"/>
      <c r="Q4" s="26"/>
      <c r="R4" s="26"/>
      <c r="S4" s="26"/>
      <c r="T4" s="35"/>
      <c r="U4" s="46"/>
      <c r="V4" s="26"/>
      <c r="W4" s="26"/>
      <c r="X4" s="26"/>
      <c r="Y4" s="26"/>
      <c r="Z4" s="26"/>
      <c r="AA4" s="37"/>
      <c r="AB4" s="46"/>
      <c r="AC4" s="26"/>
    </row>
    <row r="5" spans="1:55" ht="15.75">
      <c r="A5" s="47" t="s">
        <v>72</v>
      </c>
      <c r="B5" s="47"/>
      <c r="C5" s="47"/>
      <c r="D5" s="47"/>
      <c r="E5" s="47"/>
      <c r="F5" s="47"/>
      <c r="G5" s="47"/>
      <c r="H5" s="47"/>
      <c r="I5" s="47"/>
      <c r="J5" s="47"/>
      <c r="K5" s="47"/>
      <c r="L5" s="47"/>
      <c r="M5" s="47"/>
      <c r="N5" s="47"/>
      <c r="O5" s="47"/>
      <c r="P5" s="47"/>
      <c r="Q5" s="47"/>
      <c r="R5" s="47"/>
      <c r="S5" s="47"/>
      <c r="T5" s="47"/>
      <c r="U5" s="47"/>
      <c r="V5" s="47"/>
      <c r="W5" s="47"/>
      <c r="X5" s="47"/>
      <c r="Y5" s="47"/>
      <c r="Z5" s="47"/>
      <c r="AA5" s="47"/>
      <c r="AB5" s="47"/>
      <c r="AC5" s="47"/>
    </row>
    <row r="6" spans="1:55" ht="15.75">
      <c r="A6" s="47" t="s">
        <v>73</v>
      </c>
      <c r="B6" s="47"/>
      <c r="C6" s="47"/>
      <c r="D6" s="47"/>
      <c r="E6" s="47"/>
      <c r="F6" s="47"/>
      <c r="G6" s="47"/>
      <c r="H6" s="47"/>
      <c r="I6" s="47"/>
      <c r="J6" s="47"/>
      <c r="K6" s="47"/>
      <c r="L6" s="47"/>
      <c r="M6" s="47"/>
      <c r="N6" s="47"/>
      <c r="O6" s="47"/>
      <c r="P6" s="47"/>
      <c r="Q6" s="47"/>
      <c r="R6" s="47"/>
      <c r="S6" s="47"/>
      <c r="T6" s="47"/>
      <c r="U6" s="47"/>
      <c r="V6" s="47"/>
      <c r="W6" s="47"/>
      <c r="X6" s="47"/>
      <c r="Y6" s="47"/>
      <c r="Z6" s="47"/>
      <c r="AA6" s="47"/>
      <c r="AB6" s="47"/>
      <c r="AC6" s="47"/>
    </row>
    <row r="7" spans="1:55" ht="28.5" customHeight="1">
      <c r="A7" s="47" t="s">
        <v>105</v>
      </c>
      <c r="B7" s="47"/>
      <c r="C7" s="47"/>
      <c r="D7" s="47"/>
      <c r="E7" s="47"/>
      <c r="F7" s="47"/>
      <c r="G7" s="47"/>
      <c r="H7" s="47"/>
      <c r="I7" s="47"/>
      <c r="J7" s="47"/>
      <c r="K7" s="47"/>
      <c r="L7" s="47"/>
      <c r="M7" s="47"/>
      <c r="N7" s="47"/>
      <c r="O7" s="47"/>
      <c r="P7" s="47"/>
      <c r="Q7" s="47"/>
      <c r="R7" s="47"/>
      <c r="S7" s="47"/>
      <c r="T7" s="47"/>
      <c r="U7" s="47"/>
      <c r="V7" s="47"/>
      <c r="W7" s="47"/>
      <c r="X7" s="47"/>
      <c r="Y7" s="47"/>
      <c r="Z7" s="47"/>
      <c r="AA7" s="47"/>
      <c r="AB7" s="47"/>
      <c r="AC7" s="47"/>
    </row>
    <row r="8" spans="1:55" s="7" customFormat="1" ht="72.75" customHeight="1">
      <c r="A8" s="49" t="s">
        <v>108</v>
      </c>
      <c r="B8" s="49"/>
      <c r="C8" s="49"/>
      <c r="D8" s="49"/>
      <c r="E8" s="49"/>
      <c r="F8" s="49"/>
      <c r="G8" s="49"/>
      <c r="H8" s="49"/>
      <c r="I8" s="49"/>
      <c r="J8" s="49"/>
      <c r="K8" s="49"/>
      <c r="L8" s="49"/>
      <c r="M8" s="49"/>
      <c r="N8" s="49"/>
      <c r="O8" s="49"/>
      <c r="P8" s="49"/>
      <c r="Q8" s="49"/>
      <c r="R8" s="49"/>
      <c r="S8" s="49"/>
      <c r="T8" s="49"/>
      <c r="U8" s="49"/>
      <c r="V8" s="49"/>
      <c r="W8" s="49"/>
      <c r="X8" s="49"/>
      <c r="Y8" s="49"/>
      <c r="Z8" s="49"/>
      <c r="AA8" s="49"/>
      <c r="AB8" s="49"/>
      <c r="AC8" s="49"/>
    </row>
    <row r="9" spans="1:55" ht="18.75">
      <c r="A9" s="2"/>
      <c r="B9" s="27"/>
      <c r="C9" s="27"/>
      <c r="D9" s="27"/>
      <c r="E9" s="27"/>
      <c r="F9" s="27"/>
      <c r="G9" s="27"/>
      <c r="H9" s="27"/>
      <c r="I9" s="27"/>
      <c r="J9" s="27"/>
      <c r="K9" s="27"/>
      <c r="L9" s="34"/>
      <c r="M9" s="44"/>
      <c r="N9" s="20"/>
      <c r="O9" s="27"/>
      <c r="P9" s="27"/>
      <c r="Q9" s="27"/>
      <c r="R9" s="27"/>
      <c r="S9" s="27"/>
      <c r="T9" s="36"/>
      <c r="U9" s="45"/>
      <c r="V9" s="27"/>
      <c r="W9" s="27"/>
    </row>
    <row r="10" spans="1:55" ht="23.25" customHeight="1">
      <c r="A10" s="56"/>
      <c r="B10" s="57" t="s">
        <v>0</v>
      </c>
      <c r="C10" s="57" t="s">
        <v>1</v>
      </c>
      <c r="D10" s="58" t="s">
        <v>2</v>
      </c>
      <c r="E10" s="59"/>
      <c r="F10" s="59"/>
      <c r="G10" s="59"/>
      <c r="H10" s="59"/>
      <c r="I10" s="59"/>
      <c r="J10" s="59"/>
      <c r="K10" s="59"/>
      <c r="L10" s="59"/>
      <c r="M10" s="59"/>
      <c r="N10" s="59"/>
      <c r="O10" s="59"/>
      <c r="P10" s="59"/>
      <c r="Q10" s="59"/>
      <c r="R10" s="59"/>
      <c r="S10" s="59"/>
      <c r="T10" s="59"/>
      <c r="U10" s="59"/>
      <c r="V10" s="59"/>
      <c r="W10" s="59"/>
      <c r="X10" s="59"/>
      <c r="Y10" s="59"/>
      <c r="Z10" s="59"/>
      <c r="AA10" s="59"/>
      <c r="AB10" s="59"/>
      <c r="AC10" s="60"/>
    </row>
    <row r="11" spans="1:55" ht="22.5" customHeight="1">
      <c r="A11" s="56"/>
      <c r="B11" s="57"/>
      <c r="C11" s="57"/>
      <c r="D11" s="13" t="s">
        <v>71</v>
      </c>
      <c r="E11" s="14">
        <v>42753</v>
      </c>
      <c r="F11" s="14">
        <v>42767</v>
      </c>
      <c r="G11" s="14">
        <v>42781</v>
      </c>
      <c r="H11" s="14">
        <v>42809</v>
      </c>
      <c r="I11" s="14">
        <v>42844</v>
      </c>
      <c r="J11" s="14">
        <v>42865</v>
      </c>
      <c r="K11" s="14">
        <v>42879</v>
      </c>
      <c r="L11" s="14">
        <v>42907</v>
      </c>
      <c r="M11" s="14">
        <v>42928</v>
      </c>
      <c r="N11" s="13" t="s">
        <v>3</v>
      </c>
      <c r="O11" s="13" t="s">
        <v>71</v>
      </c>
      <c r="P11" s="14">
        <v>42767</v>
      </c>
      <c r="Q11" s="14">
        <v>42809</v>
      </c>
      <c r="R11" s="14">
        <v>42830</v>
      </c>
      <c r="S11" s="14">
        <v>42879</v>
      </c>
      <c r="T11" s="14">
        <v>42907</v>
      </c>
      <c r="U11" s="14">
        <v>42928</v>
      </c>
      <c r="V11" s="13" t="s">
        <v>19</v>
      </c>
      <c r="W11" s="13" t="s">
        <v>71</v>
      </c>
      <c r="X11" s="14">
        <v>42767</v>
      </c>
      <c r="Y11" s="14">
        <v>42809</v>
      </c>
      <c r="Z11" s="14">
        <v>42830</v>
      </c>
      <c r="AA11" s="14">
        <v>42907</v>
      </c>
      <c r="AB11" s="14">
        <v>42928</v>
      </c>
      <c r="AC11" s="28" t="s">
        <v>22</v>
      </c>
      <c r="AD11" s="24"/>
      <c r="AE11" s="24"/>
      <c r="AF11" s="24"/>
      <c r="AG11" s="24"/>
      <c r="AH11" s="24"/>
      <c r="AI11" s="24"/>
      <c r="AJ11" s="24"/>
      <c r="AK11" s="24"/>
      <c r="AL11" s="24"/>
      <c r="AM11" s="24"/>
      <c r="AN11" s="24"/>
      <c r="AO11" s="24"/>
      <c r="AP11" s="24"/>
      <c r="AQ11" s="24"/>
      <c r="AR11" s="24"/>
      <c r="AS11" s="24"/>
      <c r="AT11" s="24"/>
      <c r="AU11" s="24"/>
      <c r="AV11" s="24"/>
      <c r="AW11" s="24"/>
      <c r="AX11" s="24"/>
      <c r="AY11" s="24"/>
      <c r="AZ11" s="24"/>
      <c r="BA11" s="24"/>
      <c r="BB11" s="24"/>
      <c r="BC11" s="24"/>
    </row>
    <row r="12" spans="1:55" ht="30.75" customHeight="1">
      <c r="A12" s="39" t="s">
        <v>39</v>
      </c>
      <c r="B12" s="11" t="s">
        <v>74</v>
      </c>
      <c r="C12" s="3" t="s">
        <v>4</v>
      </c>
      <c r="D12" s="4">
        <f t="shared" ref="D12:V12" si="0">D13+D14</f>
        <v>671955</v>
      </c>
      <c r="E12" s="4">
        <f t="shared" si="0"/>
        <v>0</v>
      </c>
      <c r="F12" s="4">
        <f t="shared" si="0"/>
        <v>105547</v>
      </c>
      <c r="G12" s="4">
        <f t="shared" si="0"/>
        <v>0</v>
      </c>
      <c r="H12" s="4">
        <f t="shared" si="0"/>
        <v>49364</v>
      </c>
      <c r="I12" s="4">
        <f t="shared" si="0"/>
        <v>7466</v>
      </c>
      <c r="J12" s="4">
        <f t="shared" si="0"/>
        <v>-2258</v>
      </c>
      <c r="K12" s="4">
        <f t="shared" si="0"/>
        <v>695</v>
      </c>
      <c r="L12" s="4">
        <f t="shared" si="0"/>
        <v>41806</v>
      </c>
      <c r="M12" s="4"/>
      <c r="N12" s="4">
        <f>N13+N14</f>
        <v>800195</v>
      </c>
      <c r="O12" s="4">
        <f t="shared" si="0"/>
        <v>506551</v>
      </c>
      <c r="P12" s="4">
        <f t="shared" si="0"/>
        <v>105264</v>
      </c>
      <c r="Q12" s="4"/>
      <c r="R12" s="4"/>
      <c r="S12" s="4"/>
      <c r="T12" s="4">
        <f t="shared" ref="T12" si="1">T13+T14</f>
        <v>0</v>
      </c>
      <c r="U12" s="4"/>
      <c r="V12" s="4">
        <f t="shared" si="0"/>
        <v>506551</v>
      </c>
      <c r="W12" s="4">
        <f>W13+W14</f>
        <v>0</v>
      </c>
      <c r="X12" s="4">
        <f t="shared" ref="X12:AC12" si="2">X13+X14</f>
        <v>0</v>
      </c>
      <c r="Y12" s="4"/>
      <c r="Z12" s="4"/>
      <c r="AA12" s="4">
        <f t="shared" ref="AA12" si="3">AA13+AA14</f>
        <v>0</v>
      </c>
      <c r="AB12" s="4"/>
      <c r="AC12" s="4">
        <f t="shared" si="2"/>
        <v>0</v>
      </c>
      <c r="AD12" s="38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4"/>
      <c r="AS12" s="24"/>
      <c r="AT12" s="24"/>
      <c r="AU12" s="24"/>
      <c r="AV12" s="24"/>
      <c r="AW12" s="24"/>
      <c r="AX12" s="24"/>
      <c r="AY12" s="24"/>
      <c r="AZ12" s="24"/>
      <c r="BA12" s="24"/>
      <c r="BB12" s="24"/>
      <c r="BC12" s="24"/>
    </row>
    <row r="13" spans="1:55" ht="28.5" hidden="1" customHeight="1">
      <c r="A13" s="39"/>
      <c r="B13" s="11"/>
      <c r="C13" s="29">
        <v>912</v>
      </c>
      <c r="D13" s="10">
        <v>671955</v>
      </c>
      <c r="E13" s="10"/>
      <c r="F13" s="10"/>
      <c r="G13" s="10"/>
      <c r="H13" s="10">
        <f>42906+2258+4200</f>
        <v>49364</v>
      </c>
      <c r="I13" s="10">
        <v>7466</v>
      </c>
      <c r="J13" s="10">
        <f>-2146-112</f>
        <v>-2258</v>
      </c>
      <c r="K13" s="10">
        <v>695</v>
      </c>
      <c r="L13" s="10">
        <f>1442+1257+3087+2942+16127+11502+5449</f>
        <v>41806</v>
      </c>
      <c r="M13" s="10">
        <f>159-159+1125+331</f>
        <v>1456</v>
      </c>
      <c r="N13" s="10">
        <f>D13+E13+F13+G13+H13+I13+J13+K13+L13+M13</f>
        <v>770484</v>
      </c>
      <c r="O13" s="10">
        <v>506551</v>
      </c>
      <c r="P13" s="10"/>
      <c r="Q13" s="10"/>
      <c r="R13" s="10"/>
      <c r="S13" s="10"/>
      <c r="T13" s="10"/>
      <c r="U13" s="10"/>
      <c r="V13" s="10">
        <f>O13+P13+Q13+R13+S13+T13+U13</f>
        <v>506551</v>
      </c>
      <c r="W13" s="10"/>
      <c r="X13" s="10"/>
      <c r="Y13" s="10"/>
      <c r="Z13" s="10"/>
      <c r="AA13" s="10"/>
      <c r="AB13" s="10"/>
      <c r="AC13" s="10">
        <f>W13+X13</f>
        <v>0</v>
      </c>
      <c r="AD13" s="26"/>
      <c r="AE13" s="26"/>
      <c r="AF13" s="26"/>
      <c r="AG13" s="26"/>
      <c r="AH13" s="26"/>
      <c r="AI13" s="26"/>
      <c r="AJ13" s="26"/>
      <c r="AK13" s="26"/>
      <c r="AL13" s="26"/>
      <c r="AM13" s="26"/>
      <c r="AN13" s="26"/>
      <c r="AO13" s="26"/>
      <c r="AP13" s="26"/>
      <c r="AQ13" s="26"/>
      <c r="AR13" s="26"/>
      <c r="AS13" s="26"/>
      <c r="AT13" s="26"/>
      <c r="AU13" s="26"/>
      <c r="AV13" s="26"/>
      <c r="AW13" s="26"/>
      <c r="AX13" s="26"/>
      <c r="AY13" s="26"/>
      <c r="AZ13" s="26"/>
      <c r="BA13" s="26"/>
      <c r="BB13" s="26"/>
      <c r="BC13" s="26"/>
    </row>
    <row r="14" spans="1:55" ht="29.25" hidden="1" customHeight="1">
      <c r="A14" s="39"/>
      <c r="B14" s="11"/>
      <c r="C14" s="29">
        <v>914</v>
      </c>
      <c r="D14" s="10"/>
      <c r="E14" s="10"/>
      <c r="F14" s="10">
        <f>29711+11100+64736</f>
        <v>105547</v>
      </c>
      <c r="G14" s="10"/>
      <c r="H14" s="10"/>
      <c r="I14" s="10"/>
      <c r="J14" s="10"/>
      <c r="K14" s="10"/>
      <c r="L14" s="10"/>
      <c r="M14" s="10">
        <f>-64736-11100</f>
        <v>-75836</v>
      </c>
      <c r="N14" s="10">
        <f>D14+E14+F14+G14+H14+I14+J14+K14+L14+M14</f>
        <v>29711</v>
      </c>
      <c r="O14" s="10"/>
      <c r="P14" s="10">
        <f>100000+5264</f>
        <v>105264</v>
      </c>
      <c r="Q14" s="10"/>
      <c r="R14" s="10"/>
      <c r="S14" s="10"/>
      <c r="T14" s="10"/>
      <c r="U14" s="10">
        <f>-105264</f>
        <v>-105264</v>
      </c>
      <c r="V14" s="10">
        <f>O14+P14+Q14+R14+S14+T14+U14</f>
        <v>0</v>
      </c>
      <c r="W14" s="10"/>
      <c r="X14" s="10"/>
      <c r="Y14" s="10"/>
      <c r="Z14" s="10"/>
      <c r="AA14" s="10"/>
      <c r="AB14" s="10"/>
      <c r="AC14" s="10">
        <f>W14+X14</f>
        <v>0</v>
      </c>
      <c r="AD14" s="26"/>
      <c r="AE14" s="26"/>
      <c r="AF14" s="26"/>
      <c r="AG14" s="26"/>
      <c r="AH14" s="26"/>
      <c r="AI14" s="26"/>
      <c r="AJ14" s="26"/>
      <c r="AK14" s="26"/>
      <c r="AL14" s="26"/>
      <c r="AM14" s="26"/>
      <c r="AN14" s="26"/>
      <c r="AO14" s="26"/>
      <c r="AP14" s="26"/>
      <c r="AQ14" s="26"/>
      <c r="AR14" s="26"/>
      <c r="AS14" s="26"/>
      <c r="AT14" s="26"/>
      <c r="AU14" s="26"/>
      <c r="AV14" s="26"/>
      <c r="AW14" s="26"/>
      <c r="AX14" s="26"/>
      <c r="AY14" s="26"/>
      <c r="AZ14" s="26"/>
      <c r="BA14" s="26"/>
      <c r="BB14" s="26"/>
      <c r="BC14" s="26"/>
    </row>
    <row r="15" spans="1:55" ht="59.25" customHeight="1">
      <c r="A15" s="39" t="s">
        <v>40</v>
      </c>
      <c r="B15" s="11" t="s">
        <v>75</v>
      </c>
      <c r="C15" s="3" t="s">
        <v>23</v>
      </c>
      <c r="D15" s="4">
        <f>D16+D17</f>
        <v>471125</v>
      </c>
      <c r="E15" s="4">
        <f t="shared" ref="E15:F15" si="4">E16+E17</f>
        <v>0</v>
      </c>
      <c r="F15" s="4">
        <f t="shared" si="4"/>
        <v>0</v>
      </c>
      <c r="G15" s="4">
        <f t="shared" ref="G15:N15" si="5">G16+G17</f>
        <v>275</v>
      </c>
      <c r="H15" s="4">
        <f t="shared" si="5"/>
        <v>-80</v>
      </c>
      <c r="I15" s="4">
        <f t="shared" si="5"/>
        <v>73614</v>
      </c>
      <c r="J15" s="4">
        <f t="shared" si="5"/>
        <v>0</v>
      </c>
      <c r="K15" s="4">
        <f t="shared" si="5"/>
        <v>2597</v>
      </c>
      <c r="L15" s="4">
        <f t="shared" si="5"/>
        <v>13816</v>
      </c>
      <c r="M15" s="4"/>
      <c r="N15" s="4">
        <f t="shared" si="5"/>
        <v>569384</v>
      </c>
      <c r="O15" s="4">
        <f t="shared" ref="O15" si="6">O16+O17</f>
        <v>435485</v>
      </c>
      <c r="P15" s="4">
        <f t="shared" ref="P15" si="7">P16+P17</f>
        <v>0</v>
      </c>
      <c r="Q15" s="4"/>
      <c r="R15" s="4"/>
      <c r="S15" s="4"/>
      <c r="T15" s="4">
        <f t="shared" ref="T15" si="8">T16+T17</f>
        <v>0</v>
      </c>
      <c r="U15" s="4"/>
      <c r="V15" s="4">
        <f>V16+V17</f>
        <v>446245</v>
      </c>
      <c r="W15" s="4">
        <f t="shared" ref="W15" si="9">W16+W17</f>
        <v>446168</v>
      </c>
      <c r="X15" s="4">
        <f t="shared" ref="X15" si="10">X16+X17</f>
        <v>0</v>
      </c>
      <c r="Y15" s="4"/>
      <c r="Z15" s="4"/>
      <c r="AA15" s="4">
        <f t="shared" ref="AA15" si="11">AA16+AA17</f>
        <v>0</v>
      </c>
      <c r="AB15" s="4"/>
      <c r="AC15" s="4">
        <f>AC16+AC17</f>
        <v>446168</v>
      </c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4"/>
      <c r="AS15" s="24"/>
      <c r="AT15" s="24"/>
      <c r="AU15" s="24"/>
      <c r="AV15" s="24"/>
      <c r="AW15" s="24"/>
      <c r="AX15" s="24"/>
      <c r="AY15" s="24"/>
      <c r="AZ15" s="24"/>
      <c r="BA15" s="24"/>
      <c r="BB15" s="24"/>
      <c r="BC15" s="24"/>
    </row>
    <row r="16" spans="1:55" hidden="1">
      <c r="A16" s="50"/>
      <c r="B16" s="53"/>
      <c r="C16" s="29">
        <v>914</v>
      </c>
      <c r="D16" s="10">
        <v>9404</v>
      </c>
      <c r="E16" s="10"/>
      <c r="F16" s="10"/>
      <c r="G16" s="10"/>
      <c r="H16" s="10">
        <v>-200</v>
      </c>
      <c r="I16" s="10"/>
      <c r="J16" s="10"/>
      <c r="K16" s="10">
        <v>-200</v>
      </c>
      <c r="L16" s="10"/>
      <c r="M16" s="10"/>
      <c r="N16" s="10">
        <f>D16+E16+F16+G16+H16+I16+J16+K16+L16+M16</f>
        <v>9004</v>
      </c>
      <c r="O16" s="10">
        <v>9438</v>
      </c>
      <c r="P16" s="10"/>
      <c r="Q16" s="10"/>
      <c r="R16" s="10"/>
      <c r="S16" s="10"/>
      <c r="T16" s="10"/>
      <c r="U16" s="10"/>
      <c r="V16" s="10">
        <f>O16+P16+Q16+R16+S16+T16</f>
        <v>9438</v>
      </c>
      <c r="W16" s="10"/>
      <c r="X16" s="10"/>
      <c r="Y16" s="10"/>
      <c r="Z16" s="10"/>
      <c r="AA16" s="10"/>
      <c r="AB16" s="10"/>
      <c r="AC16" s="10">
        <f>W16+X16+Z16+AA16</f>
        <v>0</v>
      </c>
    </row>
    <row r="17" spans="1:30" hidden="1">
      <c r="A17" s="52"/>
      <c r="B17" s="55"/>
      <c r="C17" s="29">
        <v>917</v>
      </c>
      <c r="D17" s="10">
        <v>461721</v>
      </c>
      <c r="E17" s="10"/>
      <c r="F17" s="10"/>
      <c r="G17" s="10">
        <v>275</v>
      </c>
      <c r="H17" s="10">
        <v>120</v>
      </c>
      <c r="I17" s="10">
        <f>27812+40000+3899+1903</f>
        <v>73614</v>
      </c>
      <c r="J17" s="10"/>
      <c r="K17" s="10">
        <f>275-275+2800-3</f>
        <v>2797</v>
      </c>
      <c r="L17" s="10">
        <f>10000+3816</f>
        <v>13816</v>
      </c>
      <c r="M17" s="10">
        <v>8037</v>
      </c>
      <c r="N17" s="10">
        <f>D17+E17+F17+G17+H17+I17+J17+K17+L17+M17</f>
        <v>560380</v>
      </c>
      <c r="O17" s="10">
        <v>426047</v>
      </c>
      <c r="P17" s="10"/>
      <c r="Q17" s="10"/>
      <c r="R17" s="10"/>
      <c r="S17" s="10"/>
      <c r="T17" s="10"/>
      <c r="U17" s="10">
        <v>10760</v>
      </c>
      <c r="V17" s="10">
        <f>O17+P17+Q17+R17+S17+T17+U17</f>
        <v>436807</v>
      </c>
      <c r="W17" s="10">
        <v>446168</v>
      </c>
      <c r="X17" s="10"/>
      <c r="Y17" s="10"/>
      <c r="Z17" s="10"/>
      <c r="AA17" s="10"/>
      <c r="AB17" s="10"/>
      <c r="AC17" s="10">
        <f>W17+X17+Z17+AA17</f>
        <v>446168</v>
      </c>
    </row>
    <row r="18" spans="1:30" ht="49.5" customHeight="1">
      <c r="A18" s="39" t="s">
        <v>41</v>
      </c>
      <c r="B18" s="11" t="s">
        <v>76</v>
      </c>
      <c r="C18" s="3" t="s">
        <v>5</v>
      </c>
      <c r="D18" s="4">
        <v>30294</v>
      </c>
      <c r="E18" s="4"/>
      <c r="F18" s="4"/>
      <c r="G18" s="4"/>
      <c r="H18" s="4"/>
      <c r="I18" s="4"/>
      <c r="J18" s="4">
        <f>-554+3652+554</f>
        <v>3652</v>
      </c>
      <c r="K18" s="4"/>
      <c r="L18" s="4"/>
      <c r="M18" s="4"/>
      <c r="N18" s="4">
        <f>D18+E18+F18+G18+H18+I18+J18+K18+L18+M18</f>
        <v>33946</v>
      </c>
      <c r="O18" s="4">
        <v>30020</v>
      </c>
      <c r="P18" s="4"/>
      <c r="Q18" s="4"/>
      <c r="R18" s="4"/>
      <c r="S18" s="4"/>
      <c r="T18" s="4"/>
      <c r="U18" s="4"/>
      <c r="V18" s="4">
        <f>O18+P18+Q18+R18+S18+T18</f>
        <v>30020</v>
      </c>
      <c r="W18" s="4">
        <v>30091</v>
      </c>
      <c r="X18" s="17"/>
      <c r="Y18" s="17"/>
      <c r="Z18" s="17"/>
      <c r="AA18" s="4"/>
      <c r="AB18" s="4"/>
      <c r="AC18" s="4">
        <f>W18+X18+Z18+AA18</f>
        <v>30091</v>
      </c>
    </row>
    <row r="19" spans="1:30" ht="82.5" customHeight="1">
      <c r="A19" s="39" t="s">
        <v>42</v>
      </c>
      <c r="B19" s="11" t="s">
        <v>77</v>
      </c>
      <c r="C19" s="3" t="s">
        <v>6</v>
      </c>
      <c r="D19" s="4">
        <f>SUM(D20:D23)</f>
        <v>3454</v>
      </c>
      <c r="E19" s="4">
        <f t="shared" ref="E19:N19" si="12">SUM(E20:E23)</f>
        <v>0</v>
      </c>
      <c r="F19" s="4">
        <f t="shared" si="12"/>
        <v>0</v>
      </c>
      <c r="G19" s="4">
        <f t="shared" si="12"/>
        <v>0</v>
      </c>
      <c r="H19" s="4">
        <f t="shared" si="12"/>
        <v>0</v>
      </c>
      <c r="I19" s="4">
        <f t="shared" si="12"/>
        <v>0</v>
      </c>
      <c r="J19" s="4">
        <f t="shared" si="12"/>
        <v>0</v>
      </c>
      <c r="K19" s="4">
        <f t="shared" si="12"/>
        <v>0</v>
      </c>
      <c r="L19" s="4">
        <f t="shared" si="12"/>
        <v>0</v>
      </c>
      <c r="M19" s="4"/>
      <c r="N19" s="4">
        <f t="shared" si="12"/>
        <v>3454</v>
      </c>
      <c r="O19" s="4">
        <f t="shared" ref="O19" si="13">SUM(O20:O23)</f>
        <v>2603</v>
      </c>
      <c r="P19" s="4">
        <f t="shared" ref="P19" si="14">SUM(P20:P23)</f>
        <v>0</v>
      </c>
      <c r="Q19" s="4"/>
      <c r="R19" s="4"/>
      <c r="S19" s="4"/>
      <c r="T19" s="4">
        <f t="shared" ref="T19" si="15">SUM(T20:T23)</f>
        <v>0</v>
      </c>
      <c r="U19" s="4"/>
      <c r="V19" s="4">
        <f t="shared" ref="V19" si="16">SUM(V20:V23)</f>
        <v>2603</v>
      </c>
      <c r="W19" s="4">
        <f t="shared" ref="W19" si="17">SUM(W20:W23)</f>
        <v>2180</v>
      </c>
      <c r="X19" s="4">
        <f t="shared" ref="X19" si="18">SUM(X20:X23)</f>
        <v>0</v>
      </c>
      <c r="Y19" s="4"/>
      <c r="Z19" s="4"/>
      <c r="AA19" s="4">
        <f t="shared" ref="AA19" si="19">SUM(AA20:AA23)</f>
        <v>0</v>
      </c>
      <c r="AB19" s="4"/>
      <c r="AC19" s="4">
        <f t="shared" ref="AC19" si="20">SUM(AC20:AC23)</f>
        <v>2180</v>
      </c>
    </row>
    <row r="20" spans="1:30" ht="15.75" hidden="1" customHeight="1">
      <c r="A20" s="50"/>
      <c r="B20" s="53"/>
      <c r="C20" s="29">
        <v>909</v>
      </c>
      <c r="D20" s="10">
        <v>835</v>
      </c>
      <c r="E20" s="10"/>
      <c r="F20" s="10"/>
      <c r="G20" s="10"/>
      <c r="H20" s="10"/>
      <c r="I20" s="10"/>
      <c r="J20" s="10"/>
      <c r="K20" s="10"/>
      <c r="L20" s="10"/>
      <c r="M20" s="10"/>
      <c r="N20" s="10">
        <f>D20+E20+F20+G20+H20+I20+J20+K20+L20+M20</f>
        <v>835</v>
      </c>
      <c r="O20" s="10"/>
      <c r="P20" s="10"/>
      <c r="Q20" s="10"/>
      <c r="R20" s="10"/>
      <c r="S20" s="10"/>
      <c r="T20" s="10"/>
      <c r="U20" s="10"/>
      <c r="V20" s="10">
        <f>O20+P20+Q20+R20+S20+T20</f>
        <v>0</v>
      </c>
      <c r="W20" s="10"/>
      <c r="X20" s="10"/>
      <c r="Y20" s="10"/>
      <c r="Z20" s="10"/>
      <c r="AA20" s="10"/>
      <c r="AB20" s="10"/>
      <c r="AC20" s="10">
        <f>W20+X20+Z20+AA20</f>
        <v>0</v>
      </c>
    </row>
    <row r="21" spans="1:30" ht="15.75" hidden="1" customHeight="1">
      <c r="A21" s="51"/>
      <c r="B21" s="54"/>
      <c r="C21" s="29">
        <v>912</v>
      </c>
      <c r="D21" s="10">
        <v>416</v>
      </c>
      <c r="E21" s="10"/>
      <c r="F21" s="10"/>
      <c r="G21" s="10"/>
      <c r="H21" s="10"/>
      <c r="I21" s="10"/>
      <c r="J21" s="10"/>
      <c r="K21" s="10"/>
      <c r="L21" s="10"/>
      <c r="M21" s="10"/>
      <c r="N21" s="10">
        <f t="shared" ref="N21:N23" si="21">D21+E21+F21+G21+H21+I21+J21+K21+L21+M21</f>
        <v>416</v>
      </c>
      <c r="O21" s="10">
        <v>423</v>
      </c>
      <c r="P21" s="10"/>
      <c r="Q21" s="10"/>
      <c r="R21" s="10"/>
      <c r="S21" s="10"/>
      <c r="T21" s="10"/>
      <c r="U21" s="10"/>
      <c r="V21" s="10">
        <f>O21+P21+Q21+R21+S21+T21</f>
        <v>423</v>
      </c>
      <c r="W21" s="10"/>
      <c r="X21" s="10"/>
      <c r="Y21" s="10"/>
      <c r="Z21" s="10"/>
      <c r="AA21" s="10"/>
      <c r="AB21" s="10"/>
      <c r="AC21" s="10">
        <f>W21+X21+Z21+AA21</f>
        <v>0</v>
      </c>
    </row>
    <row r="22" spans="1:30" ht="15.75" hidden="1" customHeight="1">
      <c r="A22" s="51"/>
      <c r="B22" s="54"/>
      <c r="C22" s="29">
        <v>917</v>
      </c>
      <c r="D22" s="10">
        <v>407</v>
      </c>
      <c r="E22" s="10"/>
      <c r="F22" s="10"/>
      <c r="G22" s="10"/>
      <c r="H22" s="10"/>
      <c r="I22" s="10"/>
      <c r="J22" s="10"/>
      <c r="K22" s="10"/>
      <c r="L22" s="10"/>
      <c r="M22" s="10"/>
      <c r="N22" s="10">
        <f t="shared" si="21"/>
        <v>407</v>
      </c>
      <c r="O22" s="10">
        <v>384</v>
      </c>
      <c r="P22" s="10"/>
      <c r="Q22" s="10"/>
      <c r="R22" s="10"/>
      <c r="S22" s="10"/>
      <c r="T22" s="10"/>
      <c r="U22" s="10"/>
      <c r="V22" s="10">
        <f>O22+P22+Q22+R22+S22+T22</f>
        <v>384</v>
      </c>
      <c r="W22" s="10">
        <v>384</v>
      </c>
      <c r="X22" s="10"/>
      <c r="Y22" s="10"/>
      <c r="Z22" s="10"/>
      <c r="AA22" s="10"/>
      <c r="AB22" s="10"/>
      <c r="AC22" s="10">
        <f>W22+X22+Z22+AA22</f>
        <v>384</v>
      </c>
    </row>
    <row r="23" spans="1:30" ht="15.75" hidden="1" customHeight="1">
      <c r="A23" s="52"/>
      <c r="B23" s="55"/>
      <c r="C23" s="29">
        <v>920</v>
      </c>
      <c r="D23" s="10">
        <v>1796</v>
      </c>
      <c r="E23" s="10"/>
      <c r="F23" s="10"/>
      <c r="G23" s="10"/>
      <c r="H23" s="10"/>
      <c r="I23" s="10"/>
      <c r="J23" s="10"/>
      <c r="K23" s="10"/>
      <c r="L23" s="10"/>
      <c r="M23" s="10"/>
      <c r="N23" s="10">
        <f t="shared" si="21"/>
        <v>1796</v>
      </c>
      <c r="O23" s="10">
        <v>1796</v>
      </c>
      <c r="P23" s="10"/>
      <c r="Q23" s="10"/>
      <c r="R23" s="10"/>
      <c r="S23" s="10"/>
      <c r="T23" s="10"/>
      <c r="U23" s="10"/>
      <c r="V23" s="10">
        <f>O23+P23+Q23+R23+S23+T23</f>
        <v>1796</v>
      </c>
      <c r="W23" s="10">
        <v>1796</v>
      </c>
      <c r="X23" s="10"/>
      <c r="Y23" s="10"/>
      <c r="Z23" s="10"/>
      <c r="AA23" s="10"/>
      <c r="AB23" s="10"/>
      <c r="AC23" s="10">
        <f>W23+X23+Z23+AA23</f>
        <v>1796</v>
      </c>
    </row>
    <row r="24" spans="1:30" ht="70.5" customHeight="1">
      <c r="A24" s="39" t="s">
        <v>43</v>
      </c>
      <c r="B24" s="11" t="s">
        <v>78</v>
      </c>
      <c r="C24" s="3" t="s">
        <v>24</v>
      </c>
      <c r="D24" s="4">
        <f>SUM(D25:D27)</f>
        <v>135184</v>
      </c>
      <c r="E24" s="4">
        <f t="shared" ref="E24:K24" si="22">SUM(E25:E27)</f>
        <v>0</v>
      </c>
      <c r="F24" s="4">
        <f t="shared" si="22"/>
        <v>0</v>
      </c>
      <c r="G24" s="4"/>
      <c r="H24" s="4">
        <f t="shared" si="22"/>
        <v>1370</v>
      </c>
      <c r="I24" s="4">
        <f t="shared" si="22"/>
        <v>8690</v>
      </c>
      <c r="J24" s="4">
        <f t="shared" si="22"/>
        <v>0</v>
      </c>
      <c r="K24" s="4">
        <f t="shared" si="22"/>
        <v>-949</v>
      </c>
      <c r="L24" s="4">
        <f>SUM(L25:L28)</f>
        <v>20874</v>
      </c>
      <c r="M24" s="4"/>
      <c r="N24" s="4">
        <f>SUM(N25:N28)</f>
        <v>165169</v>
      </c>
      <c r="O24" s="4">
        <f t="shared" ref="O24:AC24" si="23">SUM(O25:O27)</f>
        <v>89327</v>
      </c>
      <c r="P24" s="4"/>
      <c r="Q24" s="4"/>
      <c r="R24" s="4"/>
      <c r="S24" s="4"/>
      <c r="T24" s="4">
        <f t="shared" ref="T24:V24" si="24">SUM(T25:T27)</f>
        <v>8591</v>
      </c>
      <c r="U24" s="4"/>
      <c r="V24" s="4">
        <f t="shared" si="24"/>
        <v>99507</v>
      </c>
      <c r="W24" s="4">
        <f t="shared" si="23"/>
        <v>81323</v>
      </c>
      <c r="X24" s="4">
        <f t="shared" si="23"/>
        <v>0</v>
      </c>
      <c r="Y24" s="4"/>
      <c r="Z24" s="4"/>
      <c r="AA24" s="4">
        <f t="shared" ref="AA24" si="25">SUM(AA25:AA27)</f>
        <v>8737</v>
      </c>
      <c r="AB24" s="4"/>
      <c r="AC24" s="4">
        <f t="shared" si="23"/>
        <v>91649</v>
      </c>
      <c r="AD24" s="25"/>
    </row>
    <row r="25" spans="1:30" ht="15.75" hidden="1">
      <c r="A25" s="39"/>
      <c r="B25" s="11"/>
      <c r="C25" s="29">
        <v>913</v>
      </c>
      <c r="D25" s="10">
        <v>71314</v>
      </c>
      <c r="E25" s="10"/>
      <c r="F25" s="10"/>
      <c r="G25" s="10"/>
      <c r="H25" s="10"/>
      <c r="I25" s="10"/>
      <c r="J25" s="10"/>
      <c r="K25" s="10"/>
      <c r="L25" s="10">
        <f>3742+8412+3820+1699+965+382+2319</f>
        <v>21339</v>
      </c>
      <c r="M25" s="10"/>
      <c r="N25" s="10">
        <f>D25+E25+F25+G25+H25+I25+J25+K25+L25+M25</f>
        <v>92653</v>
      </c>
      <c r="O25" s="10">
        <v>35618</v>
      </c>
      <c r="P25" s="10"/>
      <c r="Q25" s="10"/>
      <c r="R25" s="10"/>
      <c r="S25" s="10"/>
      <c r="T25" s="10">
        <f>4371+1901+2319</f>
        <v>8591</v>
      </c>
      <c r="U25" s="10"/>
      <c r="V25" s="10">
        <f>O25+P25+Q25+R25+S25+T25+U25</f>
        <v>44209</v>
      </c>
      <c r="W25" s="10">
        <v>35618</v>
      </c>
      <c r="X25" s="10"/>
      <c r="Y25" s="10"/>
      <c r="Z25" s="10"/>
      <c r="AA25" s="10">
        <f>4473+1945+2319</f>
        <v>8737</v>
      </c>
      <c r="AB25" s="10"/>
      <c r="AC25" s="10">
        <f>W25+X25+Z25+AA25+AB25</f>
        <v>44355</v>
      </c>
    </row>
    <row r="26" spans="1:30" ht="15.75" hidden="1">
      <c r="A26" s="39"/>
      <c r="B26" s="11"/>
      <c r="C26" s="29">
        <v>915</v>
      </c>
      <c r="D26" s="10">
        <v>12921</v>
      </c>
      <c r="E26" s="10"/>
      <c r="F26" s="10"/>
      <c r="G26" s="10"/>
      <c r="H26" s="10"/>
      <c r="I26" s="10"/>
      <c r="J26" s="10"/>
      <c r="K26" s="10">
        <v>1016</v>
      </c>
      <c r="L26" s="42">
        <f>-48-3000-3463</f>
        <v>-6511</v>
      </c>
      <c r="M26" s="42"/>
      <c r="N26" s="10">
        <f t="shared" ref="N26:N28" si="26">D26+E26+F26+G26+H26+I26+J26+K26+L26+M26</f>
        <v>7426</v>
      </c>
      <c r="O26" s="10">
        <v>5766</v>
      </c>
      <c r="P26" s="10"/>
      <c r="Q26" s="10"/>
      <c r="R26" s="10"/>
      <c r="S26" s="10"/>
      <c r="T26" s="10"/>
      <c r="U26" s="10">
        <f>1306+283</f>
        <v>1589</v>
      </c>
      <c r="V26" s="10">
        <f t="shared" ref="V26:V28" si="27">O26+P26+Q26+R26+S26+T26+U26</f>
        <v>7355</v>
      </c>
      <c r="W26" s="10">
        <v>5766</v>
      </c>
      <c r="X26" s="10"/>
      <c r="Y26" s="10"/>
      <c r="Z26" s="10"/>
      <c r="AA26" s="10"/>
      <c r="AB26" s="10">
        <f>1306+283</f>
        <v>1589</v>
      </c>
      <c r="AC26" s="10">
        <f t="shared" ref="AC26:AC28" si="28">W26+X26+Z26+AA26+AB26</f>
        <v>7355</v>
      </c>
    </row>
    <row r="27" spans="1:30" ht="15.75" hidden="1">
      <c r="A27" s="39"/>
      <c r="B27" s="11"/>
      <c r="C27" s="29">
        <v>921</v>
      </c>
      <c r="D27" s="10">
        <f>50488+461</f>
        <v>50949</v>
      </c>
      <c r="E27" s="10"/>
      <c r="F27" s="10"/>
      <c r="G27" s="10"/>
      <c r="H27" s="10">
        <f>1364+6</f>
        <v>1370</v>
      </c>
      <c r="I27" s="10">
        <f>7212+1478</f>
        <v>8690</v>
      </c>
      <c r="J27" s="10"/>
      <c r="K27" s="10">
        <f>-2035+70</f>
        <v>-1965</v>
      </c>
      <c r="L27" s="42">
        <f>-588+113-40+50</f>
        <v>-465</v>
      </c>
      <c r="M27" s="42"/>
      <c r="N27" s="10">
        <f t="shared" si="26"/>
        <v>58579</v>
      </c>
      <c r="O27" s="10">
        <f>47511+432</f>
        <v>47943</v>
      </c>
      <c r="P27" s="10"/>
      <c r="Q27" s="10"/>
      <c r="R27" s="10"/>
      <c r="S27" s="10"/>
      <c r="T27" s="10"/>
      <c r="U27" s="10"/>
      <c r="V27" s="10">
        <f t="shared" si="27"/>
        <v>47943</v>
      </c>
      <c r="W27" s="10">
        <f>39554+385</f>
        <v>39939</v>
      </c>
      <c r="X27" s="10"/>
      <c r="Y27" s="10"/>
      <c r="Z27" s="10"/>
      <c r="AA27" s="10"/>
      <c r="AB27" s="10"/>
      <c r="AC27" s="10">
        <f t="shared" si="28"/>
        <v>39939</v>
      </c>
    </row>
    <row r="28" spans="1:30" ht="15.75" hidden="1">
      <c r="A28" s="39"/>
      <c r="B28" s="11"/>
      <c r="C28" s="29">
        <v>924</v>
      </c>
      <c r="D28" s="10"/>
      <c r="E28" s="10"/>
      <c r="F28" s="10"/>
      <c r="G28" s="10"/>
      <c r="H28" s="10"/>
      <c r="I28" s="10"/>
      <c r="J28" s="10"/>
      <c r="K28" s="10"/>
      <c r="L28" s="42">
        <f>48+3000+3463</f>
        <v>6511</v>
      </c>
      <c r="M28" s="42"/>
      <c r="N28" s="10">
        <f t="shared" si="26"/>
        <v>6511</v>
      </c>
      <c r="O28" s="10"/>
      <c r="P28" s="10"/>
      <c r="Q28" s="10"/>
      <c r="R28" s="10"/>
      <c r="S28" s="10"/>
      <c r="T28" s="10"/>
      <c r="U28" s="10"/>
      <c r="V28" s="10">
        <f t="shared" si="27"/>
        <v>0</v>
      </c>
      <c r="W28" s="10"/>
      <c r="X28" s="10"/>
      <c r="Y28" s="10"/>
      <c r="Z28" s="10"/>
      <c r="AA28" s="10"/>
      <c r="AB28" s="10"/>
      <c r="AC28" s="10">
        <f t="shared" si="28"/>
        <v>0</v>
      </c>
    </row>
    <row r="29" spans="1:30" ht="51" customHeight="1">
      <c r="A29" s="39" t="s">
        <v>44</v>
      </c>
      <c r="B29" s="11" t="s">
        <v>79</v>
      </c>
      <c r="C29" s="3" t="s">
        <v>25</v>
      </c>
      <c r="D29" s="4">
        <v>254</v>
      </c>
      <c r="E29" s="4"/>
      <c r="F29" s="4"/>
      <c r="G29" s="4"/>
      <c r="H29" s="4"/>
      <c r="I29" s="4"/>
      <c r="J29" s="4"/>
      <c r="K29" s="4"/>
      <c r="L29" s="4"/>
      <c r="M29" s="4"/>
      <c r="N29" s="4">
        <f>D29+E29+F29+G29+H29+I29+J29+K29+L29+M29</f>
        <v>254</v>
      </c>
      <c r="O29" s="4">
        <v>236</v>
      </c>
      <c r="P29" s="4"/>
      <c r="Q29" s="4"/>
      <c r="R29" s="4"/>
      <c r="S29" s="4"/>
      <c r="T29" s="4"/>
      <c r="U29" s="4"/>
      <c r="V29" s="4">
        <f>O29+P29+Q29+R29+S29+T29</f>
        <v>236</v>
      </c>
      <c r="W29" s="4"/>
      <c r="X29" s="17"/>
      <c r="Y29" s="17"/>
      <c r="Z29" s="17"/>
      <c r="AA29" s="4"/>
      <c r="AB29" s="4"/>
      <c r="AC29" s="4">
        <f>W29+X29+Z29+AA29</f>
        <v>0</v>
      </c>
    </row>
    <row r="30" spans="1:30" ht="49.5" customHeight="1">
      <c r="A30" s="39" t="s">
        <v>45</v>
      </c>
      <c r="B30" s="11" t="s">
        <v>80</v>
      </c>
      <c r="C30" s="3" t="s">
        <v>31</v>
      </c>
      <c r="D30" s="4">
        <f>SUM(D31:D32)</f>
        <v>1871292</v>
      </c>
      <c r="E30" s="4">
        <f t="shared" ref="E30:N30" si="29">SUM(E31:E32)</f>
        <v>0</v>
      </c>
      <c r="F30" s="4">
        <f t="shared" si="29"/>
        <v>0</v>
      </c>
      <c r="G30" s="4"/>
      <c r="H30" s="4">
        <f t="shared" si="29"/>
        <v>3864300</v>
      </c>
      <c r="I30" s="4">
        <f t="shared" si="29"/>
        <v>2285</v>
      </c>
      <c r="J30" s="4">
        <f t="shared" si="29"/>
        <v>6343</v>
      </c>
      <c r="K30" s="4">
        <f t="shared" si="29"/>
        <v>160161</v>
      </c>
      <c r="L30" s="4">
        <f t="shared" si="29"/>
        <v>35815</v>
      </c>
      <c r="M30" s="4"/>
      <c r="N30" s="4">
        <f t="shared" si="29"/>
        <v>5955502</v>
      </c>
      <c r="O30" s="4">
        <f>O31+O32</f>
        <v>1767576</v>
      </c>
      <c r="P30" s="4">
        <f>P31+P32</f>
        <v>0</v>
      </c>
      <c r="Q30" s="4">
        <f>Q31+Q32</f>
        <v>0</v>
      </c>
      <c r="R30" s="4">
        <f>R31+R32</f>
        <v>5266</v>
      </c>
      <c r="S30" s="4">
        <f>S31+S32</f>
        <v>0</v>
      </c>
      <c r="T30" s="4">
        <f t="shared" ref="T30" si="30">SUM(T31:T32)</f>
        <v>77890</v>
      </c>
      <c r="U30" s="4"/>
      <c r="V30" s="4">
        <f t="shared" ref="V30:AC30" si="31">V31+V32</f>
        <v>1850732</v>
      </c>
      <c r="W30" s="4">
        <f t="shared" si="31"/>
        <v>1787416</v>
      </c>
      <c r="X30" s="4">
        <f t="shared" si="31"/>
        <v>0</v>
      </c>
      <c r="Y30" s="4"/>
      <c r="Z30" s="4"/>
      <c r="AA30" s="4">
        <f t="shared" ref="AA30" si="32">SUM(AA31:AA32)</f>
        <v>-8737</v>
      </c>
      <c r="AB30" s="4"/>
      <c r="AC30" s="4">
        <f t="shared" si="31"/>
        <v>1778679</v>
      </c>
      <c r="AD30" s="25"/>
    </row>
    <row r="31" spans="1:30" hidden="1">
      <c r="A31" s="50"/>
      <c r="B31" s="53"/>
      <c r="C31" s="29">
        <v>913</v>
      </c>
      <c r="D31" s="10">
        <v>1862908</v>
      </c>
      <c r="E31" s="10"/>
      <c r="F31" s="10"/>
      <c r="G31" s="10"/>
      <c r="H31" s="10">
        <f>(1322499+181988+19505+22186+66063+2049426+63847)-545</f>
        <v>3724969</v>
      </c>
      <c r="I31" s="10">
        <f>2285+18946+53304-72250</f>
        <v>2285</v>
      </c>
      <c r="J31" s="10">
        <f>-1150+816+4201+2142+221+113</f>
        <v>6343</v>
      </c>
      <c r="K31" s="10">
        <f>72250+89083</f>
        <v>161333</v>
      </c>
      <c r="L31" s="10">
        <f>45000-6663-2522</f>
        <v>35815</v>
      </c>
      <c r="M31" s="10">
        <f>5482+1370+2048+6406</f>
        <v>15306</v>
      </c>
      <c r="N31" s="10">
        <f>D31+E31+F31+G31+H31+I31+J31+K31+L31+M31</f>
        <v>5808959</v>
      </c>
      <c r="O31" s="10">
        <v>1758426</v>
      </c>
      <c r="P31" s="10"/>
      <c r="Q31" s="10"/>
      <c r="R31" s="10"/>
      <c r="S31" s="10"/>
      <c r="T31" s="10">
        <f>-6232-2359</f>
        <v>-8591</v>
      </c>
      <c r="U31" s="10"/>
      <c r="V31" s="10">
        <f>O31+P31+Q31+R31+S31+T31</f>
        <v>1749835</v>
      </c>
      <c r="W31" s="10">
        <v>1778526</v>
      </c>
      <c r="X31" s="10"/>
      <c r="Y31" s="10"/>
      <c r="Z31" s="10"/>
      <c r="AA31" s="10">
        <f>-6338-2399</f>
        <v>-8737</v>
      </c>
      <c r="AB31" s="10"/>
      <c r="AC31" s="10">
        <f>W31+X31+Z31+AA31</f>
        <v>1769789</v>
      </c>
    </row>
    <row r="32" spans="1:30" hidden="1">
      <c r="A32" s="52"/>
      <c r="B32" s="55"/>
      <c r="C32" s="29">
        <v>914</v>
      </c>
      <c r="D32" s="10">
        <v>8384</v>
      </c>
      <c r="E32" s="10"/>
      <c r="F32" s="10"/>
      <c r="G32" s="10"/>
      <c r="H32" s="10">
        <f>142191-1172+200-1888</f>
        <v>139331</v>
      </c>
      <c r="I32" s="10"/>
      <c r="J32" s="10"/>
      <c r="K32" s="10">
        <v>-1172</v>
      </c>
      <c r="L32" s="10"/>
      <c r="M32" s="10"/>
      <c r="N32" s="10">
        <f>D32+E32+F32+G32+H32+I32+J32+K32+L32+M32</f>
        <v>146543</v>
      </c>
      <c r="O32" s="10">
        <v>9150</v>
      </c>
      <c r="P32" s="10"/>
      <c r="Q32" s="10"/>
      <c r="R32" s="10">
        <v>5266</v>
      </c>
      <c r="S32" s="10"/>
      <c r="T32" s="10">
        <v>86481</v>
      </c>
      <c r="U32" s="10"/>
      <c r="V32" s="10">
        <f>O32+P32+Q32+R32+S32+T32</f>
        <v>100897</v>
      </c>
      <c r="W32" s="10">
        <v>8890</v>
      </c>
      <c r="X32" s="10"/>
      <c r="Y32" s="10"/>
      <c r="Z32" s="10"/>
      <c r="AA32" s="10"/>
      <c r="AB32" s="10"/>
      <c r="AC32" s="10">
        <f>W32+X32+Z32+AA32</f>
        <v>8890</v>
      </c>
    </row>
    <row r="33" spans="1:29" ht="47.25">
      <c r="A33" s="39" t="s">
        <v>46</v>
      </c>
      <c r="B33" s="11" t="s">
        <v>81</v>
      </c>
      <c r="C33" s="3" t="s">
        <v>21</v>
      </c>
      <c r="D33" s="4">
        <v>32351</v>
      </c>
      <c r="E33" s="4"/>
      <c r="F33" s="4">
        <v>609</v>
      </c>
      <c r="G33" s="4"/>
      <c r="H33" s="4"/>
      <c r="I33" s="4"/>
      <c r="J33" s="4">
        <v>111579</v>
      </c>
      <c r="K33" s="4"/>
      <c r="L33" s="4"/>
      <c r="M33" s="4"/>
      <c r="N33" s="4">
        <f>D33+E33+F33+G33+H33+I33+J33+K33+L33+M33</f>
        <v>144539</v>
      </c>
      <c r="O33" s="4">
        <v>50000</v>
      </c>
      <c r="P33" s="4"/>
      <c r="Q33" s="4"/>
      <c r="R33" s="4"/>
      <c r="S33" s="4"/>
      <c r="T33" s="4"/>
      <c r="U33" s="4"/>
      <c r="V33" s="4">
        <f>O33+P33+Q33+R33+S33+T33</f>
        <v>50000</v>
      </c>
      <c r="W33" s="4">
        <v>88301</v>
      </c>
      <c r="X33" s="17"/>
      <c r="Y33" s="17"/>
      <c r="Z33" s="17"/>
      <c r="AA33" s="4"/>
      <c r="AB33" s="4"/>
      <c r="AC33" s="4">
        <f>W33+X33+Z33+AA33</f>
        <v>88301</v>
      </c>
    </row>
    <row r="34" spans="1:29" ht="99.75" customHeight="1">
      <c r="A34" s="39" t="s">
        <v>47</v>
      </c>
      <c r="B34" s="11" t="s">
        <v>82</v>
      </c>
      <c r="C34" s="3" t="s">
        <v>7</v>
      </c>
      <c r="D34" s="4">
        <f>SUM(D35:D39)</f>
        <v>72899</v>
      </c>
      <c r="E34" s="4">
        <f t="shared" ref="E34:N34" si="33">SUM(E35:E39)</f>
        <v>0</v>
      </c>
      <c r="F34" s="4">
        <f t="shared" si="33"/>
        <v>0</v>
      </c>
      <c r="G34" s="4">
        <f t="shared" si="33"/>
        <v>0</v>
      </c>
      <c r="H34" s="4">
        <f t="shared" si="33"/>
        <v>-994</v>
      </c>
      <c r="I34" s="4">
        <f t="shared" si="33"/>
        <v>776</v>
      </c>
      <c r="J34" s="4">
        <f t="shared" si="33"/>
        <v>0</v>
      </c>
      <c r="K34" s="4">
        <f t="shared" si="33"/>
        <v>0</v>
      </c>
      <c r="L34" s="4">
        <f t="shared" si="33"/>
        <v>0</v>
      </c>
      <c r="M34" s="4"/>
      <c r="N34" s="4">
        <f t="shared" si="33"/>
        <v>72700</v>
      </c>
      <c r="O34" s="4">
        <f t="shared" ref="O34" si="34">SUM(O35:O39)</f>
        <v>67401</v>
      </c>
      <c r="P34" s="4">
        <f t="shared" ref="P34" si="35">SUM(P35:P39)</f>
        <v>0</v>
      </c>
      <c r="Q34" s="4"/>
      <c r="R34" s="4"/>
      <c r="S34" s="4"/>
      <c r="T34" s="4">
        <f t="shared" ref="T34" si="36">SUM(T35:T39)</f>
        <v>0</v>
      </c>
      <c r="U34" s="4"/>
      <c r="V34" s="4">
        <f t="shared" ref="V34" si="37">SUM(V35:V39)</f>
        <v>67401</v>
      </c>
      <c r="W34" s="4">
        <f t="shared" ref="W34" si="38">SUM(W35:W39)</f>
        <v>67401</v>
      </c>
      <c r="X34" s="4">
        <f t="shared" ref="X34" si="39">SUM(X35:X39)</f>
        <v>0</v>
      </c>
      <c r="Y34" s="4"/>
      <c r="Z34" s="4"/>
      <c r="AA34" s="4">
        <f t="shared" ref="AA34" si="40">SUM(AA35:AA39)</f>
        <v>0</v>
      </c>
      <c r="AB34" s="4"/>
      <c r="AC34" s="4">
        <f t="shared" ref="AC34" si="41">SUM(AC35:AC39)</f>
        <v>67401</v>
      </c>
    </row>
    <row r="35" spans="1:29" hidden="1">
      <c r="A35" s="50"/>
      <c r="B35" s="53"/>
      <c r="C35" s="29">
        <v>906</v>
      </c>
      <c r="D35" s="10">
        <v>69590</v>
      </c>
      <c r="E35" s="10"/>
      <c r="F35" s="10"/>
      <c r="G35" s="10"/>
      <c r="H35" s="10">
        <v>-994</v>
      </c>
      <c r="I35" s="10"/>
      <c r="J35" s="10"/>
      <c r="K35" s="10"/>
      <c r="L35" s="10"/>
      <c r="M35" s="10">
        <v>19</v>
      </c>
      <c r="N35" s="10">
        <f>D35+E35+F35+G35+H35+I35+J35+K35+L35+M35</f>
        <v>68615</v>
      </c>
      <c r="O35" s="10">
        <f>61605+86+2795</f>
        <v>64486</v>
      </c>
      <c r="P35" s="10"/>
      <c r="Q35" s="10"/>
      <c r="R35" s="10"/>
      <c r="S35" s="10"/>
      <c r="T35" s="10"/>
      <c r="U35" s="10"/>
      <c r="V35" s="10">
        <f t="shared" ref="V35:V40" si="42">O35+P35+Q35+R35+S35+T35</f>
        <v>64486</v>
      </c>
      <c r="W35" s="10">
        <v>64486</v>
      </c>
      <c r="X35" s="10"/>
      <c r="Y35" s="10"/>
      <c r="Z35" s="10"/>
      <c r="AA35" s="10"/>
      <c r="AB35" s="10"/>
      <c r="AC35" s="10">
        <f t="shared" ref="AC35:AC40" si="43">W35+X35+Z35+AA35</f>
        <v>64486</v>
      </c>
    </row>
    <row r="36" spans="1:29" hidden="1">
      <c r="A36" s="51"/>
      <c r="B36" s="54"/>
      <c r="C36" s="29">
        <v>912</v>
      </c>
      <c r="D36" s="10"/>
      <c r="E36" s="10"/>
      <c r="F36" s="10"/>
      <c r="G36" s="10"/>
      <c r="H36" s="10"/>
      <c r="I36" s="10">
        <v>776</v>
      </c>
      <c r="J36" s="10"/>
      <c r="K36" s="10"/>
      <c r="L36" s="10"/>
      <c r="M36" s="10"/>
      <c r="N36" s="10">
        <f t="shared" ref="N36:N39" si="44">D36+E36+F36+G36+H36+I36+J36+K36+L36+M36</f>
        <v>776</v>
      </c>
      <c r="O36" s="10"/>
      <c r="P36" s="10"/>
      <c r="Q36" s="10"/>
      <c r="R36" s="10"/>
      <c r="S36" s="10"/>
      <c r="T36" s="10"/>
      <c r="U36" s="10"/>
      <c r="V36" s="10">
        <f t="shared" si="42"/>
        <v>0</v>
      </c>
      <c r="W36" s="10"/>
      <c r="X36" s="10"/>
      <c r="Y36" s="10"/>
      <c r="Z36" s="10"/>
      <c r="AA36" s="10"/>
      <c r="AB36" s="10"/>
      <c r="AC36" s="10">
        <f t="shared" si="43"/>
        <v>0</v>
      </c>
    </row>
    <row r="37" spans="1:29" hidden="1">
      <c r="A37" s="51"/>
      <c r="B37" s="54"/>
      <c r="C37" s="29">
        <v>917</v>
      </c>
      <c r="D37" s="10">
        <v>334</v>
      </c>
      <c r="E37" s="10"/>
      <c r="F37" s="10"/>
      <c r="G37" s="10"/>
      <c r="H37" s="10"/>
      <c r="I37" s="10"/>
      <c r="J37" s="10"/>
      <c r="K37" s="10"/>
      <c r="L37" s="10"/>
      <c r="M37" s="10"/>
      <c r="N37" s="10">
        <f t="shared" si="44"/>
        <v>334</v>
      </c>
      <c r="O37" s="10">
        <v>315</v>
      </c>
      <c r="P37" s="10"/>
      <c r="Q37" s="10"/>
      <c r="R37" s="10"/>
      <c r="S37" s="10"/>
      <c r="T37" s="10"/>
      <c r="U37" s="10"/>
      <c r="V37" s="10">
        <f t="shared" si="42"/>
        <v>315</v>
      </c>
      <c r="W37" s="10">
        <v>315</v>
      </c>
      <c r="X37" s="10"/>
      <c r="Y37" s="10"/>
      <c r="Z37" s="10"/>
      <c r="AA37" s="10"/>
      <c r="AB37" s="10"/>
      <c r="AC37" s="10">
        <f t="shared" si="43"/>
        <v>315</v>
      </c>
    </row>
    <row r="38" spans="1:29" hidden="1">
      <c r="A38" s="51"/>
      <c r="B38" s="54"/>
      <c r="C38" s="29">
        <v>920</v>
      </c>
      <c r="D38" s="10">
        <v>1785</v>
      </c>
      <c r="E38" s="10"/>
      <c r="F38" s="10"/>
      <c r="G38" s="10"/>
      <c r="H38" s="10"/>
      <c r="I38" s="10"/>
      <c r="J38" s="10"/>
      <c r="K38" s="10"/>
      <c r="L38" s="10"/>
      <c r="M38" s="10"/>
      <c r="N38" s="10">
        <f t="shared" si="44"/>
        <v>1785</v>
      </c>
      <c r="O38" s="10">
        <v>1785</v>
      </c>
      <c r="P38" s="10"/>
      <c r="Q38" s="10"/>
      <c r="R38" s="10"/>
      <c r="S38" s="10"/>
      <c r="T38" s="10"/>
      <c r="U38" s="10"/>
      <c r="V38" s="10">
        <f t="shared" si="42"/>
        <v>1785</v>
      </c>
      <c r="W38" s="10">
        <v>1785</v>
      </c>
      <c r="X38" s="10"/>
      <c r="Y38" s="10"/>
      <c r="Z38" s="10"/>
      <c r="AA38" s="10"/>
      <c r="AB38" s="10"/>
      <c r="AC38" s="10">
        <f t="shared" si="43"/>
        <v>1785</v>
      </c>
    </row>
    <row r="39" spans="1:29" hidden="1">
      <c r="A39" s="52"/>
      <c r="B39" s="55"/>
      <c r="C39" s="29">
        <v>923</v>
      </c>
      <c r="D39" s="10">
        <v>1190</v>
      </c>
      <c r="E39" s="10"/>
      <c r="F39" s="10"/>
      <c r="G39" s="10"/>
      <c r="H39" s="10"/>
      <c r="I39" s="10"/>
      <c r="J39" s="10"/>
      <c r="K39" s="10"/>
      <c r="L39" s="10"/>
      <c r="M39" s="10"/>
      <c r="N39" s="10">
        <f t="shared" si="44"/>
        <v>1190</v>
      </c>
      <c r="O39" s="10">
        <v>815</v>
      </c>
      <c r="P39" s="10"/>
      <c r="Q39" s="10"/>
      <c r="R39" s="10"/>
      <c r="S39" s="10"/>
      <c r="T39" s="10"/>
      <c r="U39" s="10"/>
      <c r="V39" s="10">
        <f t="shared" si="42"/>
        <v>815</v>
      </c>
      <c r="W39" s="10">
        <v>815</v>
      </c>
      <c r="X39" s="10"/>
      <c r="Y39" s="10"/>
      <c r="Z39" s="10"/>
      <c r="AA39" s="10"/>
      <c r="AB39" s="10"/>
      <c r="AC39" s="10">
        <f t="shared" si="43"/>
        <v>815</v>
      </c>
    </row>
    <row r="40" spans="1:29" ht="46.5" customHeight="1">
      <c r="A40" s="39" t="s">
        <v>48</v>
      </c>
      <c r="B40" s="11" t="s">
        <v>83</v>
      </c>
      <c r="C40" s="3" t="s">
        <v>26</v>
      </c>
      <c r="D40" s="4">
        <v>40647</v>
      </c>
      <c r="E40" s="4"/>
      <c r="F40" s="4"/>
      <c r="G40" s="4"/>
      <c r="H40" s="4">
        <f>1745-465</f>
        <v>1280</v>
      </c>
      <c r="I40" s="4"/>
      <c r="J40" s="4"/>
      <c r="K40" s="4"/>
      <c r="L40" s="4">
        <v>17</v>
      </c>
      <c r="M40" s="4"/>
      <c r="N40" s="4">
        <f>D40+E40+F40+G40+H40+I40+J40+K40+L40+M40</f>
        <v>41944</v>
      </c>
      <c r="O40" s="4">
        <v>21805</v>
      </c>
      <c r="P40" s="4"/>
      <c r="Q40" s="4"/>
      <c r="R40" s="4"/>
      <c r="S40" s="4"/>
      <c r="T40" s="4"/>
      <c r="U40" s="4"/>
      <c r="V40" s="4">
        <f t="shared" si="42"/>
        <v>21805</v>
      </c>
      <c r="W40" s="4">
        <v>21162</v>
      </c>
      <c r="X40" s="17"/>
      <c r="Y40" s="17"/>
      <c r="Z40" s="17"/>
      <c r="AA40" s="4"/>
      <c r="AB40" s="4"/>
      <c r="AC40" s="4">
        <f t="shared" si="43"/>
        <v>21162</v>
      </c>
    </row>
    <row r="41" spans="1:29" ht="63">
      <c r="A41" s="39" t="s">
        <v>49</v>
      </c>
      <c r="B41" s="11" t="s">
        <v>84</v>
      </c>
      <c r="C41" s="3" t="s">
        <v>27</v>
      </c>
      <c r="D41" s="4">
        <f>SUM(D42:D44)</f>
        <v>168043</v>
      </c>
      <c r="E41" s="4">
        <f t="shared" ref="E41:N41" si="45">SUM(E42:E44)</f>
        <v>0</v>
      </c>
      <c r="F41" s="4">
        <f t="shared" si="45"/>
        <v>554</v>
      </c>
      <c r="G41" s="4"/>
      <c r="H41" s="4">
        <f t="shared" si="45"/>
        <v>2</v>
      </c>
      <c r="I41" s="4">
        <f t="shared" si="45"/>
        <v>0</v>
      </c>
      <c r="J41" s="4"/>
      <c r="K41" s="4">
        <f t="shared" si="45"/>
        <v>0</v>
      </c>
      <c r="L41" s="4">
        <f t="shared" si="45"/>
        <v>113</v>
      </c>
      <c r="M41" s="4"/>
      <c r="N41" s="4">
        <f t="shared" si="45"/>
        <v>168712</v>
      </c>
      <c r="O41" s="4">
        <f t="shared" ref="O41" si="46">SUM(O42:O44)</f>
        <v>156952</v>
      </c>
      <c r="P41" s="4">
        <f t="shared" ref="P41" si="47">SUM(P42:P44)</f>
        <v>0</v>
      </c>
      <c r="Q41" s="4"/>
      <c r="R41" s="4"/>
      <c r="S41" s="4"/>
      <c r="T41" s="4">
        <f t="shared" ref="T41" si="48">SUM(T42:T44)</f>
        <v>0</v>
      </c>
      <c r="U41" s="4"/>
      <c r="V41" s="4">
        <f t="shared" ref="V41" si="49">SUM(V42:V44)</f>
        <v>156952</v>
      </c>
      <c r="W41" s="4">
        <f t="shared" ref="W41" si="50">SUM(W42:W44)</f>
        <v>156652</v>
      </c>
      <c r="X41" s="4">
        <f t="shared" ref="X41" si="51">SUM(X42:X44)</f>
        <v>0</v>
      </c>
      <c r="Y41" s="4"/>
      <c r="Z41" s="4"/>
      <c r="AA41" s="4">
        <f t="shared" ref="AA41" si="52">SUM(AA42:AA44)</f>
        <v>0</v>
      </c>
      <c r="AB41" s="4"/>
      <c r="AC41" s="4">
        <f t="shared" ref="AC41" si="53">SUM(AC42:AC44)</f>
        <v>156652</v>
      </c>
    </row>
    <row r="42" spans="1:29" hidden="1">
      <c r="A42" s="50"/>
      <c r="B42" s="53"/>
      <c r="C42" s="29">
        <v>910</v>
      </c>
      <c r="D42" s="10">
        <v>1800</v>
      </c>
      <c r="E42" s="10"/>
      <c r="F42" s="10"/>
      <c r="G42" s="10"/>
      <c r="H42" s="10"/>
      <c r="I42" s="10"/>
      <c r="J42" s="10"/>
      <c r="K42" s="10"/>
      <c r="L42" s="10"/>
      <c r="M42" s="10"/>
      <c r="N42" s="10">
        <f>D42+E42+F42+G42+H42+I42+J42+K42+L42+M42</f>
        <v>1800</v>
      </c>
      <c r="O42" s="10">
        <v>1674</v>
      </c>
      <c r="P42" s="10"/>
      <c r="Q42" s="10"/>
      <c r="R42" s="10"/>
      <c r="S42" s="10"/>
      <c r="T42" s="10"/>
      <c r="U42" s="10"/>
      <c r="V42" s="10">
        <f t="shared" ref="V42:V47" si="54">O42+P42+Q42+R42+S42+T42</f>
        <v>1674</v>
      </c>
      <c r="W42" s="10">
        <v>1674</v>
      </c>
      <c r="X42" s="10"/>
      <c r="Y42" s="10"/>
      <c r="Z42" s="10"/>
      <c r="AA42" s="10"/>
      <c r="AB42" s="10"/>
      <c r="AC42" s="10">
        <f t="shared" ref="AC42:AC47" si="55">W42+X42+Z42+AA42</f>
        <v>1674</v>
      </c>
    </row>
    <row r="43" spans="1:29" hidden="1">
      <c r="A43" s="51"/>
      <c r="B43" s="54"/>
      <c r="C43" s="29">
        <v>920</v>
      </c>
      <c r="D43" s="10">
        <v>589</v>
      </c>
      <c r="E43" s="10"/>
      <c r="F43" s="10"/>
      <c r="G43" s="10"/>
      <c r="H43" s="10"/>
      <c r="I43" s="10"/>
      <c r="J43" s="10"/>
      <c r="K43" s="10"/>
      <c r="L43" s="10"/>
      <c r="M43" s="10"/>
      <c r="N43" s="10">
        <f t="shared" ref="N43:N44" si="56">D43+E43+F43+G43+H43+I43+J43+K43+L43+M43</f>
        <v>589</v>
      </c>
      <c r="O43" s="10"/>
      <c r="P43" s="10"/>
      <c r="Q43" s="10"/>
      <c r="R43" s="10"/>
      <c r="S43" s="10"/>
      <c r="T43" s="10"/>
      <c r="U43" s="10"/>
      <c r="V43" s="10">
        <f t="shared" si="54"/>
        <v>0</v>
      </c>
      <c r="W43" s="10"/>
      <c r="X43" s="10"/>
      <c r="Y43" s="10"/>
      <c r="Z43" s="10"/>
      <c r="AA43" s="10"/>
      <c r="AB43" s="10"/>
      <c r="AC43" s="10">
        <f t="shared" si="55"/>
        <v>0</v>
      </c>
    </row>
    <row r="44" spans="1:29" hidden="1">
      <c r="A44" s="52"/>
      <c r="B44" s="55"/>
      <c r="C44" s="29">
        <v>921</v>
      </c>
      <c r="D44" s="10">
        <v>165654</v>
      </c>
      <c r="E44" s="10"/>
      <c r="F44" s="10">
        <v>554</v>
      </c>
      <c r="G44" s="10"/>
      <c r="H44" s="10">
        <f>453-451</f>
        <v>2</v>
      </c>
      <c r="I44" s="10">
        <f>1850-1850</f>
        <v>0</v>
      </c>
      <c r="J44" s="10"/>
      <c r="K44" s="10"/>
      <c r="L44" s="10">
        <f>113</f>
        <v>113</v>
      </c>
      <c r="M44" s="10"/>
      <c r="N44" s="10">
        <f t="shared" si="56"/>
        <v>166323</v>
      </c>
      <c r="O44" s="10">
        <f>148942+6336</f>
        <v>155278</v>
      </c>
      <c r="P44" s="10"/>
      <c r="Q44" s="10"/>
      <c r="R44" s="10"/>
      <c r="S44" s="10"/>
      <c r="T44" s="10"/>
      <c r="U44" s="10"/>
      <c r="V44" s="10">
        <f t="shared" si="54"/>
        <v>155278</v>
      </c>
      <c r="W44" s="10">
        <f>148642+6336</f>
        <v>154978</v>
      </c>
      <c r="X44" s="10"/>
      <c r="Y44" s="10"/>
      <c r="Z44" s="10"/>
      <c r="AA44" s="10"/>
      <c r="AB44" s="10"/>
      <c r="AC44" s="10">
        <f t="shared" si="55"/>
        <v>154978</v>
      </c>
    </row>
    <row r="45" spans="1:29" ht="63">
      <c r="A45" s="39" t="s">
        <v>50</v>
      </c>
      <c r="B45" s="11" t="s">
        <v>85</v>
      </c>
      <c r="C45" s="3" t="s">
        <v>8</v>
      </c>
      <c r="D45" s="4">
        <v>17913</v>
      </c>
      <c r="E45" s="4"/>
      <c r="F45" s="4"/>
      <c r="G45" s="4">
        <v>2823</v>
      </c>
      <c r="H45" s="4">
        <v>-528</v>
      </c>
      <c r="I45" s="4"/>
      <c r="J45" s="4"/>
      <c r="K45" s="4"/>
      <c r="L45" s="4">
        <v>20649</v>
      </c>
      <c r="M45" s="4"/>
      <c r="N45" s="4">
        <f>D45+E45+F45+G45+H45+I45+J45+K45+L45+M45</f>
        <v>40857</v>
      </c>
      <c r="O45" s="4"/>
      <c r="P45" s="4"/>
      <c r="Q45" s="4"/>
      <c r="R45" s="4"/>
      <c r="S45" s="4"/>
      <c r="T45" s="4"/>
      <c r="U45" s="4"/>
      <c r="V45" s="4">
        <f t="shared" si="54"/>
        <v>0</v>
      </c>
      <c r="W45" s="4"/>
      <c r="X45" s="17"/>
      <c r="Y45" s="17"/>
      <c r="Z45" s="17"/>
      <c r="AA45" s="4"/>
      <c r="AB45" s="4"/>
      <c r="AC45" s="4">
        <f t="shared" si="55"/>
        <v>0</v>
      </c>
    </row>
    <row r="46" spans="1:29" ht="31.5">
      <c r="A46" s="39" t="s">
        <v>51</v>
      </c>
      <c r="B46" s="11" t="s">
        <v>86</v>
      </c>
      <c r="C46" s="3" t="s">
        <v>9</v>
      </c>
      <c r="D46" s="4">
        <v>283799</v>
      </c>
      <c r="E46" s="4"/>
      <c r="F46" s="4"/>
      <c r="G46" s="4"/>
      <c r="H46" s="4">
        <v>-3000</v>
      </c>
      <c r="I46" s="4"/>
      <c r="J46" s="4"/>
      <c r="K46" s="4">
        <f>2240+6115-143</f>
        <v>8212</v>
      </c>
      <c r="L46" s="4">
        <f>-271+5000</f>
        <v>4729</v>
      </c>
      <c r="M46" s="4">
        <v>-234</v>
      </c>
      <c r="N46" s="4">
        <f t="shared" ref="N46:N47" si="57">D46+E46+F46+G46+H46+I46+J46+K46+L46+M46</f>
        <v>293506</v>
      </c>
      <c r="O46" s="4">
        <v>283951</v>
      </c>
      <c r="P46" s="4"/>
      <c r="Q46" s="4"/>
      <c r="R46" s="4"/>
      <c r="S46" s="4"/>
      <c r="T46" s="4"/>
      <c r="U46" s="4"/>
      <c r="V46" s="4">
        <f t="shared" si="54"/>
        <v>283951</v>
      </c>
      <c r="W46" s="4">
        <v>328805</v>
      </c>
      <c r="X46" s="17"/>
      <c r="Y46" s="17"/>
      <c r="Z46" s="17"/>
      <c r="AA46" s="4"/>
      <c r="AB46" s="4"/>
      <c r="AC46" s="4">
        <f t="shared" si="55"/>
        <v>328805</v>
      </c>
    </row>
    <row r="47" spans="1:29" ht="47.25">
      <c r="A47" s="39" t="s">
        <v>52</v>
      </c>
      <c r="B47" s="11" t="s">
        <v>87</v>
      </c>
      <c r="C47" s="3" t="s">
        <v>10</v>
      </c>
      <c r="D47" s="4">
        <v>5000</v>
      </c>
      <c r="E47" s="4"/>
      <c r="F47" s="4"/>
      <c r="G47" s="4"/>
      <c r="H47" s="4"/>
      <c r="I47" s="4">
        <v>1068</v>
      </c>
      <c r="J47" s="4"/>
      <c r="K47" s="4"/>
      <c r="L47" s="4">
        <v>236</v>
      </c>
      <c r="M47" s="4"/>
      <c r="N47" s="4">
        <f t="shared" si="57"/>
        <v>6304</v>
      </c>
      <c r="O47" s="4">
        <v>5000</v>
      </c>
      <c r="P47" s="4"/>
      <c r="Q47" s="4"/>
      <c r="R47" s="4"/>
      <c r="S47" s="4"/>
      <c r="T47" s="4"/>
      <c r="U47" s="4"/>
      <c r="V47" s="4">
        <f t="shared" si="54"/>
        <v>5000</v>
      </c>
      <c r="W47" s="4"/>
      <c r="X47" s="17"/>
      <c r="Y47" s="17"/>
      <c r="Z47" s="17"/>
      <c r="AA47" s="4"/>
      <c r="AB47" s="4"/>
      <c r="AC47" s="4">
        <f t="shared" si="55"/>
        <v>0</v>
      </c>
    </row>
    <row r="48" spans="1:29" ht="65.25" customHeight="1">
      <c r="A48" s="39" t="s">
        <v>53</v>
      </c>
      <c r="B48" s="53" t="s">
        <v>88</v>
      </c>
      <c r="C48" s="3" t="s">
        <v>34</v>
      </c>
      <c r="D48" s="4">
        <f>D49+D50+D53+D58</f>
        <v>909803</v>
      </c>
      <c r="E48" s="4">
        <f t="shared" ref="E48:X48" si="58">E49+E50+E53+E58</f>
        <v>1030022</v>
      </c>
      <c r="F48" s="4"/>
      <c r="G48" s="4"/>
      <c r="H48" s="4">
        <f>H49+H50+H53+H58</f>
        <v>21775</v>
      </c>
      <c r="I48" s="4">
        <f>I49+I50+I53+I58</f>
        <v>228156</v>
      </c>
      <c r="J48" s="4">
        <f>J49+J50+J53+J58</f>
        <v>243</v>
      </c>
      <c r="K48" s="4">
        <f>K49+K50+K53+K56+K58</f>
        <v>273497</v>
      </c>
      <c r="L48" s="4">
        <f>L49+L50+L53+L56+L58</f>
        <v>0</v>
      </c>
      <c r="M48" s="4"/>
      <c r="N48" s="4">
        <f>N49+N50+N53+N56+N58</f>
        <v>2464716</v>
      </c>
      <c r="O48" s="4">
        <f t="shared" si="58"/>
        <v>805109</v>
      </c>
      <c r="P48" s="4">
        <f>P49+P50+P53+P58</f>
        <v>0</v>
      </c>
      <c r="Q48" s="4">
        <f>Q49+Q50+Q53+Q58</f>
        <v>0</v>
      </c>
      <c r="R48" s="4">
        <f>R49+R50+R53+R58</f>
        <v>74622</v>
      </c>
      <c r="S48" s="4">
        <f>S49+S50+S53+S58</f>
        <v>175269</v>
      </c>
      <c r="T48" s="4">
        <f>T49+T50+T53+T56+T58</f>
        <v>1373</v>
      </c>
      <c r="U48" s="4"/>
      <c r="V48" s="4">
        <f>V49+V50+V53+V56+V58</f>
        <v>1056602</v>
      </c>
      <c r="W48" s="4">
        <f t="shared" si="58"/>
        <v>843457</v>
      </c>
      <c r="X48" s="4">
        <f t="shared" si="58"/>
        <v>0</v>
      </c>
      <c r="Y48" s="4"/>
      <c r="Z48" s="4">
        <f>Z49+Z50+Z53+Z58</f>
        <v>74718</v>
      </c>
      <c r="AA48" s="4">
        <f>AA49+AA50+AA53+AA56+AA58</f>
        <v>0</v>
      </c>
      <c r="AB48" s="4"/>
      <c r="AC48" s="4">
        <f>AC49+AC50+AC53+AC56+AC58</f>
        <v>918175</v>
      </c>
    </row>
    <row r="49" spans="1:29" ht="36" customHeight="1">
      <c r="A49" s="39" t="s">
        <v>54</v>
      </c>
      <c r="B49" s="54"/>
      <c r="C49" s="9" t="s">
        <v>38</v>
      </c>
      <c r="D49" s="10">
        <v>323675</v>
      </c>
      <c r="E49" s="10"/>
      <c r="F49" s="10"/>
      <c r="G49" s="10"/>
      <c r="H49" s="10">
        <v>73</v>
      </c>
      <c r="I49" s="10"/>
      <c r="J49" s="10"/>
      <c r="K49" s="10"/>
      <c r="L49" s="10"/>
      <c r="M49" s="10"/>
      <c r="N49" s="10">
        <f>D49+E49+F49+G49+H49+I49+J49+K49+L49</f>
        <v>323748</v>
      </c>
      <c r="O49" s="10">
        <v>367092</v>
      </c>
      <c r="P49" s="10"/>
      <c r="Q49" s="10">
        <v>408</v>
      </c>
      <c r="R49" s="10"/>
      <c r="S49" s="10"/>
      <c r="T49" s="10"/>
      <c r="U49" s="10"/>
      <c r="V49" s="10">
        <f>O49+P49+Q49+R49+S49+T49</f>
        <v>367500</v>
      </c>
      <c r="W49" s="10">
        <v>381274</v>
      </c>
      <c r="X49" s="10"/>
      <c r="Y49" s="10">
        <v>408</v>
      </c>
      <c r="Z49" s="10"/>
      <c r="AA49" s="10"/>
      <c r="AB49" s="10"/>
      <c r="AC49" s="10">
        <f>W49+X49+Y49+Z49+AA49</f>
        <v>381682</v>
      </c>
    </row>
    <row r="50" spans="1:29" ht="48" customHeight="1">
      <c r="A50" s="50" t="s">
        <v>55</v>
      </c>
      <c r="B50" s="54"/>
      <c r="C50" s="9" t="s">
        <v>32</v>
      </c>
      <c r="D50" s="10">
        <f>SUM(D51:D52)</f>
        <v>361952</v>
      </c>
      <c r="E50" s="10">
        <f t="shared" ref="E50:F50" si="59">SUM(E51:E52)</f>
        <v>0</v>
      </c>
      <c r="F50" s="10">
        <f t="shared" si="59"/>
        <v>0</v>
      </c>
      <c r="G50" s="10"/>
      <c r="H50" s="10"/>
      <c r="I50" s="10">
        <f>SUM(I51:I52)</f>
        <v>228156</v>
      </c>
      <c r="J50" s="10">
        <f t="shared" ref="J50:L50" si="60">SUM(J51:J52)</f>
        <v>0</v>
      </c>
      <c r="K50" s="10">
        <f t="shared" si="60"/>
        <v>0</v>
      </c>
      <c r="L50" s="10">
        <f t="shared" si="60"/>
        <v>0</v>
      </c>
      <c r="M50" s="10"/>
      <c r="N50" s="10">
        <f>N51+N52</f>
        <v>590108</v>
      </c>
      <c r="O50" s="10">
        <f t="shared" ref="O50" si="61">O51+O52</f>
        <v>327380</v>
      </c>
      <c r="P50" s="10">
        <f t="shared" ref="P50:R50" si="62">SUM(P51:P52)</f>
        <v>0</v>
      </c>
      <c r="Q50" s="10">
        <f t="shared" si="62"/>
        <v>0</v>
      </c>
      <c r="R50" s="10">
        <f t="shared" si="62"/>
        <v>74622</v>
      </c>
      <c r="S50" s="10">
        <f t="shared" ref="S50:V50" si="63">SUM(S51:S52)</f>
        <v>0</v>
      </c>
      <c r="T50" s="10">
        <f t="shared" si="63"/>
        <v>0</v>
      </c>
      <c r="U50" s="10"/>
      <c r="V50" s="10">
        <f t="shared" si="63"/>
        <v>402002</v>
      </c>
      <c r="W50" s="10">
        <f t="shared" ref="W50" si="64">W51+W52</f>
        <v>327380</v>
      </c>
      <c r="X50" s="10">
        <f t="shared" ref="X50" si="65">X51+X52</f>
        <v>0</v>
      </c>
      <c r="Y50" s="10"/>
      <c r="Z50" s="10">
        <f t="shared" ref="Z50:AA50" si="66">SUM(Z51:Z52)</f>
        <v>74718</v>
      </c>
      <c r="AA50" s="10">
        <f t="shared" si="66"/>
        <v>0</v>
      </c>
      <c r="AB50" s="10"/>
      <c r="AC50" s="10">
        <f t="shared" ref="AC50" si="67">AC51+AC52</f>
        <v>402098</v>
      </c>
    </row>
    <row r="51" spans="1:29" ht="19.5" hidden="1" customHeight="1">
      <c r="A51" s="51"/>
      <c r="B51" s="54"/>
      <c r="C51" s="29">
        <v>903</v>
      </c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>
        <f>D51+E51+F51+G51+H51+I51+J51+K51+L51+M51</f>
        <v>0</v>
      </c>
      <c r="O51" s="10"/>
      <c r="P51" s="10"/>
      <c r="Q51" s="10"/>
      <c r="R51" s="10"/>
      <c r="S51" s="10"/>
      <c r="T51" s="10"/>
      <c r="U51" s="10"/>
      <c r="V51" s="10">
        <f>O51+P51+Q51+R51+S51+T51</f>
        <v>0</v>
      </c>
      <c r="W51" s="10"/>
      <c r="X51" s="10"/>
      <c r="Y51" s="10"/>
      <c r="Z51" s="10"/>
      <c r="AA51" s="10"/>
      <c r="AB51" s="10"/>
      <c r="AC51" s="10">
        <f>W51+X51+Y51+Z51+AA51</f>
        <v>0</v>
      </c>
    </row>
    <row r="52" spans="1:29" ht="15.75" hidden="1" customHeight="1">
      <c r="A52" s="52"/>
      <c r="B52" s="54"/>
      <c r="C52" s="29">
        <v>909</v>
      </c>
      <c r="D52" s="10">
        <v>361952</v>
      </c>
      <c r="E52" s="10"/>
      <c r="F52" s="10"/>
      <c r="G52" s="10"/>
      <c r="H52" s="10"/>
      <c r="I52" s="10">
        <f>155134+73022</f>
        <v>228156</v>
      </c>
      <c r="J52" s="10"/>
      <c r="K52" s="10">
        <f>-24409+24409</f>
        <v>0</v>
      </c>
      <c r="L52" s="10"/>
      <c r="M52" s="10"/>
      <c r="N52" s="10">
        <f>D52+E52+F52+G52+H52+I52+J52+K52+L52+M52</f>
        <v>590108</v>
      </c>
      <c r="O52" s="10">
        <f>230348+97032</f>
        <v>327380</v>
      </c>
      <c r="P52" s="10"/>
      <c r="Q52" s="10"/>
      <c r="R52" s="10">
        <v>74622</v>
      </c>
      <c r="S52" s="10"/>
      <c r="T52" s="10"/>
      <c r="U52" s="10"/>
      <c r="V52" s="10">
        <f>O52+P52+Q52+R52+S52+T52</f>
        <v>402002</v>
      </c>
      <c r="W52" s="10">
        <f>230348+97032</f>
        <v>327380</v>
      </c>
      <c r="X52" s="10"/>
      <c r="Y52" s="10"/>
      <c r="Z52" s="10">
        <v>74718</v>
      </c>
      <c r="AA52" s="10"/>
      <c r="AB52" s="10"/>
      <c r="AC52" s="10">
        <f>W52+X52+Y52+Z52+AA52</f>
        <v>402098</v>
      </c>
    </row>
    <row r="53" spans="1:29" ht="60" customHeight="1">
      <c r="A53" s="50" t="s">
        <v>56</v>
      </c>
      <c r="B53" s="54"/>
      <c r="C53" s="9" t="s">
        <v>37</v>
      </c>
      <c r="D53" s="10">
        <f>SUM(D54:D55)</f>
        <v>65034</v>
      </c>
      <c r="E53" s="10">
        <f t="shared" ref="E53:F53" si="68">SUM(E54:E55)</f>
        <v>1030022</v>
      </c>
      <c r="F53" s="10">
        <f t="shared" si="68"/>
        <v>0</v>
      </c>
      <c r="G53" s="10"/>
      <c r="H53" s="10">
        <f>H54+H55</f>
        <v>22370</v>
      </c>
      <c r="I53" s="10">
        <f>I54+I55</f>
        <v>0</v>
      </c>
      <c r="J53" s="10">
        <f>SUM(J54:J55)</f>
        <v>243</v>
      </c>
      <c r="K53" s="10">
        <f>SUM(K54:K55)</f>
        <v>267507</v>
      </c>
      <c r="L53" s="10">
        <f>SUM(L54:L55)</f>
        <v>0</v>
      </c>
      <c r="M53" s="10"/>
      <c r="N53" s="10">
        <f>SUM(N54:N55)</f>
        <v>1386655</v>
      </c>
      <c r="O53" s="10">
        <f t="shared" ref="O53" si="69">O54+O55</f>
        <v>21068</v>
      </c>
      <c r="P53" s="10">
        <f t="shared" ref="P53" si="70">P54+P55</f>
        <v>0</v>
      </c>
      <c r="Q53" s="10"/>
      <c r="R53" s="10">
        <f t="shared" ref="R53:V53" si="71">R54+R55</f>
        <v>0</v>
      </c>
      <c r="S53" s="10">
        <f t="shared" si="71"/>
        <v>175269</v>
      </c>
      <c r="T53" s="10">
        <f>SUM(T54:T55)</f>
        <v>1373</v>
      </c>
      <c r="U53" s="10"/>
      <c r="V53" s="10">
        <f t="shared" si="71"/>
        <v>197710</v>
      </c>
      <c r="W53" s="10">
        <f t="shared" ref="W53" si="72">W54+W55</f>
        <v>20234</v>
      </c>
      <c r="X53" s="10">
        <f t="shared" ref="X53" si="73">X54+X55</f>
        <v>0</v>
      </c>
      <c r="Y53" s="10"/>
      <c r="Z53" s="10"/>
      <c r="AA53" s="10">
        <f>SUM(AA54:AA55)</f>
        <v>0</v>
      </c>
      <c r="AB53" s="10"/>
      <c r="AC53" s="10">
        <f t="shared" ref="AC53" si="74">AC54+AC55</f>
        <v>20234</v>
      </c>
    </row>
    <row r="54" spans="1:29" ht="15" hidden="1" customHeight="1">
      <c r="A54" s="51"/>
      <c r="B54" s="54"/>
      <c r="C54" s="29">
        <v>920</v>
      </c>
      <c r="D54" s="10"/>
      <c r="E54" s="10"/>
      <c r="F54" s="10"/>
      <c r="G54" s="10"/>
      <c r="H54" s="10"/>
      <c r="I54" s="10"/>
      <c r="J54" s="10"/>
      <c r="K54" s="10">
        <v>-18654</v>
      </c>
      <c r="L54" s="10"/>
      <c r="M54" s="10"/>
      <c r="N54" s="10">
        <f>D54+E54+F54+G54+H54+I54+J54+K54+L54</f>
        <v>-18654</v>
      </c>
      <c r="O54" s="10"/>
      <c r="P54" s="10"/>
      <c r="Q54" s="10"/>
      <c r="R54" s="10"/>
      <c r="S54" s="10"/>
      <c r="T54" s="10"/>
      <c r="U54" s="10"/>
      <c r="V54" s="10">
        <f>O54+P54+Q54+R54+S54+T54</f>
        <v>0</v>
      </c>
      <c r="W54" s="10"/>
      <c r="X54" s="10"/>
      <c r="Y54" s="10"/>
      <c r="Z54" s="10"/>
      <c r="AA54" s="10"/>
      <c r="AB54" s="10"/>
      <c r="AC54" s="10">
        <f>W54+X54+Y54+Z54+AA54</f>
        <v>0</v>
      </c>
    </row>
    <row r="55" spans="1:29" ht="22.5" hidden="1" customHeight="1">
      <c r="A55" s="52"/>
      <c r="B55" s="54"/>
      <c r="C55" s="29">
        <v>909</v>
      </c>
      <c r="D55" s="10">
        <v>65034</v>
      </c>
      <c r="E55" s="10">
        <f>1002757+27265</f>
        <v>1030022</v>
      </c>
      <c r="F55" s="10"/>
      <c r="G55" s="10"/>
      <c r="H55" s="10">
        <v>22370</v>
      </c>
      <c r="I55" s="10"/>
      <c r="J55" s="10">
        <f>-949+115+784119-784377+1335</f>
        <v>243</v>
      </c>
      <c r="K55" s="10">
        <f>1914+264349+19898</f>
        <v>286161</v>
      </c>
      <c r="L55" s="10"/>
      <c r="M55" s="10">
        <v>1479</v>
      </c>
      <c r="N55" s="10">
        <f>D55+E55+F55+G55+H55+I55+J55+K55+L55+M55</f>
        <v>1405309</v>
      </c>
      <c r="O55" s="10">
        <v>21068</v>
      </c>
      <c r="P55" s="10"/>
      <c r="Q55" s="10"/>
      <c r="R55" s="10"/>
      <c r="S55" s="10">
        <f>163000+12269</f>
        <v>175269</v>
      </c>
      <c r="T55" s="10">
        <v>1373</v>
      </c>
      <c r="U55" s="10"/>
      <c r="V55" s="10">
        <f>O55+P55+Q55+R55+S55+T55</f>
        <v>197710</v>
      </c>
      <c r="W55" s="10">
        <v>20234</v>
      </c>
      <c r="X55" s="10"/>
      <c r="Y55" s="10"/>
      <c r="Z55" s="10"/>
      <c r="AA55" s="10"/>
      <c r="AB55" s="10"/>
      <c r="AC55" s="10">
        <f>W55+X55+Y55+Z55+AA55</f>
        <v>20234</v>
      </c>
    </row>
    <row r="56" spans="1:29" ht="60">
      <c r="A56" s="50" t="s">
        <v>109</v>
      </c>
      <c r="B56" s="54"/>
      <c r="C56" s="9" t="s">
        <v>110</v>
      </c>
      <c r="D56" s="10"/>
      <c r="E56" s="10"/>
      <c r="F56" s="10"/>
      <c r="G56" s="10"/>
      <c r="H56" s="10"/>
      <c r="I56" s="10"/>
      <c r="J56" s="10"/>
      <c r="K56" s="10">
        <f>K57</f>
        <v>5990</v>
      </c>
      <c r="L56" s="10">
        <f>L57</f>
        <v>0</v>
      </c>
      <c r="M56" s="10"/>
      <c r="N56" s="10">
        <f>N57</f>
        <v>5990</v>
      </c>
      <c r="O56" s="10"/>
      <c r="P56" s="10"/>
      <c r="Q56" s="10"/>
      <c r="R56" s="10"/>
      <c r="S56" s="10"/>
      <c r="T56" s="10">
        <f>T57</f>
        <v>0</v>
      </c>
      <c r="U56" s="10"/>
      <c r="V56" s="10">
        <f>V57</f>
        <v>0</v>
      </c>
      <c r="W56" s="10">
        <f>W57</f>
        <v>0</v>
      </c>
      <c r="X56" s="10"/>
      <c r="Y56" s="10"/>
      <c r="Z56" s="10"/>
      <c r="AA56" s="10">
        <f>AA57</f>
        <v>0</v>
      </c>
      <c r="AB56" s="10"/>
      <c r="AC56" s="10">
        <f>AC57</f>
        <v>0</v>
      </c>
    </row>
    <row r="57" spans="1:29" ht="22.5" hidden="1" customHeight="1">
      <c r="A57" s="52"/>
      <c r="B57" s="54"/>
      <c r="C57" s="29">
        <v>909</v>
      </c>
      <c r="D57" s="10"/>
      <c r="E57" s="10"/>
      <c r="F57" s="10"/>
      <c r="G57" s="10"/>
      <c r="H57" s="10"/>
      <c r="I57" s="10"/>
      <c r="J57" s="10"/>
      <c r="K57" s="10">
        <v>5990</v>
      </c>
      <c r="L57" s="10"/>
      <c r="M57" s="10"/>
      <c r="N57" s="10">
        <f>D57+E57+F57+G57+H57+I57+J57+K57+L57</f>
        <v>5990</v>
      </c>
      <c r="O57" s="10"/>
      <c r="P57" s="10"/>
      <c r="Q57" s="10"/>
      <c r="R57" s="10"/>
      <c r="S57" s="10"/>
      <c r="T57" s="10"/>
      <c r="U57" s="10"/>
      <c r="V57" s="10">
        <f>O57+P57+Q57+R57+S57+T57</f>
        <v>0</v>
      </c>
      <c r="W57" s="10"/>
      <c r="X57" s="10"/>
      <c r="Y57" s="10"/>
      <c r="Z57" s="10"/>
      <c r="AA57" s="10"/>
      <c r="AB57" s="10"/>
      <c r="AC57" s="10">
        <f>W57+X57+Y57+Z57+AA57</f>
        <v>0</v>
      </c>
    </row>
    <row r="58" spans="1:29" ht="30.75" customHeight="1">
      <c r="A58" s="50" t="s">
        <v>57</v>
      </c>
      <c r="B58" s="55"/>
      <c r="C58" s="9" t="s">
        <v>36</v>
      </c>
      <c r="D58" s="10">
        <f>D59</f>
        <v>159142</v>
      </c>
      <c r="E58" s="10">
        <f t="shared" ref="E58:N58" si="75">E59</f>
        <v>0</v>
      </c>
      <c r="F58" s="10">
        <f t="shared" si="75"/>
        <v>0</v>
      </c>
      <c r="G58" s="10"/>
      <c r="H58" s="10">
        <f>H59</f>
        <v>-668</v>
      </c>
      <c r="I58" s="10"/>
      <c r="J58" s="10">
        <f t="shared" si="75"/>
        <v>0</v>
      </c>
      <c r="K58" s="10">
        <f t="shared" si="75"/>
        <v>0</v>
      </c>
      <c r="L58" s="10">
        <f t="shared" si="75"/>
        <v>0</v>
      </c>
      <c r="M58" s="10"/>
      <c r="N58" s="10">
        <f t="shared" si="75"/>
        <v>158215</v>
      </c>
      <c r="O58" s="10">
        <f>O59+O60</f>
        <v>89569</v>
      </c>
      <c r="P58" s="10">
        <f t="shared" ref="P58" si="76">P59+P60</f>
        <v>0</v>
      </c>
      <c r="Q58" s="10">
        <f>Q59</f>
        <v>-408</v>
      </c>
      <c r="R58" s="10"/>
      <c r="S58" s="10"/>
      <c r="T58" s="10">
        <f t="shared" ref="T58:V58" si="77">T59</f>
        <v>0</v>
      </c>
      <c r="U58" s="10"/>
      <c r="V58" s="10">
        <f t="shared" si="77"/>
        <v>89390</v>
      </c>
      <c r="W58" s="10">
        <f>W59+W60</f>
        <v>114569</v>
      </c>
      <c r="X58" s="10">
        <f t="shared" ref="X58:AC58" si="78">X59+X60</f>
        <v>0</v>
      </c>
      <c r="Y58" s="10"/>
      <c r="Z58" s="10"/>
      <c r="AA58" s="10">
        <f t="shared" ref="AA58" si="79">AA59</f>
        <v>0</v>
      </c>
      <c r="AB58" s="10"/>
      <c r="AC58" s="10">
        <f t="shared" si="78"/>
        <v>114161</v>
      </c>
    </row>
    <row r="59" spans="1:29" ht="15.75" hidden="1">
      <c r="A59" s="51"/>
      <c r="B59" s="12"/>
      <c r="C59" s="29">
        <v>909</v>
      </c>
      <c r="D59" s="16">
        <v>159142</v>
      </c>
      <c r="E59" s="4"/>
      <c r="F59" s="4"/>
      <c r="G59" s="4"/>
      <c r="H59" s="4">
        <v>-668</v>
      </c>
      <c r="I59" s="4"/>
      <c r="J59" s="10"/>
      <c r="K59" s="10"/>
      <c r="L59" s="10"/>
      <c r="M59" s="10">
        <f>-321+62</f>
        <v>-259</v>
      </c>
      <c r="N59" s="10">
        <f>D59+E59+F59+G59+H59+I59+J59+K59+L59+M59</f>
        <v>158215</v>
      </c>
      <c r="O59" s="10">
        <v>89569</v>
      </c>
      <c r="P59" s="10"/>
      <c r="Q59" s="10">
        <v>-408</v>
      </c>
      <c r="R59" s="10"/>
      <c r="S59" s="10"/>
      <c r="T59" s="10"/>
      <c r="U59" s="10">
        <v>229</v>
      </c>
      <c r="V59" s="10">
        <f>O59+P59+Q59+R59+S59+T59+U59</f>
        <v>89390</v>
      </c>
      <c r="W59" s="10">
        <v>114569</v>
      </c>
      <c r="X59" s="10"/>
      <c r="Y59" s="10">
        <v>-408</v>
      </c>
      <c r="Z59" s="10"/>
      <c r="AA59" s="10"/>
      <c r="AB59" s="10"/>
      <c r="AC59" s="10">
        <f>W59+X59+Y59+Z59+AA59</f>
        <v>114161</v>
      </c>
    </row>
    <row r="60" spans="1:29" ht="15.75" hidden="1">
      <c r="A60" s="52"/>
      <c r="B60" s="12"/>
      <c r="C60" s="29"/>
      <c r="D60" s="4"/>
      <c r="E60" s="4"/>
      <c r="F60" s="4"/>
      <c r="G60" s="4"/>
      <c r="H60" s="4"/>
      <c r="I60" s="4"/>
      <c r="J60" s="10"/>
      <c r="K60" s="10"/>
      <c r="L60" s="10"/>
      <c r="M60" s="10"/>
      <c r="N60" s="10">
        <f>D60+E60+F60+G60+H60+I60+J60+K60+L60</f>
        <v>0</v>
      </c>
      <c r="O60" s="10"/>
      <c r="P60" s="10"/>
      <c r="Q60" s="10"/>
      <c r="R60" s="10"/>
      <c r="S60" s="10"/>
      <c r="T60" s="10"/>
      <c r="U60" s="10"/>
      <c r="V60" s="10">
        <f>O60+P60+Q60+R60+S60+T60</f>
        <v>0</v>
      </c>
      <c r="W60" s="10"/>
      <c r="X60" s="10"/>
      <c r="Y60" s="10"/>
      <c r="Z60" s="10"/>
      <c r="AA60" s="10"/>
      <c r="AB60" s="10"/>
      <c r="AC60" s="10">
        <f>W60+X60+Y60+Z60+AA60</f>
        <v>0</v>
      </c>
    </row>
    <row r="61" spans="1:29" ht="63">
      <c r="A61" s="39" t="s">
        <v>58</v>
      </c>
      <c r="B61" s="11" t="s">
        <v>89</v>
      </c>
      <c r="C61" s="3" t="s">
        <v>28</v>
      </c>
      <c r="D61" s="4">
        <v>50320</v>
      </c>
      <c r="E61" s="4"/>
      <c r="F61" s="4"/>
      <c r="G61" s="4"/>
      <c r="H61" s="4">
        <v>-1076</v>
      </c>
      <c r="I61" s="4"/>
      <c r="J61" s="4"/>
      <c r="K61" s="4">
        <v>-195</v>
      </c>
      <c r="L61" s="4">
        <v>1550</v>
      </c>
      <c r="M61" s="4"/>
      <c r="N61" s="4">
        <f>D61+E61+F61+G61+H61+I61+J61+K61+L61</f>
        <v>50599</v>
      </c>
      <c r="O61" s="4">
        <v>45005</v>
      </c>
      <c r="P61" s="4"/>
      <c r="Q61" s="4"/>
      <c r="R61" s="4"/>
      <c r="S61" s="4"/>
      <c r="T61" s="4"/>
      <c r="U61" s="4"/>
      <c r="V61" s="4">
        <f>O61+P61+Q61+R61+S61+T61</f>
        <v>45005</v>
      </c>
      <c r="W61" s="4">
        <v>45005</v>
      </c>
      <c r="X61" s="17"/>
      <c r="Y61" s="17"/>
      <c r="Z61" s="17"/>
      <c r="AA61" s="4"/>
      <c r="AB61" s="4"/>
      <c r="AC61" s="4">
        <f>W61+X61+Y61+Z61+AA61</f>
        <v>45005</v>
      </c>
    </row>
    <row r="62" spans="1:29" ht="47.25">
      <c r="A62" s="39" t="s">
        <v>59</v>
      </c>
      <c r="B62" s="11" t="s">
        <v>90</v>
      </c>
      <c r="C62" s="3" t="s">
        <v>29</v>
      </c>
      <c r="D62" s="4">
        <v>100</v>
      </c>
      <c r="E62" s="4"/>
      <c r="F62" s="4"/>
      <c r="G62" s="4"/>
      <c r="H62" s="4"/>
      <c r="I62" s="4"/>
      <c r="J62" s="4"/>
      <c r="K62" s="4"/>
      <c r="L62" s="4"/>
      <c r="M62" s="4"/>
      <c r="N62" s="4">
        <f>D62+E62+F62+G62+H62+I62+J62+K62+L62</f>
        <v>100</v>
      </c>
      <c r="O62" s="4">
        <v>93</v>
      </c>
      <c r="P62" s="4"/>
      <c r="Q62" s="4"/>
      <c r="R62" s="4"/>
      <c r="S62" s="4"/>
      <c r="T62" s="4"/>
      <c r="U62" s="4"/>
      <c r="V62" s="4">
        <f>O62+P62+Q62+R62+S62+T62</f>
        <v>93</v>
      </c>
      <c r="W62" s="4">
        <v>93</v>
      </c>
      <c r="X62" s="17"/>
      <c r="Y62" s="17"/>
      <c r="Z62" s="17"/>
      <c r="AA62" s="4"/>
      <c r="AB62" s="4"/>
      <c r="AC62" s="4">
        <f>W62+X62+Y62+Z62+AA62</f>
        <v>93</v>
      </c>
    </row>
    <row r="63" spans="1:29" ht="55.5" customHeight="1">
      <c r="A63" s="39" t="s">
        <v>60</v>
      </c>
      <c r="B63" s="53" t="s">
        <v>91</v>
      </c>
      <c r="C63" s="3" t="s">
        <v>35</v>
      </c>
      <c r="D63" s="4">
        <f>SUM(D64:D70)</f>
        <v>715313</v>
      </c>
      <c r="E63" s="4">
        <f t="shared" ref="E63:N63" si="80">SUM(E64:E70)</f>
        <v>0</v>
      </c>
      <c r="F63" s="4">
        <f t="shared" si="80"/>
        <v>52148</v>
      </c>
      <c r="G63" s="4"/>
      <c r="H63" s="4">
        <f t="shared" si="80"/>
        <v>1759</v>
      </c>
      <c r="I63" s="4"/>
      <c r="J63" s="4"/>
      <c r="K63" s="4">
        <f t="shared" si="80"/>
        <v>4254</v>
      </c>
      <c r="L63" s="4">
        <f t="shared" si="80"/>
        <v>17114</v>
      </c>
      <c r="M63" s="4"/>
      <c r="N63" s="4">
        <f t="shared" si="80"/>
        <v>790588</v>
      </c>
      <c r="O63" s="4">
        <f t="shared" ref="O63:AC63" si="81">SUM(O64:O70)</f>
        <v>667767</v>
      </c>
      <c r="P63" s="4">
        <f t="shared" si="81"/>
        <v>0</v>
      </c>
      <c r="Q63" s="4"/>
      <c r="R63" s="4"/>
      <c r="S63" s="4"/>
      <c r="T63" s="4">
        <f t="shared" ref="T63" si="82">SUM(T64:T70)</f>
        <v>0</v>
      </c>
      <c r="U63" s="4"/>
      <c r="V63" s="4">
        <f t="shared" si="81"/>
        <v>667767</v>
      </c>
      <c r="W63" s="4">
        <f t="shared" si="81"/>
        <v>665863</v>
      </c>
      <c r="X63" s="4">
        <f t="shared" si="81"/>
        <v>0</v>
      </c>
      <c r="Y63" s="4"/>
      <c r="Z63" s="4"/>
      <c r="AA63" s="4">
        <f t="shared" ref="AA63" si="83">SUM(AA64:AA70)</f>
        <v>0</v>
      </c>
      <c r="AB63" s="4"/>
      <c r="AC63" s="4">
        <f t="shared" si="81"/>
        <v>665863</v>
      </c>
    </row>
    <row r="64" spans="1:29" hidden="1">
      <c r="A64" s="50" t="s">
        <v>101</v>
      </c>
      <c r="B64" s="54"/>
      <c r="C64" s="29">
        <v>900</v>
      </c>
      <c r="D64" s="10">
        <v>149</v>
      </c>
      <c r="E64" s="10"/>
      <c r="F64" s="10"/>
      <c r="G64" s="10"/>
      <c r="H64" s="10"/>
      <c r="I64" s="10"/>
      <c r="J64" s="10"/>
      <c r="K64" s="10"/>
      <c r="L64" s="10"/>
      <c r="M64" s="10"/>
      <c r="N64" s="10">
        <f t="shared" ref="N64:N70" si="84">D64+E64+F64+G64+H64+I64+J64+K64+L64</f>
        <v>149</v>
      </c>
      <c r="O64" s="10"/>
      <c r="P64" s="10"/>
      <c r="Q64" s="10"/>
      <c r="R64" s="10"/>
      <c r="S64" s="10"/>
      <c r="T64" s="10"/>
      <c r="U64" s="10"/>
      <c r="V64" s="10">
        <f t="shared" ref="V64:V70" si="85">O64+P64+Q64+R64+S64+T64</f>
        <v>0</v>
      </c>
      <c r="W64" s="10"/>
      <c r="X64" s="10"/>
      <c r="Y64" s="10"/>
      <c r="Z64" s="10"/>
      <c r="AA64" s="10"/>
      <c r="AB64" s="10"/>
      <c r="AC64" s="10">
        <f t="shared" ref="AC64:AC70" si="86">W64+X64+Y64+Z64+AA64</f>
        <v>0</v>
      </c>
    </row>
    <row r="65" spans="1:29" hidden="1">
      <c r="A65" s="51"/>
      <c r="B65" s="54"/>
      <c r="C65" s="29">
        <v>901</v>
      </c>
      <c r="D65" s="10">
        <v>471738</v>
      </c>
      <c r="E65" s="10"/>
      <c r="F65" s="10">
        <f>47539</f>
        <v>47539</v>
      </c>
      <c r="G65" s="10"/>
      <c r="H65" s="10"/>
      <c r="I65" s="10"/>
      <c r="J65" s="10"/>
      <c r="K65" s="10">
        <v>826</v>
      </c>
      <c r="L65" s="10"/>
      <c r="M65" s="10"/>
      <c r="N65" s="10">
        <f t="shared" si="84"/>
        <v>520103</v>
      </c>
      <c r="O65" s="10">
        <f>1271+437259+186</f>
        <v>438716</v>
      </c>
      <c r="P65" s="10"/>
      <c r="Q65" s="10"/>
      <c r="R65" s="10"/>
      <c r="S65" s="10"/>
      <c r="T65" s="10"/>
      <c r="U65" s="10"/>
      <c r="V65" s="10">
        <f t="shared" si="85"/>
        <v>438716</v>
      </c>
      <c r="W65" s="10">
        <v>438716</v>
      </c>
      <c r="X65" s="10"/>
      <c r="Y65" s="10"/>
      <c r="Z65" s="10"/>
      <c r="AA65" s="10"/>
      <c r="AB65" s="10"/>
      <c r="AC65" s="10">
        <f t="shared" si="86"/>
        <v>438716</v>
      </c>
    </row>
    <row r="66" spans="1:29" hidden="1">
      <c r="A66" s="51"/>
      <c r="B66" s="54"/>
      <c r="C66" s="29">
        <v>902</v>
      </c>
      <c r="D66" s="10">
        <v>64543</v>
      </c>
      <c r="E66" s="10"/>
      <c r="F66" s="10"/>
      <c r="G66" s="10"/>
      <c r="H66" s="10"/>
      <c r="I66" s="10"/>
      <c r="J66" s="10"/>
      <c r="K66" s="10">
        <v>-4</v>
      </c>
      <c r="L66" s="10"/>
      <c r="M66" s="10"/>
      <c r="N66" s="10">
        <f t="shared" si="84"/>
        <v>64539</v>
      </c>
      <c r="O66" s="10">
        <v>63593</v>
      </c>
      <c r="P66" s="10"/>
      <c r="Q66" s="10"/>
      <c r="R66" s="10"/>
      <c r="S66" s="10"/>
      <c r="T66" s="10"/>
      <c r="U66" s="10"/>
      <c r="V66" s="10">
        <f t="shared" si="85"/>
        <v>63593</v>
      </c>
      <c r="W66" s="10">
        <v>63593</v>
      </c>
      <c r="X66" s="10"/>
      <c r="Y66" s="10"/>
      <c r="Z66" s="10"/>
      <c r="AA66" s="10"/>
      <c r="AB66" s="10"/>
      <c r="AC66" s="10">
        <f t="shared" si="86"/>
        <v>63593</v>
      </c>
    </row>
    <row r="67" spans="1:29" hidden="1">
      <c r="A67" s="51"/>
      <c r="B67" s="54"/>
      <c r="C67" s="29">
        <v>903</v>
      </c>
      <c r="D67" s="10">
        <v>8383</v>
      </c>
      <c r="E67" s="10"/>
      <c r="F67" s="10"/>
      <c r="G67" s="10"/>
      <c r="H67" s="10"/>
      <c r="I67" s="10"/>
      <c r="J67" s="10"/>
      <c r="K67" s="10"/>
      <c r="L67" s="10"/>
      <c r="M67" s="10"/>
      <c r="N67" s="10">
        <f t="shared" si="84"/>
        <v>8383</v>
      </c>
      <c r="O67" s="10">
        <v>8639</v>
      </c>
      <c r="P67" s="10"/>
      <c r="Q67" s="10"/>
      <c r="R67" s="10"/>
      <c r="S67" s="10"/>
      <c r="T67" s="10"/>
      <c r="U67" s="10"/>
      <c r="V67" s="10">
        <f t="shared" si="85"/>
        <v>8639</v>
      </c>
      <c r="W67" s="10">
        <v>6735</v>
      </c>
      <c r="X67" s="10"/>
      <c r="Y67" s="10"/>
      <c r="Z67" s="10"/>
      <c r="AA67" s="10"/>
      <c r="AB67" s="10"/>
      <c r="AC67" s="10">
        <f t="shared" si="86"/>
        <v>6735</v>
      </c>
    </row>
    <row r="68" spans="1:29" hidden="1">
      <c r="A68" s="51"/>
      <c r="B68" s="54"/>
      <c r="C68" s="29">
        <v>910</v>
      </c>
      <c r="D68" s="10">
        <v>1267</v>
      </c>
      <c r="E68" s="10"/>
      <c r="F68" s="10"/>
      <c r="G68" s="10"/>
      <c r="H68" s="10"/>
      <c r="I68" s="10"/>
      <c r="J68" s="10"/>
      <c r="K68" s="10"/>
      <c r="L68" s="10"/>
      <c r="M68" s="10"/>
      <c r="N68" s="10">
        <f t="shared" si="84"/>
        <v>1267</v>
      </c>
      <c r="O68" s="10">
        <v>1178</v>
      </c>
      <c r="P68" s="10"/>
      <c r="Q68" s="10"/>
      <c r="R68" s="10"/>
      <c r="S68" s="10"/>
      <c r="T68" s="10"/>
      <c r="U68" s="10"/>
      <c r="V68" s="10">
        <f t="shared" si="85"/>
        <v>1178</v>
      </c>
      <c r="W68" s="10">
        <v>1178</v>
      </c>
      <c r="X68" s="10"/>
      <c r="Y68" s="10"/>
      <c r="Z68" s="10"/>
      <c r="AA68" s="10"/>
      <c r="AB68" s="10"/>
      <c r="AC68" s="10">
        <f t="shared" si="86"/>
        <v>1178</v>
      </c>
    </row>
    <row r="69" spans="1:29" hidden="1">
      <c r="A69" s="51"/>
      <c r="B69" s="54"/>
      <c r="C69" s="29">
        <v>921</v>
      </c>
      <c r="D69" s="10">
        <v>33630</v>
      </c>
      <c r="E69" s="10"/>
      <c r="F69" s="10"/>
      <c r="G69" s="10"/>
      <c r="H69" s="10"/>
      <c r="I69" s="10"/>
      <c r="J69" s="10"/>
      <c r="K69" s="10"/>
      <c r="L69" s="10"/>
      <c r="M69" s="10"/>
      <c r="N69" s="10">
        <f t="shared" si="84"/>
        <v>33630</v>
      </c>
      <c r="O69" s="10">
        <v>31276</v>
      </c>
      <c r="P69" s="10"/>
      <c r="Q69" s="10"/>
      <c r="R69" s="10"/>
      <c r="S69" s="10"/>
      <c r="T69" s="10"/>
      <c r="U69" s="10"/>
      <c r="V69" s="10">
        <f t="shared" si="85"/>
        <v>31276</v>
      </c>
      <c r="W69" s="10">
        <v>31276</v>
      </c>
      <c r="X69" s="10"/>
      <c r="Y69" s="10"/>
      <c r="Z69" s="10"/>
      <c r="AA69" s="10"/>
      <c r="AB69" s="10"/>
      <c r="AC69" s="10">
        <f t="shared" si="86"/>
        <v>31276</v>
      </c>
    </row>
    <row r="70" spans="1:29" hidden="1">
      <c r="A70" s="51"/>
      <c r="B70" s="54"/>
      <c r="C70" s="29">
        <v>923</v>
      </c>
      <c r="D70" s="10">
        <v>135603</v>
      </c>
      <c r="E70" s="10"/>
      <c r="F70" s="10">
        <f>184+24+23+4+1657+1820+9+37+349+3+78+39+338+3+34+7</f>
        <v>4609</v>
      </c>
      <c r="G70" s="10"/>
      <c r="H70" s="10">
        <f>-776+242-4500+6793</f>
        <v>1759</v>
      </c>
      <c r="I70" s="10">
        <f>3806-3806</f>
        <v>0</v>
      </c>
      <c r="J70" s="10"/>
      <c r="K70" s="10">
        <f>3676-244</f>
        <v>3432</v>
      </c>
      <c r="L70" s="10">
        <f>-113-80+13992+3208+74+33</f>
        <v>17114</v>
      </c>
      <c r="M70" s="10"/>
      <c r="N70" s="10">
        <f t="shared" si="84"/>
        <v>162517</v>
      </c>
      <c r="O70" s="10">
        <f>3194+113428+7743</f>
        <v>124365</v>
      </c>
      <c r="P70" s="10"/>
      <c r="Q70" s="10"/>
      <c r="R70" s="10"/>
      <c r="S70" s="10"/>
      <c r="T70" s="10"/>
      <c r="U70" s="10"/>
      <c r="V70" s="10">
        <f t="shared" si="85"/>
        <v>124365</v>
      </c>
      <c r="W70" s="10">
        <v>124365</v>
      </c>
      <c r="X70" s="10"/>
      <c r="Y70" s="10"/>
      <c r="Z70" s="10"/>
      <c r="AA70" s="10"/>
      <c r="AB70" s="10"/>
      <c r="AC70" s="10">
        <f t="shared" si="86"/>
        <v>124365</v>
      </c>
    </row>
    <row r="71" spans="1:29" ht="32.25" customHeight="1">
      <c r="A71" s="52"/>
      <c r="B71" s="55"/>
      <c r="C71" s="9" t="s">
        <v>33</v>
      </c>
      <c r="D71" s="10">
        <f>SUM(D72:D74)</f>
        <v>907</v>
      </c>
      <c r="E71" s="10">
        <f t="shared" ref="E71:N71" si="87">SUM(E72:E74)</f>
        <v>0</v>
      </c>
      <c r="F71" s="10">
        <f t="shared" si="87"/>
        <v>0</v>
      </c>
      <c r="G71" s="10"/>
      <c r="H71" s="10"/>
      <c r="I71" s="10"/>
      <c r="J71" s="4">
        <f t="shared" si="87"/>
        <v>0</v>
      </c>
      <c r="K71" s="4">
        <f t="shared" si="87"/>
        <v>0</v>
      </c>
      <c r="L71" s="4">
        <f t="shared" si="87"/>
        <v>0</v>
      </c>
      <c r="M71" s="4"/>
      <c r="N71" s="4">
        <f t="shared" si="87"/>
        <v>907</v>
      </c>
      <c r="O71" s="10">
        <f t="shared" ref="O71:AC71" si="88">SUM(O72:O74)</f>
        <v>705</v>
      </c>
      <c r="P71" s="10">
        <f t="shared" si="88"/>
        <v>0</v>
      </c>
      <c r="Q71" s="10"/>
      <c r="R71" s="10"/>
      <c r="S71" s="10"/>
      <c r="T71" s="4">
        <f t="shared" ref="T71" si="89">SUM(T72:T74)</f>
        <v>0</v>
      </c>
      <c r="U71" s="4"/>
      <c r="V71" s="10">
        <f t="shared" si="88"/>
        <v>705</v>
      </c>
      <c r="W71" s="10">
        <f t="shared" si="88"/>
        <v>705</v>
      </c>
      <c r="X71" s="10">
        <f t="shared" si="88"/>
        <v>0</v>
      </c>
      <c r="Y71" s="10"/>
      <c r="Z71" s="10"/>
      <c r="AA71" s="4">
        <f t="shared" ref="AA71" si="90">SUM(AA72:AA74)</f>
        <v>0</v>
      </c>
      <c r="AB71" s="4"/>
      <c r="AC71" s="10">
        <f t="shared" si="88"/>
        <v>705</v>
      </c>
    </row>
    <row r="72" spans="1:29" ht="15.75" hidden="1" customHeight="1">
      <c r="A72" s="50" t="s">
        <v>61</v>
      </c>
      <c r="B72" s="53"/>
      <c r="C72" s="29">
        <v>900</v>
      </c>
      <c r="D72" s="10">
        <v>149</v>
      </c>
      <c r="E72" s="10"/>
      <c r="F72" s="10"/>
      <c r="G72" s="10"/>
      <c r="H72" s="10"/>
      <c r="I72" s="10"/>
      <c r="J72" s="10"/>
      <c r="K72" s="10"/>
      <c r="L72" s="10"/>
      <c r="M72" s="10"/>
      <c r="N72" s="10">
        <f t="shared" ref="N72:N74" si="91">D72+E72+F72+G72+H72+I72+J72+K72+L72</f>
        <v>149</v>
      </c>
      <c r="O72" s="10"/>
      <c r="P72" s="10"/>
      <c r="Q72" s="10"/>
      <c r="R72" s="10"/>
      <c r="S72" s="10"/>
      <c r="T72" s="10"/>
      <c r="U72" s="10"/>
      <c r="V72" s="10">
        <f t="shared" ref="V72:V85" si="92">O72+P72+Q72+R72+S72+T72</f>
        <v>0</v>
      </c>
      <c r="W72" s="10"/>
      <c r="X72" s="10"/>
      <c r="Y72" s="10"/>
      <c r="Z72" s="10"/>
      <c r="AA72" s="10"/>
      <c r="AB72" s="10"/>
      <c r="AC72" s="10">
        <f t="shared" ref="AC72:AC78" si="93">W72+X72+Y72+Z72+AA72</f>
        <v>0</v>
      </c>
    </row>
    <row r="73" spans="1:29" ht="15.75" hidden="1" customHeight="1">
      <c r="A73" s="51"/>
      <c r="B73" s="54"/>
      <c r="C73" s="29">
        <v>901</v>
      </c>
      <c r="D73" s="10">
        <v>200</v>
      </c>
      <c r="E73" s="10"/>
      <c r="F73" s="10"/>
      <c r="G73" s="10"/>
      <c r="H73" s="10"/>
      <c r="I73" s="10"/>
      <c r="J73" s="10"/>
      <c r="K73" s="10"/>
      <c r="L73" s="10"/>
      <c r="M73" s="10"/>
      <c r="N73" s="10">
        <f t="shared" si="91"/>
        <v>200</v>
      </c>
      <c r="O73" s="10">
        <v>186</v>
      </c>
      <c r="P73" s="10"/>
      <c r="Q73" s="10"/>
      <c r="R73" s="10"/>
      <c r="S73" s="10"/>
      <c r="T73" s="10"/>
      <c r="U73" s="10"/>
      <c r="V73" s="10">
        <f t="shared" si="92"/>
        <v>186</v>
      </c>
      <c r="W73" s="10">
        <v>186</v>
      </c>
      <c r="X73" s="10"/>
      <c r="Y73" s="10"/>
      <c r="Z73" s="10"/>
      <c r="AA73" s="10"/>
      <c r="AB73" s="10"/>
      <c r="AC73" s="10">
        <f t="shared" si="93"/>
        <v>186</v>
      </c>
    </row>
    <row r="74" spans="1:29" ht="15.75" hidden="1" customHeight="1">
      <c r="A74" s="52"/>
      <c r="B74" s="55"/>
      <c r="C74" s="29">
        <v>923</v>
      </c>
      <c r="D74" s="10">
        <v>558</v>
      </c>
      <c r="E74" s="10"/>
      <c r="F74" s="10"/>
      <c r="G74" s="10"/>
      <c r="H74" s="10"/>
      <c r="I74" s="10"/>
      <c r="J74" s="10"/>
      <c r="K74" s="10"/>
      <c r="L74" s="10"/>
      <c r="M74" s="10"/>
      <c r="N74" s="10">
        <f t="shared" si="91"/>
        <v>558</v>
      </c>
      <c r="O74" s="10">
        <v>519</v>
      </c>
      <c r="P74" s="10"/>
      <c r="Q74" s="10"/>
      <c r="R74" s="10"/>
      <c r="S74" s="10"/>
      <c r="T74" s="10"/>
      <c r="U74" s="10"/>
      <c r="V74" s="10">
        <f t="shared" si="92"/>
        <v>519</v>
      </c>
      <c r="W74" s="10">
        <v>519</v>
      </c>
      <c r="X74" s="10"/>
      <c r="Y74" s="10"/>
      <c r="Z74" s="10"/>
      <c r="AA74" s="10"/>
      <c r="AB74" s="10"/>
      <c r="AC74" s="10">
        <f t="shared" si="93"/>
        <v>519</v>
      </c>
    </row>
    <row r="75" spans="1:29" ht="62.25" customHeight="1">
      <c r="A75" s="39" t="s">
        <v>62</v>
      </c>
      <c r="B75" s="11" t="s">
        <v>92</v>
      </c>
      <c r="C75" s="3" t="s">
        <v>11</v>
      </c>
      <c r="D75" s="4">
        <v>8345</v>
      </c>
      <c r="E75" s="4"/>
      <c r="F75" s="4"/>
      <c r="G75" s="4"/>
      <c r="H75" s="4"/>
      <c r="I75" s="4"/>
      <c r="J75" s="4"/>
      <c r="K75" s="4"/>
      <c r="L75" s="4"/>
      <c r="M75" s="4">
        <f>-3053+8133+200+524</f>
        <v>5804</v>
      </c>
      <c r="N75" s="4">
        <f>D75+E75+F75+G75+H75+I75+J75+K75+L75+M75</f>
        <v>14149</v>
      </c>
      <c r="O75" s="4">
        <v>10001</v>
      </c>
      <c r="P75" s="4"/>
      <c r="Q75" s="4"/>
      <c r="R75" s="4"/>
      <c r="S75" s="4"/>
      <c r="T75" s="4"/>
      <c r="U75" s="4"/>
      <c r="V75" s="4">
        <f t="shared" si="92"/>
        <v>10001</v>
      </c>
      <c r="W75" s="4"/>
      <c r="X75" s="17"/>
      <c r="Y75" s="17"/>
      <c r="Z75" s="17"/>
      <c r="AA75" s="4"/>
      <c r="AB75" s="4"/>
      <c r="AC75" s="4">
        <f t="shared" si="93"/>
        <v>0</v>
      </c>
    </row>
    <row r="76" spans="1:29" ht="47.25">
      <c r="A76" s="39" t="s">
        <v>63</v>
      </c>
      <c r="B76" s="11" t="s">
        <v>93</v>
      </c>
      <c r="C76" s="3" t="s">
        <v>30</v>
      </c>
      <c r="D76" s="4">
        <v>1636</v>
      </c>
      <c r="E76" s="4"/>
      <c r="F76" s="4"/>
      <c r="G76" s="4"/>
      <c r="H76" s="4">
        <v>-95</v>
      </c>
      <c r="I76" s="4"/>
      <c r="J76" s="4"/>
      <c r="K76" s="4">
        <v>-202</v>
      </c>
      <c r="L76" s="4"/>
      <c r="M76" s="4"/>
      <c r="N76" s="4">
        <f t="shared" ref="N76:N78" si="94">D76+E76+F76+G76+H76+I76+J76+K76+L76+M76</f>
        <v>1339</v>
      </c>
      <c r="O76" s="4">
        <v>1636</v>
      </c>
      <c r="P76" s="4"/>
      <c r="Q76" s="4"/>
      <c r="R76" s="4"/>
      <c r="S76" s="4"/>
      <c r="T76" s="4"/>
      <c r="U76" s="4"/>
      <c r="V76" s="4">
        <f t="shared" si="92"/>
        <v>1636</v>
      </c>
      <c r="W76" s="4">
        <v>1636</v>
      </c>
      <c r="X76" s="17"/>
      <c r="Y76" s="17"/>
      <c r="Z76" s="17"/>
      <c r="AA76" s="4"/>
      <c r="AB76" s="4"/>
      <c r="AC76" s="4">
        <f t="shared" si="93"/>
        <v>1636</v>
      </c>
    </row>
    <row r="77" spans="1:29" ht="47.25">
      <c r="A77" s="39" t="s">
        <v>64</v>
      </c>
      <c r="B77" s="11" t="s">
        <v>94</v>
      </c>
      <c r="C77" s="3" t="s">
        <v>12</v>
      </c>
      <c r="D77" s="4">
        <v>1000</v>
      </c>
      <c r="E77" s="4"/>
      <c r="F77" s="4"/>
      <c r="G77" s="4"/>
      <c r="H77" s="4"/>
      <c r="I77" s="4"/>
      <c r="J77" s="4"/>
      <c r="K77" s="4"/>
      <c r="L77" s="4"/>
      <c r="M77" s="4"/>
      <c r="N77" s="4">
        <f t="shared" si="94"/>
        <v>1000</v>
      </c>
      <c r="O77" s="4">
        <v>930</v>
      </c>
      <c r="P77" s="4"/>
      <c r="Q77" s="4"/>
      <c r="R77" s="4"/>
      <c r="S77" s="4"/>
      <c r="T77" s="4"/>
      <c r="U77" s="4"/>
      <c r="V77" s="4">
        <f t="shared" si="92"/>
        <v>930</v>
      </c>
      <c r="W77" s="4">
        <v>930</v>
      </c>
      <c r="X77" s="17"/>
      <c r="Y77" s="17"/>
      <c r="Z77" s="17"/>
      <c r="AA77" s="4"/>
      <c r="AB77" s="4"/>
      <c r="AC77" s="4">
        <f t="shared" si="93"/>
        <v>930</v>
      </c>
    </row>
    <row r="78" spans="1:29" ht="47.25">
      <c r="A78" s="39" t="s">
        <v>102</v>
      </c>
      <c r="B78" s="11" t="s">
        <v>95</v>
      </c>
      <c r="C78" s="3" t="s">
        <v>104</v>
      </c>
      <c r="D78" s="4"/>
      <c r="E78" s="4"/>
      <c r="F78" s="4">
        <v>1420</v>
      </c>
      <c r="G78" s="4"/>
      <c r="H78" s="4"/>
      <c r="I78" s="4">
        <v>742</v>
      </c>
      <c r="J78" s="4"/>
      <c r="K78" s="4"/>
      <c r="L78" s="4"/>
      <c r="M78" s="4"/>
      <c r="N78" s="4">
        <f t="shared" si="94"/>
        <v>2162</v>
      </c>
      <c r="O78" s="4"/>
      <c r="P78" s="4">
        <v>300</v>
      </c>
      <c r="Q78" s="4"/>
      <c r="R78" s="4"/>
      <c r="S78" s="4"/>
      <c r="T78" s="4"/>
      <c r="U78" s="4"/>
      <c r="V78" s="4">
        <f t="shared" si="92"/>
        <v>300</v>
      </c>
      <c r="W78" s="4"/>
      <c r="X78" s="4">
        <v>300</v>
      </c>
      <c r="Y78" s="4"/>
      <c r="Z78" s="4"/>
      <c r="AA78" s="4"/>
      <c r="AB78" s="4"/>
      <c r="AC78" s="4">
        <f t="shared" si="93"/>
        <v>300</v>
      </c>
    </row>
    <row r="79" spans="1:29" ht="47.25">
      <c r="A79" s="39" t="s">
        <v>65</v>
      </c>
      <c r="B79" s="11" t="s">
        <v>96</v>
      </c>
      <c r="C79" s="3" t="s">
        <v>13</v>
      </c>
      <c r="D79" s="4">
        <f t="shared" ref="D79:N79" si="95">D80+D81</f>
        <v>14278</v>
      </c>
      <c r="E79" s="4">
        <f t="shared" si="95"/>
        <v>0</v>
      </c>
      <c r="F79" s="4">
        <f t="shared" si="95"/>
        <v>0</v>
      </c>
      <c r="G79" s="4">
        <f t="shared" si="95"/>
        <v>0</v>
      </c>
      <c r="H79" s="4">
        <f t="shared" si="95"/>
        <v>-588</v>
      </c>
      <c r="I79" s="4">
        <f t="shared" si="95"/>
        <v>0</v>
      </c>
      <c r="J79" s="4">
        <f t="shared" si="95"/>
        <v>0</v>
      </c>
      <c r="K79" s="4">
        <f t="shared" si="95"/>
        <v>-22</v>
      </c>
      <c r="L79" s="4">
        <f t="shared" si="95"/>
        <v>0</v>
      </c>
      <c r="M79" s="4"/>
      <c r="N79" s="4">
        <f t="shared" si="95"/>
        <v>21015</v>
      </c>
      <c r="O79" s="4">
        <v>8828</v>
      </c>
      <c r="P79" s="4"/>
      <c r="Q79" s="4"/>
      <c r="R79" s="4"/>
      <c r="S79" s="4"/>
      <c r="T79" s="4"/>
      <c r="U79" s="4"/>
      <c r="V79" s="4">
        <f>V80+V81</f>
        <v>8828</v>
      </c>
      <c r="W79" s="4">
        <v>8828</v>
      </c>
      <c r="X79" s="17"/>
      <c r="Y79" s="17"/>
      <c r="Z79" s="17"/>
      <c r="AA79" s="4"/>
      <c r="AB79" s="4"/>
      <c r="AC79" s="4">
        <f>AC80+AC81</f>
        <v>8828</v>
      </c>
    </row>
    <row r="80" spans="1:29" ht="15.75" hidden="1">
      <c r="A80" s="39"/>
      <c r="B80" s="11"/>
      <c r="C80" s="40">
        <v>915</v>
      </c>
      <c r="D80" s="4">
        <v>14278</v>
      </c>
      <c r="E80" s="4"/>
      <c r="F80" s="4"/>
      <c r="G80" s="4"/>
      <c r="H80" s="4">
        <v>-588</v>
      </c>
      <c r="I80" s="4"/>
      <c r="J80" s="4"/>
      <c r="K80" s="4">
        <v>-22</v>
      </c>
      <c r="L80" s="4">
        <f>-2237-2043-9-131-2687-1000</f>
        <v>-8107</v>
      </c>
      <c r="M80" s="4"/>
      <c r="N80" s="10">
        <f t="shared" ref="N80:N84" si="96">D80+E80+F80+G80+H80+I80+J80+K80+L80</f>
        <v>5561</v>
      </c>
      <c r="O80" s="4"/>
      <c r="P80" s="4"/>
      <c r="Q80" s="4"/>
      <c r="R80" s="4"/>
      <c r="S80" s="4"/>
      <c r="T80" s="4">
        <f>8828-4974-3660-6-188</f>
        <v>0</v>
      </c>
      <c r="U80" s="4"/>
      <c r="V80" s="10">
        <f t="shared" si="92"/>
        <v>0</v>
      </c>
      <c r="W80" s="4"/>
      <c r="X80" s="17"/>
      <c r="Y80" s="17"/>
      <c r="Z80" s="17"/>
      <c r="AA80" s="4">
        <f>8828-4974-3660-6-188</f>
        <v>0</v>
      </c>
      <c r="AB80" s="4"/>
      <c r="AC80" s="10">
        <f t="shared" ref="AC80:AC85" si="97">W80+X80+Y80+Z80+AA80</f>
        <v>0</v>
      </c>
    </row>
    <row r="81" spans="1:29" ht="15.75" hidden="1">
      <c r="A81" s="39"/>
      <c r="B81" s="11"/>
      <c r="C81" s="40">
        <v>924</v>
      </c>
      <c r="D81" s="4"/>
      <c r="E81" s="4"/>
      <c r="F81" s="4"/>
      <c r="G81" s="4"/>
      <c r="H81" s="4"/>
      <c r="I81" s="4"/>
      <c r="J81" s="4"/>
      <c r="K81" s="4"/>
      <c r="L81" s="4">
        <f>2237+2043+9+131+2687+1000</f>
        <v>8107</v>
      </c>
      <c r="M81" s="4">
        <v>7347</v>
      </c>
      <c r="N81" s="10">
        <f>D81+E81+F81+G81+H81+I81+J81+K81+L81+M81</f>
        <v>15454</v>
      </c>
      <c r="O81" s="4"/>
      <c r="P81" s="4"/>
      <c r="Q81" s="4"/>
      <c r="R81" s="4"/>
      <c r="S81" s="4"/>
      <c r="T81" s="4">
        <f>4974+3660+6+188</f>
        <v>8828</v>
      </c>
      <c r="U81" s="4"/>
      <c r="V81" s="10">
        <f t="shared" si="92"/>
        <v>8828</v>
      </c>
      <c r="W81" s="4"/>
      <c r="X81" s="17"/>
      <c r="Y81" s="17"/>
      <c r="Z81" s="17"/>
      <c r="AA81" s="4">
        <f>4974+3660+6+188</f>
        <v>8828</v>
      </c>
      <c r="AB81" s="4"/>
      <c r="AC81" s="10">
        <f t="shared" si="97"/>
        <v>8828</v>
      </c>
    </row>
    <row r="82" spans="1:29" ht="49.5" customHeight="1">
      <c r="A82" s="39" t="s">
        <v>66</v>
      </c>
      <c r="B82" s="11" t="s">
        <v>97</v>
      </c>
      <c r="C82" s="3" t="s">
        <v>17</v>
      </c>
      <c r="D82" s="4">
        <v>3613</v>
      </c>
      <c r="E82" s="4"/>
      <c r="F82" s="4"/>
      <c r="G82" s="4"/>
      <c r="H82" s="4"/>
      <c r="I82" s="4"/>
      <c r="J82" s="4"/>
      <c r="K82" s="4"/>
      <c r="L82" s="4"/>
      <c r="M82" s="4"/>
      <c r="N82" s="4">
        <f t="shared" si="96"/>
        <v>3613</v>
      </c>
      <c r="O82" s="4"/>
      <c r="P82" s="4"/>
      <c r="Q82" s="4"/>
      <c r="R82" s="4"/>
      <c r="S82" s="4"/>
      <c r="T82" s="4"/>
      <c r="U82" s="4"/>
      <c r="V82" s="4">
        <f t="shared" si="92"/>
        <v>0</v>
      </c>
      <c r="W82" s="4"/>
      <c r="X82" s="17"/>
      <c r="Y82" s="17"/>
      <c r="Z82" s="17"/>
      <c r="AA82" s="4"/>
      <c r="AB82" s="4"/>
      <c r="AC82" s="4">
        <f t="shared" si="97"/>
        <v>0</v>
      </c>
    </row>
    <row r="83" spans="1:29" ht="34.5" customHeight="1">
      <c r="A83" s="39" t="s">
        <v>67</v>
      </c>
      <c r="B83" s="11" t="s">
        <v>98</v>
      </c>
      <c r="C83" s="3" t="s">
        <v>14</v>
      </c>
      <c r="D83" s="4">
        <v>3398</v>
      </c>
      <c r="E83" s="4"/>
      <c r="F83" s="4"/>
      <c r="G83" s="4"/>
      <c r="H83" s="4">
        <v>95</v>
      </c>
      <c r="I83" s="4"/>
      <c r="J83" s="4"/>
      <c r="K83" s="4"/>
      <c r="L83" s="4">
        <v>80</v>
      </c>
      <c r="M83" s="4"/>
      <c r="N83" s="4">
        <f t="shared" si="96"/>
        <v>3573</v>
      </c>
      <c r="O83" s="4"/>
      <c r="P83" s="4"/>
      <c r="Q83" s="4"/>
      <c r="R83" s="4"/>
      <c r="S83" s="4"/>
      <c r="T83" s="4"/>
      <c r="U83" s="4"/>
      <c r="V83" s="4">
        <f t="shared" si="92"/>
        <v>0</v>
      </c>
      <c r="W83" s="4"/>
      <c r="X83" s="17"/>
      <c r="Y83" s="17"/>
      <c r="Z83" s="17"/>
      <c r="AA83" s="4"/>
      <c r="AB83" s="4"/>
      <c r="AC83" s="4">
        <f t="shared" si="97"/>
        <v>0</v>
      </c>
    </row>
    <row r="84" spans="1:29" ht="32.25" customHeight="1">
      <c r="A84" s="39" t="s">
        <v>68</v>
      </c>
      <c r="B84" s="11" t="s">
        <v>99</v>
      </c>
      <c r="C84" s="3" t="s">
        <v>15</v>
      </c>
      <c r="D84" s="4">
        <v>6810</v>
      </c>
      <c r="E84" s="4"/>
      <c r="F84" s="4">
        <v>16292</v>
      </c>
      <c r="G84" s="4"/>
      <c r="H84" s="4"/>
      <c r="I84" s="4"/>
      <c r="J84" s="4"/>
      <c r="K84" s="4"/>
      <c r="L84" s="4"/>
      <c r="M84" s="4"/>
      <c r="N84" s="4">
        <f t="shared" si="96"/>
        <v>23102</v>
      </c>
      <c r="O84" s="4"/>
      <c r="P84" s="4"/>
      <c r="Q84" s="4"/>
      <c r="R84" s="4"/>
      <c r="S84" s="4"/>
      <c r="T84" s="4"/>
      <c r="U84" s="4"/>
      <c r="V84" s="4">
        <f t="shared" si="92"/>
        <v>0</v>
      </c>
      <c r="W84" s="4"/>
      <c r="X84" s="17"/>
      <c r="Y84" s="17"/>
      <c r="Z84" s="17"/>
      <c r="AA84" s="4"/>
      <c r="AB84" s="4"/>
      <c r="AC84" s="4">
        <f t="shared" si="97"/>
        <v>0</v>
      </c>
    </row>
    <row r="85" spans="1:29" ht="62.25" customHeight="1">
      <c r="A85" s="41" t="s">
        <v>69</v>
      </c>
      <c r="B85" s="11" t="s">
        <v>100</v>
      </c>
      <c r="C85" s="3" t="s">
        <v>16</v>
      </c>
      <c r="D85" s="4">
        <v>280274</v>
      </c>
      <c r="E85" s="4"/>
      <c r="F85" s="4"/>
      <c r="G85" s="4"/>
      <c r="H85" s="4"/>
      <c r="I85" s="4"/>
      <c r="J85" s="4"/>
      <c r="K85" s="4">
        <v>-306</v>
      </c>
      <c r="L85" s="4">
        <f>-305</f>
        <v>-305</v>
      </c>
      <c r="M85" s="4">
        <v>70</v>
      </c>
      <c r="N85" s="4">
        <f>D85+E85+F85+G85+H85+I85+J85+K85+L85+M85</f>
        <v>279733</v>
      </c>
      <c r="O85" s="4"/>
      <c r="P85" s="4"/>
      <c r="Q85" s="4"/>
      <c r="R85" s="4"/>
      <c r="S85" s="4"/>
      <c r="T85" s="4"/>
      <c r="U85" s="4"/>
      <c r="V85" s="4">
        <f t="shared" si="92"/>
        <v>0</v>
      </c>
      <c r="W85" s="4"/>
      <c r="X85" s="17"/>
      <c r="Y85" s="17"/>
      <c r="Z85" s="17"/>
      <c r="AA85" s="4"/>
      <c r="AB85" s="4"/>
      <c r="AC85" s="4">
        <f t="shared" si="97"/>
        <v>0</v>
      </c>
    </row>
    <row r="86" spans="1:29" ht="49.5" customHeight="1">
      <c r="A86" s="39" t="s">
        <v>70</v>
      </c>
      <c r="B86" s="11" t="s">
        <v>103</v>
      </c>
      <c r="C86" s="3" t="s">
        <v>18</v>
      </c>
      <c r="D86" s="4">
        <v>171832</v>
      </c>
      <c r="E86" s="4"/>
      <c r="F86" s="4"/>
      <c r="G86" s="4"/>
      <c r="H86" s="4"/>
      <c r="I86" s="4">
        <v>1018</v>
      </c>
      <c r="J86" s="4">
        <f>60247-97073+36421+17940+36826</f>
        <v>54361</v>
      </c>
      <c r="K86" s="4">
        <f>5000+5000</f>
        <v>10000</v>
      </c>
      <c r="L86" s="4">
        <f>-72927+5264+100000+26000+2355-16826-5000</f>
        <v>38866</v>
      </c>
      <c r="M86" s="4">
        <f>64736+11100+4715-3076+3006+14000+1272+527+2786+1500</f>
        <v>100566</v>
      </c>
      <c r="N86" s="4">
        <f>D86+E86+F86+G86+H86+I86+J86+K86+L86+M86</f>
        <v>376643</v>
      </c>
      <c r="O86" s="4">
        <v>1800</v>
      </c>
      <c r="P86" s="4"/>
      <c r="Q86" s="4"/>
      <c r="R86" s="4"/>
      <c r="S86" s="4"/>
      <c r="T86" s="4"/>
      <c r="U86" s="4">
        <v>105264</v>
      </c>
      <c r="V86" s="4">
        <f>O86+P86+Q86+R86+S86+T86+U86</f>
        <v>107064</v>
      </c>
      <c r="W86" s="4">
        <v>1800</v>
      </c>
      <c r="X86" s="4"/>
      <c r="Y86" s="4"/>
      <c r="Z86" s="4"/>
      <c r="AA86" s="4"/>
      <c r="AB86" s="4">
        <v>189300</v>
      </c>
      <c r="AC86" s="4">
        <f>W86+X86+Y86+Z86+AA86+AB86</f>
        <v>191100</v>
      </c>
    </row>
    <row r="87" spans="1:29" ht="21.75" customHeight="1">
      <c r="A87" s="21"/>
      <c r="B87" s="30"/>
      <c r="C87" s="6" t="s">
        <v>20</v>
      </c>
      <c r="D87" s="18">
        <f t="shared" ref="D87:E87" si="98">D12+D15+D18+D19+D24+D29+D30+D33+D34+D40+D41+D45+D46+D47+D48+D61+D62+D63+D75+D76+D77+D79+D82+D83+D84+D85+D86</f>
        <v>5970932</v>
      </c>
      <c r="E87" s="18">
        <f t="shared" si="98"/>
        <v>1030022</v>
      </c>
      <c r="F87" s="18">
        <f t="shared" ref="F87:K87" si="99">F12+F15+F18+F19+F24+F29+F30+F33+F34+F40+F41+F45+F46+F47+F48+F61+F62+F63+F75+F76+F77+F79+F82+F83+F84+F85+F86+F78</f>
        <v>176570</v>
      </c>
      <c r="G87" s="18">
        <f t="shared" si="99"/>
        <v>3098</v>
      </c>
      <c r="H87" s="18">
        <f t="shared" si="99"/>
        <v>3933584</v>
      </c>
      <c r="I87" s="18">
        <f t="shared" si="99"/>
        <v>323815</v>
      </c>
      <c r="J87" s="18">
        <f t="shared" si="99"/>
        <v>173920</v>
      </c>
      <c r="K87" s="18">
        <f t="shared" si="99"/>
        <v>457742</v>
      </c>
      <c r="L87" s="18">
        <f t="shared" ref="L87:R87" si="100">L12+L15+L18+L19+L24+L29+L30+L33+L34+L40+L41+L45+L46+L47+L48+L61+L62+L63+L75+L76+L77+L79+L82+L83+L84+L85+L86+L78</f>
        <v>195360</v>
      </c>
      <c r="M87" s="18"/>
      <c r="N87" s="18">
        <f t="shared" si="100"/>
        <v>12328798</v>
      </c>
      <c r="O87" s="18">
        <f t="shared" si="100"/>
        <v>4958076</v>
      </c>
      <c r="P87" s="18">
        <f t="shared" si="100"/>
        <v>105564</v>
      </c>
      <c r="Q87" s="18">
        <f t="shared" si="100"/>
        <v>0</v>
      </c>
      <c r="R87" s="18">
        <f t="shared" si="100"/>
        <v>79888</v>
      </c>
      <c r="S87" s="18">
        <f t="shared" ref="S87:T87" si="101">S12+S15+S18+S19+S24+S29+S30+S33+S34+S40+S41+S45+S46+S47+S48+S61+S62+S63+S75+S76+S77+S79+S82+S83+S84+S85+S86+S78</f>
        <v>175269</v>
      </c>
      <c r="T87" s="18">
        <f t="shared" si="101"/>
        <v>87854</v>
      </c>
      <c r="U87" s="18"/>
      <c r="V87" s="18">
        <f>V12+V15+V18+V19+V24+V29+V30+V33+V34+V40+V41+V45+V46+V47+V48+V61+V62+V63+V75+V76+V77+V79+V82+V83+V84+V85+V86+V78</f>
        <v>5419229</v>
      </c>
      <c r="W87" s="18">
        <f>W12+W15+W18+W19+W24+W29+W30+W33+W34+W40+W41+W45+W46+W47+W48+W61+W62+W63+W75+W76+W77+W79+W82+W83+W84+W85+W86+W78</f>
        <v>4577111</v>
      </c>
      <c r="X87" s="18">
        <f>X12+X15+X18+X19+X24+X29+X30+X33+X34+X40+X41+X45+X46+X47+X48+X61+X62+X63+X75+X76+X77+X79+X82+X83+X84+X85+X86+X78</f>
        <v>300</v>
      </c>
      <c r="Y87" s="18"/>
      <c r="Z87" s="18">
        <f>Z12+Z15+Z18+Z19+Z24+Z29+Z30+Z33+Z34+Z40+Z41+Z45+Z46+Z47+Z48+Z61+Z62+Z63+Z75+Z76+Z77+Z79+Z82+Z83+Z84+Z85+Z86+Z78</f>
        <v>74718</v>
      </c>
      <c r="AA87" s="18">
        <f>AA12+AA15+AA18+AA19+AA24+AA29+AA30+AA33+AA34+AA40+AA41+AA45+AA46+AA47+AA48+AA61+AA62+AA63+AA75+AA76+AA77+AA79+AA82+AA83+AA84+AA85+AA86+AA78</f>
        <v>0</v>
      </c>
      <c r="AB87" s="18"/>
      <c r="AC87" s="18">
        <f>AC12+AC15+AC18+AC19+AC24+AC29+AC30+AC33+AC34+AC40+AC41+AC45+AC46+AC47+AC48+AC61+AC62+AC63+AC75+AC76+AC77+AC79+AC82+AC83+AC84+AC85+AC86+AC78</f>
        <v>4843018</v>
      </c>
    </row>
    <row r="88" spans="1:29" ht="15.75">
      <c r="A88" s="22"/>
      <c r="B88" s="31"/>
      <c r="C88" s="7"/>
      <c r="D88" s="5"/>
      <c r="E88" s="5">
        <f>D87+E87</f>
        <v>7000954</v>
      </c>
      <c r="F88" s="5">
        <f t="shared" ref="F88:K88" si="102">E88+F87</f>
        <v>7177524</v>
      </c>
      <c r="G88" s="5">
        <f t="shared" si="102"/>
        <v>7180622</v>
      </c>
      <c r="H88" s="5">
        <f t="shared" si="102"/>
        <v>11114206</v>
      </c>
      <c r="I88" s="5">
        <f t="shared" si="102"/>
        <v>11438021</v>
      </c>
      <c r="J88" s="5">
        <f t="shared" si="102"/>
        <v>11611941</v>
      </c>
      <c r="K88" s="5">
        <f t="shared" si="102"/>
        <v>12069683</v>
      </c>
      <c r="L88" s="5">
        <f>K88+L87</f>
        <v>12265043</v>
      </c>
      <c r="M88" s="5">
        <f>L88+M87</f>
        <v>12265043</v>
      </c>
      <c r="N88" s="5"/>
      <c r="O88" s="7"/>
      <c r="P88" s="19">
        <f>O87+P87</f>
        <v>5063640</v>
      </c>
      <c r="Q88" s="19">
        <f>P88+Q87</f>
        <v>5063640</v>
      </c>
      <c r="R88" s="19">
        <f>Q88+R87</f>
        <v>5143528</v>
      </c>
      <c r="S88" s="19">
        <f>R88+S87</f>
        <v>5318797</v>
      </c>
      <c r="T88" s="19"/>
      <c r="U88" s="19"/>
      <c r="V88" s="7"/>
      <c r="W88" s="7"/>
      <c r="X88" s="19">
        <f>W87+X87</f>
        <v>4577411</v>
      </c>
      <c r="Y88" s="19">
        <f>X88+Y87</f>
        <v>4577411</v>
      </c>
      <c r="Z88" s="19">
        <f>Y88+Z87</f>
        <v>4652129</v>
      </c>
      <c r="AA88" s="19"/>
      <c r="AB88" s="19"/>
    </row>
    <row r="89" spans="1:29">
      <c r="A89" s="22"/>
      <c r="B89" s="31"/>
      <c r="C89" s="7"/>
      <c r="D89" s="19"/>
      <c r="E89" s="19"/>
      <c r="F89" s="19"/>
      <c r="G89" s="19"/>
      <c r="H89" s="19"/>
      <c r="I89" s="19"/>
      <c r="J89" s="19"/>
      <c r="K89" s="19"/>
      <c r="L89" s="19">
        <f>L88-N87</f>
        <v>-63755</v>
      </c>
      <c r="M89" s="19"/>
      <c r="N89" s="19"/>
      <c r="O89" s="7"/>
      <c r="P89" s="7"/>
      <c r="Q89" s="7"/>
      <c r="R89" s="19"/>
      <c r="S89" s="19">
        <f>S88-V87</f>
        <v>-100432</v>
      </c>
      <c r="T89" s="19"/>
      <c r="U89" s="19"/>
      <c r="V89" s="7"/>
      <c r="W89" s="7"/>
      <c r="X89" s="7"/>
      <c r="Y89" s="7"/>
      <c r="Z89" s="19">
        <f>Z88-AC87</f>
        <v>-190889</v>
      </c>
      <c r="AA89" s="19"/>
      <c r="AB89" s="19"/>
    </row>
    <row r="90" spans="1:29">
      <c r="A90" s="22"/>
      <c r="B90" s="31"/>
      <c r="C90" s="7"/>
      <c r="D90" s="19"/>
      <c r="E90" s="19"/>
      <c r="F90" s="19"/>
      <c r="G90" s="19"/>
      <c r="H90" s="19"/>
      <c r="I90" s="19"/>
      <c r="J90" s="19"/>
      <c r="K90" s="19"/>
      <c r="L90" s="19"/>
      <c r="M90" s="19"/>
      <c r="N90" s="19"/>
      <c r="O90" s="7"/>
      <c r="P90" s="7"/>
      <c r="Q90" s="7"/>
      <c r="R90" s="7"/>
      <c r="S90" s="7"/>
      <c r="T90" s="7"/>
      <c r="U90" s="7"/>
      <c r="V90" s="7"/>
      <c r="W90" s="7"/>
      <c r="X90" s="7"/>
      <c r="Y90" s="7"/>
      <c r="Z90" s="7"/>
      <c r="AA90" s="7"/>
      <c r="AB90" s="7"/>
    </row>
    <row r="91" spans="1:29">
      <c r="A91" s="22"/>
      <c r="B91" s="31"/>
      <c r="C91" s="7"/>
      <c r="D91" s="19"/>
      <c r="E91" s="7"/>
      <c r="F91" s="7"/>
      <c r="G91" s="7"/>
      <c r="H91" s="7"/>
      <c r="I91" s="19"/>
      <c r="J91" s="19"/>
      <c r="K91" s="19"/>
      <c r="L91" s="19"/>
      <c r="M91" s="19"/>
      <c r="N91" s="19"/>
      <c r="O91" s="7"/>
      <c r="P91" s="7"/>
      <c r="Q91" s="7"/>
      <c r="R91" s="7"/>
      <c r="S91" s="7"/>
      <c r="T91" s="7"/>
      <c r="U91" s="7"/>
      <c r="V91" s="7"/>
      <c r="W91" s="7"/>
      <c r="X91" s="7"/>
      <c r="Y91" s="7"/>
      <c r="Z91" s="7"/>
      <c r="AA91" s="7"/>
      <c r="AB91" s="7"/>
    </row>
    <row r="92" spans="1:29">
      <c r="A92" s="22"/>
      <c r="B92" s="31"/>
      <c r="C92" s="7"/>
      <c r="D92" s="7"/>
      <c r="E92" s="7"/>
      <c r="F92" s="7"/>
      <c r="G92" s="7"/>
      <c r="H92" s="7"/>
      <c r="I92" s="19"/>
      <c r="J92" s="19"/>
      <c r="K92" s="19"/>
      <c r="L92" s="19"/>
      <c r="M92" s="19"/>
      <c r="N92" s="19"/>
      <c r="O92" s="7"/>
      <c r="P92" s="7"/>
      <c r="Q92" s="7"/>
      <c r="R92" s="7"/>
      <c r="S92" s="7"/>
      <c r="T92" s="7"/>
      <c r="U92" s="7"/>
      <c r="V92" s="7"/>
      <c r="W92" s="7"/>
      <c r="X92" s="7"/>
      <c r="Y92" s="7"/>
      <c r="Z92" s="7"/>
      <c r="AA92" s="7"/>
      <c r="AB92" s="7"/>
    </row>
    <row r="93" spans="1:29">
      <c r="N93" s="25"/>
    </row>
    <row r="94" spans="1:29">
      <c r="V94" s="25"/>
    </row>
    <row r="95" spans="1:29">
      <c r="K95" s="25"/>
      <c r="L95" s="25"/>
      <c r="M95" s="25"/>
    </row>
  </sheetData>
  <mergeCells count="30">
    <mergeCell ref="A64:A71"/>
    <mergeCell ref="B72:B74"/>
    <mergeCell ref="B20:B23"/>
    <mergeCell ref="A20:A23"/>
    <mergeCell ref="A35:A39"/>
    <mergeCell ref="A31:A32"/>
    <mergeCell ref="B31:B32"/>
    <mergeCell ref="B35:B39"/>
    <mergeCell ref="A72:A74"/>
    <mergeCell ref="A53:A55"/>
    <mergeCell ref="A50:A52"/>
    <mergeCell ref="B63:B71"/>
    <mergeCell ref="B48:B58"/>
    <mergeCell ref="A56:A57"/>
    <mergeCell ref="A58:A60"/>
    <mergeCell ref="A8:AC8"/>
    <mergeCell ref="A42:A44"/>
    <mergeCell ref="B42:B44"/>
    <mergeCell ref="A16:A17"/>
    <mergeCell ref="B16:B17"/>
    <mergeCell ref="A10:A11"/>
    <mergeCell ref="B10:B11"/>
    <mergeCell ref="C10:C11"/>
    <mergeCell ref="D10:AC10"/>
    <mergeCell ref="A5:AC5"/>
    <mergeCell ref="A6:AC6"/>
    <mergeCell ref="A7:AC7"/>
    <mergeCell ref="A1:AC1"/>
    <mergeCell ref="A2:AC2"/>
    <mergeCell ref="A3:AC3"/>
  </mergeCells>
  <pageMargins left="0.84" right="0.44" top="0.6692913385826772" bottom="0.31496062992125984" header="0.31496062992125984" footer="0.31496062992125984"/>
  <pageSetup paperSize="9" scale="82" fitToHeight="0" orientation="portrait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E6:E11"/>
  <sheetViews>
    <sheetView workbookViewId="0">
      <selection activeCell="E6" sqref="E6:E11"/>
    </sheetView>
  </sheetViews>
  <sheetFormatPr defaultRowHeight="15"/>
  <sheetData>
    <row r="6" spans="5:5">
      <c r="E6" s="1"/>
    </row>
    <row r="7" spans="5:5">
      <c r="E7" s="1"/>
    </row>
    <row r="8" spans="5:5">
      <c r="E8" s="1"/>
    </row>
    <row r="9" spans="5:5">
      <c r="E9" s="1"/>
    </row>
    <row r="10" spans="5:5">
      <c r="E10" s="1"/>
    </row>
    <row r="11" spans="5:5">
      <c r="E11" s="1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Петрунькина Марина Александровна</dc:creator>
  <cp:lastModifiedBy>Кашкина</cp:lastModifiedBy>
  <cp:lastPrinted>2017-07-06T10:18:47Z</cp:lastPrinted>
  <dcterms:created xsi:type="dcterms:W3CDTF">2015-09-30T07:41:26Z</dcterms:created>
  <dcterms:modified xsi:type="dcterms:W3CDTF">2017-07-07T05:09:51Z</dcterms:modified>
</cp:coreProperties>
</file>